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12"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state="hidden" r:id="rId22"/>
    <sheet name="基准地价修正" sheetId="43"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G20" i="1"/>
  <c r="E20" i="1" s="1"/>
  <c r="C36" i="33" s="1"/>
  <c r="B18" i="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c r="AD14" i="59"/>
  <c r="Q14" i="59"/>
  <c r="Q15" i="59"/>
  <c r="P14" i="59"/>
  <c r="P15" i="59"/>
  <c r="O14" i="59"/>
  <c r="O15" i="59"/>
  <c r="N14" i="59"/>
  <c r="N15" i="59"/>
  <c r="N16" i="59"/>
  <c r="O16" i="59"/>
  <c r="P16" i="59"/>
  <c r="Q16" i="59"/>
  <c r="AD15" i="59"/>
  <c r="AE15" i="59"/>
  <c r="AF15" i="59"/>
  <c r="AG15" i="59"/>
  <c r="AH15" i="59"/>
  <c r="M48" i="15"/>
  <c r="B2" i="1"/>
  <c r="F30" i="1" s="1"/>
  <c r="B24" i="1"/>
  <c r="J50" i="15"/>
  <c r="J51" i="15"/>
  <c r="B26" i="1"/>
  <c r="AH16" i="59"/>
  <c r="AG16" i="59"/>
  <c r="AE16" i="59"/>
  <c r="AF16" i="59"/>
  <c r="AD16" i="59"/>
  <c r="AH17" i="59"/>
  <c r="AG17" i="59"/>
  <c r="AE17" i="59"/>
  <c r="AF17" i="59" s="1"/>
  <c r="AD17" i="59"/>
  <c r="Q17" i="59"/>
  <c r="P17" i="59"/>
  <c r="O17" i="59"/>
  <c r="N17" i="59"/>
  <c r="Q18" i="59"/>
  <c r="P18" i="59"/>
  <c r="O18" i="59"/>
  <c r="N18" i="59"/>
  <c r="D18" i="59"/>
  <c r="E17" i="59"/>
  <c r="E16" i="59"/>
  <c r="E15" i="59" s="1"/>
  <c r="E14" i="59" s="1"/>
  <c r="E13" i="59" s="1"/>
  <c r="E12" i="59" s="1"/>
  <c r="E11" i="59" s="1"/>
  <c r="E10" i="59" s="1"/>
  <c r="E9" i="59" s="1"/>
  <c r="F17" i="59"/>
  <c r="F16" i="59" s="1"/>
  <c r="F15" i="59" s="1"/>
  <c r="C17" i="59"/>
  <c r="C16" i="59" s="1"/>
  <c r="T17" i="59"/>
  <c r="A2" i="50"/>
  <c r="D17" i="59"/>
  <c r="K60" i="15"/>
  <c r="P59" i="15"/>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Q68" i="59"/>
  <c r="P68" i="59"/>
  <c r="O68" i="59"/>
  <c r="N68"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s="1"/>
  <c r="B64" i="59"/>
  <c r="B63" i="59" s="1"/>
  <c r="Q63" i="59"/>
  <c r="P63" i="59"/>
  <c r="O63" i="59"/>
  <c r="N63" i="59"/>
  <c r="Q62" i="59"/>
  <c r="P62" i="59"/>
  <c r="O62" i="59"/>
  <c r="N62" i="59"/>
  <c r="D62" i="59"/>
  <c r="S61" i="59"/>
  <c r="F61" i="59"/>
  <c r="V61" i="59"/>
  <c r="E61" i="59"/>
  <c r="U61" i="59" s="1"/>
  <c r="E60" i="59"/>
  <c r="P60" i="59" s="1"/>
  <c r="C61" i="59"/>
  <c r="B61" i="59"/>
  <c r="N61" i="59" s="1"/>
  <c r="F60" i="59"/>
  <c r="F59" i="59" s="1"/>
  <c r="Q59" i="59"/>
  <c r="B60" i="59"/>
  <c r="E59" i="59"/>
  <c r="P58"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c r="B49" i="59" s="1"/>
  <c r="S49" i="59" s="1"/>
  <c r="D46" i="59"/>
  <c r="Q45" i="59"/>
  <c r="P45" i="59"/>
  <c r="O45" i="59"/>
  <c r="N45" i="59"/>
  <c r="Q44" i="59"/>
  <c r="P44" i="59"/>
  <c r="O44" i="59"/>
  <c r="N44" i="59"/>
  <c r="Q43" i="59"/>
  <c r="P43" i="59"/>
  <c r="O43" i="59"/>
  <c r="N43" i="59"/>
  <c r="E43" i="59"/>
  <c r="E44" i="59" s="1"/>
  <c r="E45" i="59"/>
  <c r="U45" i="59" s="1"/>
  <c r="Q42" i="59"/>
  <c r="F43" i="59" s="1"/>
  <c r="F44" i="59"/>
  <c r="F45" i="59" s="1"/>
  <c r="V45" i="59" s="1"/>
  <c r="P42" i="59"/>
  <c r="O42" i="59"/>
  <c r="C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C40" i="59" s="1"/>
  <c r="D40" i="59" s="1"/>
  <c r="N38" i="59"/>
  <c r="B39" i="59" s="1"/>
  <c r="B40" i="59"/>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c r="U37" i="59" s="1"/>
  <c r="O34" i="59"/>
  <c r="C35" i="59" s="1"/>
  <c r="N34" i="59"/>
  <c r="B35" i="59" s="1"/>
  <c r="B36" i="59" s="1"/>
  <c r="B37" i="59" s="1"/>
  <c r="S37" i="59" s="1"/>
  <c r="D34" i="59"/>
  <c r="Q33" i="59"/>
  <c r="P33" i="59"/>
  <c r="O33" i="59"/>
  <c r="N33" i="59"/>
  <c r="AB32" i="59"/>
  <c r="Q32" i="59"/>
  <c r="P32" i="59"/>
  <c r="AA32" i="59" s="1"/>
  <c r="O32" i="59"/>
  <c r="Y32" i="59" s="1"/>
  <c r="Z32" i="59"/>
  <c r="N32" i="59"/>
  <c r="X32" i="59"/>
  <c r="Q31" i="59"/>
  <c r="AB31" i="59" s="1"/>
  <c r="P31" i="59"/>
  <c r="O31" i="59"/>
  <c r="Y31" i="59" s="1"/>
  <c r="Z31" i="59" s="1"/>
  <c r="N31" i="59"/>
  <c r="X31" i="59" s="1"/>
  <c r="Q30" i="59"/>
  <c r="AB30" i="59" s="1"/>
  <c r="P30" i="59"/>
  <c r="E31" i="59"/>
  <c r="E32" i="59" s="1"/>
  <c r="E33" i="59"/>
  <c r="U33" i="59" s="1"/>
  <c r="O30" i="59"/>
  <c r="N30" i="59"/>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N26" i="59"/>
  <c r="D26" i="59"/>
  <c r="Q25" i="59"/>
  <c r="P25" i="59"/>
  <c r="O25" i="59"/>
  <c r="N25" i="59"/>
  <c r="Q24" i="59"/>
  <c r="P24" i="59"/>
  <c r="O24" i="59"/>
  <c r="N24" i="59"/>
  <c r="Q23" i="59"/>
  <c r="P23" i="59"/>
  <c r="O23" i="59"/>
  <c r="N23" i="59"/>
  <c r="Q22" i="59"/>
  <c r="AB22" i="59" s="1"/>
  <c r="P22" i="59"/>
  <c r="E23" i="59"/>
  <c r="E24" i="59" s="1"/>
  <c r="E25" i="59" s="1"/>
  <c r="U25" i="59" s="1"/>
  <c r="O22" i="59"/>
  <c r="Y22" i="59" s="1"/>
  <c r="Z22" i="59" s="1"/>
  <c r="N22" i="59"/>
  <c r="X22" i="59" s="1"/>
  <c r="D22" i="59"/>
  <c r="O21" i="59"/>
  <c r="N21" i="59"/>
  <c r="C21" i="59"/>
  <c r="T21" i="59" s="1"/>
  <c r="Y18" i="59"/>
  <c r="Z18" i="59" s="1"/>
  <c r="Y19" i="59"/>
  <c r="Z19" i="59" s="1"/>
  <c r="Y21" i="59"/>
  <c r="Z21" i="59" s="1"/>
  <c r="Y20" i="59"/>
  <c r="Z20" i="59" s="1"/>
  <c r="B21" i="59"/>
  <c r="B20" i="59" s="1"/>
  <c r="B19" i="59" s="1"/>
  <c r="X20" i="59"/>
  <c r="X19" i="59"/>
  <c r="C36" i="59"/>
  <c r="D35" i="59"/>
  <c r="C44" i="59"/>
  <c r="C45" i="59" s="1"/>
  <c r="D43" i="59"/>
  <c r="P21" i="59"/>
  <c r="AA19" i="59" s="1"/>
  <c r="E52" i="59"/>
  <c r="E53" i="59" s="1"/>
  <c r="U53" i="59" s="1"/>
  <c r="Q58" i="59"/>
  <c r="U65" i="59"/>
  <c r="E64" i="59"/>
  <c r="E63" i="59"/>
  <c r="Q21" i="59"/>
  <c r="C48" i="59"/>
  <c r="D48" i="59" s="1"/>
  <c r="C56" i="59"/>
  <c r="D56" i="59" s="1"/>
  <c r="N60" i="59"/>
  <c r="B59" i="59"/>
  <c r="Q60" i="59"/>
  <c r="T61" i="59"/>
  <c r="O61" i="59"/>
  <c r="D61" i="59"/>
  <c r="C60" i="59"/>
  <c r="C59" i="59" s="1"/>
  <c r="T65" i="59"/>
  <c r="D65" i="59"/>
  <c r="C64" i="59"/>
  <c r="Q61" i="59"/>
  <c r="C68" i="59"/>
  <c r="E68" i="59"/>
  <c r="E67" i="59" s="1"/>
  <c r="D69" i="59"/>
  <c r="C72" i="59"/>
  <c r="E72" i="59"/>
  <c r="E71" i="59" s="1"/>
  <c r="D73" i="59"/>
  <c r="C76" i="59"/>
  <c r="C80" i="59"/>
  <c r="D80" i="59" s="1"/>
  <c r="F21" i="59"/>
  <c r="AB18" i="59"/>
  <c r="AB20" i="59"/>
  <c r="E21" i="59"/>
  <c r="E20" i="59" s="1"/>
  <c r="E19" i="59" s="1"/>
  <c r="AA20" i="59"/>
  <c r="AA3" i="59"/>
  <c r="C20" i="59"/>
  <c r="C19" i="59" s="1"/>
  <c r="D19" i="59" s="1"/>
  <c r="D76" i="59"/>
  <c r="C75" i="59"/>
  <c r="D75" i="59"/>
  <c r="D68" i="59"/>
  <c r="C67" i="59"/>
  <c r="D67" i="59" s="1"/>
  <c r="C63" i="59"/>
  <c r="D63" i="59" s="1"/>
  <c r="D64" i="59"/>
  <c r="D44" i="59"/>
  <c r="C79" i="59"/>
  <c r="D79" i="59" s="1"/>
  <c r="D72" i="59"/>
  <c r="C71" i="59"/>
  <c r="D71" i="59"/>
  <c r="O60" i="59"/>
  <c r="C57" i="59"/>
  <c r="D57" i="59" s="1"/>
  <c r="C49" i="59"/>
  <c r="D49" i="59" s="1"/>
  <c r="N58" i="59"/>
  <c r="N59" i="59"/>
  <c r="C37" i="59"/>
  <c r="D37" i="59" s="1"/>
  <c r="D36" i="59"/>
  <c r="D20" i="59"/>
  <c r="F20" i="59"/>
  <c r="F19" i="59" s="1"/>
  <c r="V21" i="59"/>
  <c r="T37" i="59"/>
  <c r="T49" i="59"/>
  <c r="T57" i="59"/>
  <c r="Z25" i="40"/>
  <c r="Q25" i="40"/>
  <c r="D94" i="40"/>
  <c r="E94" i="40" s="1"/>
  <c r="F94" i="40" s="1"/>
  <c r="G94" i="40" s="1"/>
  <c r="H25" i="40"/>
  <c r="U25" i="40" s="1"/>
  <c r="F25" i="40"/>
  <c r="AA25" i="40" s="1"/>
  <c r="Q27" i="39"/>
  <c r="Z27" i="39" s="1"/>
  <c r="D101" i="39"/>
  <c r="E101" i="39"/>
  <c r="F101" i="39" s="1"/>
  <c r="G101"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s="1"/>
  <c r="F83" i="33" s="1"/>
  <c r="G83" i="33" s="1"/>
  <c r="H21" i="33"/>
  <c r="AB21" i="33" s="1"/>
  <c r="F21" i="33"/>
  <c r="AA21" i="33" s="1"/>
  <c r="C21" i="33"/>
  <c r="Q21" i="21"/>
  <c r="Z21" i="21" s="1"/>
  <c r="D83" i="21"/>
  <c r="E83" i="21"/>
  <c r="F21" i="21"/>
  <c r="AA21" i="21"/>
  <c r="C21" i="21"/>
  <c r="G20" i="20"/>
  <c r="B86" i="43" s="1"/>
  <c r="C22" i="20"/>
  <c r="B66" i="43" s="1"/>
  <c r="AB25" i="40"/>
  <c r="S18" i="36"/>
  <c r="W18" i="35"/>
  <c r="U18" i="35"/>
  <c r="S18" i="35"/>
  <c r="U21" i="37"/>
  <c r="S21" i="37"/>
  <c r="S21" i="34"/>
  <c r="S21" i="33"/>
  <c r="S21" i="21"/>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C27" i="58"/>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s="1"/>
  <c r="G112" i="34" s="1"/>
  <c r="H112" i="34" s="1"/>
  <c r="I112" i="34" s="1"/>
  <c r="J112" i="34" s="1"/>
  <c r="K112" i="34" s="1"/>
  <c r="L112" i="34" s="1"/>
  <c r="M112" i="34" s="1"/>
  <c r="F40" i="33"/>
  <c r="AA40" i="33" s="1"/>
  <c r="J41" i="33"/>
  <c r="W41" i="33" s="1"/>
  <c r="D113" i="33"/>
  <c r="D111" i="33"/>
  <c r="E111" i="33" s="1"/>
  <c r="F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H39" i="33" s="1"/>
  <c r="AB39"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AB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Q39" i="33"/>
  <c r="Z39" i="33"/>
  <c r="Q38" i="33"/>
  <c r="Z38" i="33"/>
  <c r="J38" i="33"/>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J12" i="33"/>
  <c r="W12" i="33" s="1"/>
  <c r="H12" i="33"/>
  <c r="U12" i="33" s="1"/>
  <c r="F12" i="33"/>
  <c r="S12" i="33" s="1"/>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s="1"/>
  <c r="H38" i="21"/>
  <c r="U38" i="21" s="1"/>
  <c r="H43" i="21"/>
  <c r="AB43" i="21" s="1"/>
  <c r="F38" i="21"/>
  <c r="F36" i="21"/>
  <c r="S36" i="21"/>
  <c r="F39" i="21"/>
  <c r="S39" i="21"/>
  <c r="H35" i="21"/>
  <c r="AB35" i="21"/>
  <c r="J8" i="21"/>
  <c r="AC8" i="21"/>
  <c r="J9" i="21"/>
  <c r="W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F37" i="33" s="1"/>
  <c r="J34" i="33"/>
  <c r="W34" i="33" s="1"/>
  <c r="J23" i="33"/>
  <c r="AC23" i="33" s="1"/>
  <c r="F23" i="33"/>
  <c r="AA23" i="33" s="1"/>
  <c r="H23" i="33"/>
  <c r="AB23" i="33" s="1"/>
  <c r="F19" i="33"/>
  <c r="S19" i="33" s="1"/>
  <c r="J19" i="33"/>
  <c r="W19" i="33" s="1"/>
  <c r="J17" i="33"/>
  <c r="AC17" i="33" s="1"/>
  <c r="H17" i="33"/>
  <c r="AB17" i="33" s="1"/>
  <c r="J15" i="33"/>
  <c r="AC15" i="33" s="1"/>
  <c r="F11" i="33"/>
  <c r="AA11" i="33" s="1"/>
  <c r="H10" i="33"/>
  <c r="U10" i="33" s="1"/>
  <c r="S10" i="21"/>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F17" i="33"/>
  <c r="AA17" i="33" s="1"/>
  <c r="H15" i="33"/>
  <c r="AB15" i="33" s="1"/>
  <c r="AB11" i="33"/>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14" i="33"/>
  <c r="W28" i="37"/>
  <c r="W30" i="33"/>
  <c r="S14" i="33"/>
  <c r="AC32" i="34"/>
  <c r="J10" i="36"/>
  <c r="AC10" i="36" s="1"/>
  <c r="AB46" i="21"/>
  <c r="U14" i="21"/>
  <c r="AC14" i="21"/>
  <c r="AC11" i="36"/>
  <c r="U31" i="33"/>
  <c r="AC29" i="33"/>
  <c r="W29" i="33"/>
  <c r="AB28" i="33"/>
  <c r="U42" i="21"/>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J23" i="37"/>
  <c r="W23" i="37" s="1"/>
  <c r="S30" i="31"/>
  <c r="U11" i="40"/>
  <c r="AC33" i="36"/>
  <c r="AB20" i="35"/>
  <c r="AA11" i="35"/>
  <c r="AC12" i="35"/>
  <c r="S28" i="37"/>
  <c r="U39" i="37"/>
  <c r="W47" i="34"/>
  <c r="AB8" i="34"/>
  <c r="W14" i="33"/>
  <c r="AA13" i="33"/>
  <c r="AC31" i="33"/>
  <c r="AA30" i="33"/>
  <c r="S11" i="33"/>
  <c r="AC33" i="21"/>
  <c r="AB38" i="21"/>
  <c r="AA23" i="37"/>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3"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s="1"/>
  <c r="AC36" i="21"/>
  <c r="W36" i="21"/>
  <c r="E101" i="33"/>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F70" i="43"/>
  <c r="H70" i="43" s="1"/>
  <c r="M1" i="43"/>
  <c r="C6" i="43" s="1"/>
  <c r="F101" i="9"/>
  <c r="F33" i="9"/>
  <c r="C25" i="57"/>
  <c r="N102" i="43"/>
  <c r="W40" i="40"/>
  <c r="U15" i="37"/>
  <c r="AB24" i="36"/>
  <c r="H25" i="34"/>
  <c r="U25" i="34" s="1"/>
  <c r="AB35" i="39"/>
  <c r="AC40" i="37"/>
  <c r="S27" i="37"/>
  <c r="AA12" i="37"/>
  <c r="AA34" i="35"/>
  <c r="S34" i="35"/>
  <c r="AB24" i="35"/>
  <c r="J17" i="34"/>
  <c r="AC17" i="34"/>
  <c r="G80" i="34"/>
  <c r="F17" i="34"/>
  <c r="AA17" i="34" s="1"/>
  <c r="H27" i="33"/>
  <c r="AB27" i="33" s="1"/>
  <c r="F43" i="33"/>
  <c r="S43" i="33"/>
  <c r="F125" i="33"/>
  <c r="G125" i="33"/>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s="1"/>
  <c r="F97" i="39"/>
  <c r="G97" i="39" s="1"/>
  <c r="S26" i="37"/>
  <c r="S24" i="36"/>
  <c r="F44" i="34"/>
  <c r="F126" i="34"/>
  <c r="G126" i="34"/>
  <c r="J44" i="34"/>
  <c r="AC44" i="34"/>
  <c r="S40" i="21"/>
  <c r="U31" i="37"/>
  <c r="W27" i="37"/>
  <c r="AB27" i="37"/>
  <c r="H60" i="37"/>
  <c r="H10" i="37"/>
  <c r="U10" i="37" s="1"/>
  <c r="S24" i="35"/>
  <c r="S31" i="21"/>
  <c r="AB29" i="21"/>
  <c r="AC27" i="36"/>
  <c r="W27" i="36"/>
  <c r="U9" i="34"/>
  <c r="F101" i="33"/>
  <c r="F32" i="33" s="1"/>
  <c r="AA32" i="33" s="1"/>
  <c r="J32" i="33"/>
  <c r="W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G26" i="47"/>
  <c r="K53" i="43"/>
  <c r="J53" i="43" s="1"/>
  <c r="D53" i="43"/>
  <c r="M53" i="43"/>
  <c r="N53" i="43"/>
  <c r="K49" i="43"/>
  <c r="J49" i="43"/>
  <c r="D49" i="43" s="1"/>
  <c r="M49" i="43"/>
  <c r="N49" i="43" s="1"/>
  <c r="K54" i="43"/>
  <c r="J54" i="43" s="1"/>
  <c r="D54" i="43" s="1"/>
  <c r="M54" i="43"/>
  <c r="N54" i="43"/>
  <c r="K50" i="43"/>
  <c r="J50" i="43"/>
  <c r="D50" i="43"/>
  <c r="M50" i="43"/>
  <c r="N50" i="43" s="1"/>
  <c r="K55" i="43"/>
  <c r="J55" i="43" s="1"/>
  <c r="D55" i="43" s="1"/>
  <c r="M55" i="43"/>
  <c r="N55" i="43" s="1"/>
  <c r="K51" i="43"/>
  <c r="J51" i="43" s="1"/>
  <c r="D51" i="43"/>
  <c r="M51" i="43"/>
  <c r="N51" i="43" s="1"/>
  <c r="K48" i="43"/>
  <c r="J48" i="43" s="1"/>
  <c r="M48" i="43"/>
  <c r="N48" i="43" s="1"/>
  <c r="K52" i="43"/>
  <c r="J52" i="43" s="1"/>
  <c r="M52" i="43"/>
  <c r="N52" i="43" s="1"/>
  <c r="D52" i="43" s="1"/>
  <c r="K56" i="43"/>
  <c r="J5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W11" i="33"/>
  <c r="U17" i="33"/>
  <c r="AC41" i="33"/>
  <c r="AA45" i="33"/>
  <c r="U46" i="33"/>
  <c r="S23" i="33"/>
  <c r="U15" i="33"/>
  <c r="S10" i="33"/>
  <c r="AC12" i="33"/>
  <c r="W13" i="33"/>
  <c r="AC46" i="33"/>
  <c r="AC19" i="33"/>
  <c r="W21" i="33"/>
  <c r="AC21" i="33"/>
  <c r="U13"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s="1"/>
  <c r="N49" i="57"/>
  <c r="B58" i="60"/>
  <c r="L109" i="43"/>
  <c r="A125" i="57"/>
  <c r="N47" i="9"/>
  <c r="N104" i="46"/>
  <c r="J17" i="43"/>
  <c r="C7" i="21"/>
  <c r="C58" i="21" s="1"/>
  <c r="D58" i="21" s="1"/>
  <c r="C7" i="33"/>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c r="H82" i="43"/>
  <c r="K82" i="43"/>
  <c r="J82" i="43" s="1"/>
  <c r="D82" i="43"/>
  <c r="H83" i="43"/>
  <c r="M83" i="43"/>
  <c r="N83"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8"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A43" i="33"/>
  <c r="U30" i="33"/>
  <c r="W40" i="33"/>
  <c r="W26" i="33"/>
  <c r="AC45" i="33"/>
  <c r="AB2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AC21" i="21"/>
  <c r="M86" i="43"/>
  <c r="N86" i="43" s="1"/>
  <c r="F34" i="11"/>
  <c r="E19" i="1"/>
  <c r="D20" i="1"/>
  <c r="D18" i="1"/>
  <c r="F50" i="11"/>
  <c r="F19" i="1"/>
  <c r="D19" i="1"/>
  <c r="K87" i="43"/>
  <c r="J87" i="43" s="1"/>
  <c r="D87" i="43"/>
  <c r="E3" i="4"/>
  <c r="B5" i="55" s="1"/>
  <c r="B55" i="60" s="1"/>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B41" i="1"/>
  <c r="M27" i="15" s="1"/>
  <c r="C14" i="15"/>
  <c r="C18" i="15" s="1"/>
  <c r="E81" i="43"/>
  <c r="B79" i="43" s="1"/>
  <c r="C13" i="12"/>
  <c r="C36" i="11"/>
  <c r="D118" i="57"/>
  <c r="D119" i="57"/>
  <c r="I115" i="57" s="1"/>
  <c r="D132" i="57" s="1"/>
  <c r="D134" i="57"/>
  <c r="D130" i="9"/>
  <c r="D13" i="52"/>
  <c r="N46" i="9"/>
  <c r="H84" i="43"/>
  <c r="H9" i="44"/>
  <c r="H7" i="44"/>
  <c r="H10" i="44"/>
  <c r="N12" i="43"/>
  <c r="N4" i="43"/>
  <c r="M7" i="43"/>
  <c r="N1" i="43"/>
  <c r="F59" i="43" s="1"/>
  <c r="M10" i="43"/>
  <c r="M2" i="43"/>
  <c r="H15" i="44"/>
  <c r="H87" i="43"/>
  <c r="H86" i="43"/>
  <c r="H5" i="44"/>
  <c r="N10" i="43"/>
  <c r="N2" i="43"/>
  <c r="N11" i="43"/>
  <c r="N9" i="43"/>
  <c r="M4" i="43"/>
  <c r="N5" i="43"/>
  <c r="N3" i="43"/>
  <c r="M9" i="43"/>
  <c r="E17" i="43"/>
  <c r="N17" i="43"/>
  <c r="L17" i="43"/>
  <c r="O17" i="43"/>
  <c r="M17" i="43"/>
  <c r="J1" i="61"/>
  <c r="J52" i="15"/>
  <c r="M60" i="15" s="1"/>
  <c r="C15" i="59"/>
  <c r="D15" i="59"/>
  <c r="D16" i="59"/>
  <c r="B17" i="59"/>
  <c r="B16" i="59" s="1"/>
  <c r="B15" i="59" s="1"/>
  <c r="B14" i="59" s="1"/>
  <c r="B13" i="59" s="1"/>
  <c r="AB17" i="59"/>
  <c r="U17" i="59"/>
  <c r="AA16" i="59"/>
  <c r="X16" i="59"/>
  <c r="AB16" i="59"/>
  <c r="AA15" i="59"/>
  <c r="Y15" i="59"/>
  <c r="Z15" i="59"/>
  <c r="Y13" i="59"/>
  <c r="Z13" i="59"/>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D131" i="57"/>
  <c r="F14" i="59"/>
  <c r="F13" i="59" s="1"/>
  <c r="C14" i="59"/>
  <c r="C13" i="59" s="1"/>
  <c r="X3" i="59"/>
  <c r="Y3" i="59"/>
  <c r="Z3" i="59" s="1"/>
  <c r="H76" i="43"/>
  <c r="H75" i="43"/>
  <c r="H78" i="43"/>
  <c r="H73" i="43"/>
  <c r="F48" i="43"/>
  <c r="H50" i="43" s="1"/>
  <c r="S17" i="59"/>
  <c r="AB30" i="35"/>
  <c r="I112" i="9"/>
  <c r="D39" i="50" s="1"/>
  <c r="D40" i="50" s="1"/>
  <c r="D114" i="9"/>
  <c r="D115" i="9"/>
  <c r="I113" i="9" s="1"/>
  <c r="D18" i="50"/>
  <c r="B31" i="60" s="1"/>
  <c r="C20" i="57"/>
  <c r="E2" i="34"/>
  <c r="D19" i="57"/>
  <c r="F7" i="61"/>
  <c r="D3" i="61"/>
  <c r="F5" i="61"/>
  <c r="D4" i="61"/>
  <c r="D7" i="61"/>
  <c r="C19" i="57"/>
  <c r="E2" i="21"/>
  <c r="D6" i="61"/>
  <c r="D20" i="57"/>
  <c r="F6" i="61"/>
  <c r="D5" i="61"/>
  <c r="F4" i="61"/>
  <c r="E2" i="33"/>
  <c r="E2" i="11"/>
  <c r="E2" i="35"/>
  <c r="F3" i="61"/>
  <c r="E2" i="37"/>
  <c r="E2" i="36"/>
  <c r="H23" i="31"/>
  <c r="G4" i="47" l="1"/>
  <c r="H63" i="43"/>
  <c r="H65" i="43"/>
  <c r="H62" i="43"/>
  <c r="H59" i="43"/>
  <c r="H67" i="43"/>
  <c r="H61" i="43"/>
  <c r="H60" i="43"/>
  <c r="H66" i="43"/>
  <c r="H64" i="43"/>
  <c r="G15" i="47"/>
  <c r="C12" i="59"/>
  <c r="T13" i="59"/>
  <c r="D13" i="59"/>
  <c r="F12" i="59"/>
  <c r="F11" i="59" s="1"/>
  <c r="F10" i="59" s="1"/>
  <c r="F9" i="59" s="1"/>
  <c r="V13" i="59"/>
  <c r="B12" i="59"/>
  <c r="B11" i="59" s="1"/>
  <c r="B10" i="59" s="1"/>
  <c r="B9" i="59" s="1"/>
  <c r="S13" i="59"/>
  <c r="AC30" i="35"/>
  <c r="D14" i="59"/>
  <c r="C58" i="33"/>
  <c r="D58" i="33" s="1"/>
  <c r="E58" i="33" s="1"/>
  <c r="F58" i="33" s="1"/>
  <c r="G58" i="33" s="1"/>
  <c r="H58" i="33" s="1"/>
  <c r="I58" i="33" s="1"/>
  <c r="J58" i="33" s="1"/>
  <c r="K58" i="33" s="1"/>
  <c r="L58" i="33" s="1"/>
  <c r="M58" i="33" s="1"/>
  <c r="N58" i="33" s="1"/>
  <c r="O58" i="33" s="1"/>
  <c r="E7" i="33"/>
  <c r="G7" i="33" s="1"/>
  <c r="I7" i="33" s="1"/>
  <c r="AC11" i="34"/>
  <c r="H32" i="33"/>
  <c r="AB32" i="33" s="1"/>
  <c r="G101" i="33"/>
  <c r="H101" i="33" s="1"/>
  <c r="I101" i="33" s="1"/>
  <c r="J101" i="33" s="1"/>
  <c r="K101" i="33" s="1"/>
  <c r="L101" i="33" s="1"/>
  <c r="M101" i="33" s="1"/>
  <c r="AA15" i="39"/>
  <c r="AB25" i="39"/>
  <c r="W10" i="36"/>
  <c r="U23" i="37"/>
  <c r="U32" i="36"/>
  <c r="AC13" i="36"/>
  <c r="AC14" i="34"/>
  <c r="S47" i="34"/>
  <c r="AB37" i="37"/>
  <c r="W13" i="35"/>
  <c r="AC27" i="40"/>
  <c r="F9" i="35"/>
  <c r="H9" i="35"/>
  <c r="F12" i="35"/>
  <c r="H12" i="35"/>
  <c r="J36" i="35"/>
  <c r="H23" i="36"/>
  <c r="F25" i="37"/>
  <c r="J25" i="37"/>
  <c r="D1" i="58"/>
  <c r="E10" i="58" s="1"/>
  <c r="D59" i="59"/>
  <c r="O59" i="59"/>
  <c r="O58" i="59"/>
  <c r="T45" i="59"/>
  <c r="D45" i="59"/>
  <c r="C52" i="59"/>
  <c r="D51" i="59"/>
  <c r="F7" i="15"/>
  <c r="U2" i="43"/>
  <c r="E5" i="1"/>
  <c r="C33" i="33"/>
  <c r="D29" i="43"/>
  <c r="D1" i="43" s="1"/>
  <c r="C31" i="58"/>
  <c r="C30" i="58"/>
  <c r="C25" i="40"/>
  <c r="B55" i="43"/>
  <c r="B75" i="43"/>
  <c r="U21" i="59"/>
  <c r="D60" i="59"/>
  <c r="D21" i="59"/>
  <c r="AA18" i="59"/>
  <c r="AA21" i="59"/>
  <c r="AB21" i="59"/>
  <c r="AB19" i="59"/>
  <c r="AB3" i="59"/>
  <c r="S21" i="59"/>
  <c r="P59" i="59"/>
  <c r="D39" i="59"/>
  <c r="X18" i="59"/>
  <c r="X21" i="59"/>
  <c r="B23" i="59"/>
  <c r="B24" i="59" s="1"/>
  <c r="B25" i="59" s="1"/>
  <c r="S25" i="59" s="1"/>
  <c r="C23" i="59"/>
  <c r="AA22" i="59"/>
  <c r="F23" i="59"/>
  <c r="F24" i="59" s="1"/>
  <c r="F25" i="59" s="1"/>
  <c r="V25" i="59" s="1"/>
  <c r="Y23" i="59"/>
  <c r="Z23" i="59" s="1"/>
  <c r="AB23" i="59"/>
  <c r="Y24" i="59"/>
  <c r="Z24" i="59" s="1"/>
  <c r="AB24" i="59"/>
  <c r="Y25" i="59"/>
  <c r="Z25" i="59" s="1"/>
  <c r="AB25" i="59"/>
  <c r="X26" i="59"/>
  <c r="B27" i="59"/>
  <c r="B28" i="59" s="1"/>
  <c r="B29" i="59" s="1"/>
  <c r="S29" i="59" s="1"/>
  <c r="Y30" i="59"/>
  <c r="Z30" i="59" s="1"/>
  <c r="C31" i="59"/>
  <c r="F31" i="59"/>
  <c r="F32" i="59" s="1"/>
  <c r="F33" i="59" s="1"/>
  <c r="V33" i="59" s="1"/>
  <c r="B52" i="59"/>
  <c r="B53" i="59" s="1"/>
  <c r="S53" i="59" s="1"/>
  <c r="AA17" i="59"/>
  <c r="X14" i="59"/>
  <c r="AB14" i="59"/>
  <c r="Y14" i="59"/>
  <c r="Z14" i="59" s="1"/>
  <c r="AA10" i="59"/>
  <c r="AA9" i="59"/>
  <c r="E26" i="58"/>
  <c r="C32" i="58"/>
  <c r="S25" i="40"/>
  <c r="Y26" i="59"/>
  <c r="Z26" i="59" s="1"/>
  <c r="C27" i="59"/>
  <c r="F27" i="59"/>
  <c r="F28" i="59" s="1"/>
  <c r="F29" i="59" s="1"/>
  <c r="V29" i="59" s="1"/>
  <c r="X30" i="59"/>
  <c r="B31" i="59"/>
  <c r="B32" i="59" s="1"/>
  <c r="B33" i="59" s="1"/>
  <c r="S33" i="59" s="1"/>
  <c r="X23" i="59"/>
  <c r="AA23" i="59"/>
  <c r="X24" i="59"/>
  <c r="AA24" i="59"/>
  <c r="X25" i="59"/>
  <c r="AA25" i="59"/>
  <c r="AA26" i="59"/>
  <c r="X27" i="59"/>
  <c r="AA27" i="59"/>
  <c r="X28" i="59"/>
  <c r="AA28" i="59"/>
  <c r="X29" i="59"/>
  <c r="AA29" i="59"/>
  <c r="AA30" i="59"/>
  <c r="AA31" i="59"/>
  <c r="S69" i="59"/>
  <c r="B68" i="59"/>
  <c r="B67" i="59" s="1"/>
  <c r="E8" i="59"/>
  <c r="E7" i="59" s="1"/>
  <c r="E6" i="59" s="1"/>
  <c r="E5" i="59" s="1"/>
  <c r="U5" i="59" s="1"/>
  <c r="U9" i="59"/>
  <c r="Y17" i="59"/>
  <c r="Z17" i="59" s="1"/>
  <c r="AB15" i="59"/>
  <c r="AA12" i="59"/>
  <c r="Y12" i="59"/>
  <c r="Z12" i="59" s="1"/>
  <c r="AB10" i="59"/>
  <c r="X10" i="59"/>
  <c r="AB9" i="59"/>
  <c r="Y11" i="59"/>
  <c r="Z11" i="59" s="1"/>
  <c r="Y7" i="59"/>
  <c r="Z7" i="59" s="1"/>
  <c r="AB6" i="59"/>
  <c r="P61" i="59"/>
  <c r="F68" i="59"/>
  <c r="F67" i="59" s="1"/>
  <c r="Y16" i="59"/>
  <c r="Z16" i="59" s="1"/>
  <c r="AA14" i="59"/>
  <c r="X8" i="59"/>
  <c r="AA8" i="59"/>
  <c r="Y5" i="59"/>
  <c r="Z5" i="59" s="1"/>
  <c r="AA6" i="59"/>
  <c r="X5" i="59"/>
  <c r="X7" i="59"/>
  <c r="V17" i="59"/>
  <c r="X17" i="59"/>
  <c r="X15" i="59"/>
  <c r="Y10" i="59"/>
  <c r="Z10" i="59" s="1"/>
  <c r="Y8" i="59"/>
  <c r="Z8" i="59" s="1"/>
  <c r="AB8" i="59"/>
  <c r="Y6" i="59"/>
  <c r="Z6" i="59" s="1"/>
  <c r="AA5" i="59"/>
  <c r="AA7" i="59"/>
  <c r="X6" i="59"/>
  <c r="AB5" i="59"/>
  <c r="AB7" i="59"/>
  <c r="C16" i="15"/>
  <c r="J39" i="33"/>
  <c r="AC39" i="33" s="1"/>
  <c r="E117" i="33"/>
  <c r="F117" i="33" s="1"/>
  <c r="G117" i="33" s="1"/>
  <c r="U40" i="33"/>
  <c r="AB45" i="33"/>
  <c r="S46" i="33"/>
  <c r="H42" i="33"/>
  <c r="U42" i="33" s="1"/>
  <c r="F42" i="33"/>
  <c r="AB41" i="33"/>
  <c r="S37" i="33"/>
  <c r="AA37" i="33"/>
  <c r="H36" i="33"/>
  <c r="U36" i="33" s="1"/>
  <c r="G111" i="33"/>
  <c r="H111" i="33" s="1"/>
  <c r="I111" i="33" s="1"/>
  <c r="J111" i="33" s="1"/>
  <c r="K111" i="33" s="1"/>
  <c r="L111" i="33" s="1"/>
  <c r="M111" i="33" s="1"/>
  <c r="F36" i="33"/>
  <c r="S36" i="33" s="1"/>
  <c r="J36" i="33"/>
  <c r="AC36" i="33" s="1"/>
  <c r="AA44" i="33"/>
  <c r="W36" i="33"/>
  <c r="AB43" i="33"/>
  <c r="W43" i="33"/>
  <c r="AB42" i="33"/>
  <c r="U38" i="33"/>
  <c r="S38" i="33"/>
  <c r="AA36" i="33"/>
  <c r="U35" i="33"/>
  <c r="W35" i="33"/>
  <c r="AC32" i="33"/>
  <c r="S32" i="33"/>
  <c r="U27" i="33"/>
  <c r="AA27" i="33"/>
  <c r="F87" i="33"/>
  <c r="J25" i="33" s="1"/>
  <c r="F25" i="33"/>
  <c r="AA25" i="33" s="1"/>
  <c r="U23" i="33"/>
  <c r="W23" i="33"/>
  <c r="U21" i="33"/>
  <c r="U19" i="33"/>
  <c r="AA19" i="33"/>
  <c r="W17" i="33"/>
  <c r="S17" i="33"/>
  <c r="W15" i="33"/>
  <c r="W10" i="33"/>
  <c r="AB10" i="33"/>
  <c r="U9" i="33"/>
  <c r="S9" i="33"/>
  <c r="W9" i="33"/>
  <c r="U8" i="33"/>
  <c r="S8" i="33"/>
  <c r="AC34" i="33"/>
  <c r="U34" i="33"/>
  <c r="S34" i="33"/>
  <c r="S39" i="33"/>
  <c r="U39" i="33"/>
  <c r="W37" i="33"/>
  <c r="AA35" i="33"/>
  <c r="U32" i="33"/>
  <c r="AA28" i="33"/>
  <c r="AC27" i="33"/>
  <c r="AB26" i="33"/>
  <c r="S26" i="33"/>
  <c r="D56" i="43"/>
  <c r="D48" i="43"/>
  <c r="D116" i="43"/>
  <c r="E116" i="43" s="1"/>
  <c r="F116" i="43" s="1"/>
  <c r="G116" i="43" s="1"/>
  <c r="H116" i="43" s="1"/>
  <c r="D117" i="43"/>
  <c r="E117" i="43" s="1"/>
  <c r="F117" i="43" s="1"/>
  <c r="G117" i="43" s="1"/>
  <c r="H117" i="43" s="1"/>
  <c r="B117" i="43"/>
  <c r="C117" i="43" s="1"/>
  <c r="C105" i="43"/>
  <c r="K103" i="43"/>
  <c r="D105" i="43"/>
  <c r="K106" i="43"/>
  <c r="H102" i="43"/>
  <c r="G105" i="43"/>
  <c r="E8" i="43"/>
  <c r="E11" i="43"/>
  <c r="E9" i="43"/>
  <c r="E10" i="43"/>
  <c r="H51" i="43"/>
  <c r="B20" i="60"/>
  <c r="C18" i="50"/>
  <c r="H54" i="43"/>
  <c r="AA8" i="37"/>
  <c r="AC8" i="37"/>
  <c r="AC36" i="37"/>
  <c r="S36" i="37"/>
  <c r="S30" i="37"/>
  <c r="W31" i="37"/>
  <c r="AA29" i="37"/>
  <c r="D68" i="39"/>
  <c r="E68" i="39" s="1"/>
  <c r="C21" i="50"/>
  <c r="M17" i="15"/>
  <c r="F15" i="48"/>
  <c r="H15" i="48" s="1"/>
  <c r="B14" i="48"/>
  <c r="D14" i="48" s="1"/>
  <c r="F13" i="48"/>
  <c r="H13" i="48" s="1"/>
  <c r="F14" i="48"/>
  <c r="H14" i="48" s="1"/>
  <c r="B18" i="49"/>
  <c r="B4" i="60" s="1"/>
  <c r="L60" i="15"/>
  <c r="Q72" i="15" s="1"/>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T28" i="31"/>
  <c r="C116" i="57"/>
  <c r="H112" i="57" s="1"/>
  <c r="B36" i="50"/>
  <c r="B56" i="60"/>
  <c r="H53" i="43"/>
  <c r="N60" i="15"/>
  <c r="G17" i="43"/>
  <c r="C16" i="43" s="1"/>
  <c r="C5" i="43" s="1"/>
  <c r="D70" i="39"/>
  <c r="J20" i="15"/>
  <c r="C6" i="15"/>
  <c r="C32" i="15" s="1"/>
  <c r="F51" i="15"/>
  <c r="D63" i="40"/>
  <c r="C65" i="40"/>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C94" i="57"/>
  <c r="C96" i="57"/>
  <c r="C113" i="57"/>
  <c r="H108" i="57" s="1"/>
  <c r="C115" i="57"/>
  <c r="H110" i="57" s="1"/>
  <c r="D19" i="50"/>
  <c r="B32" i="60" s="1"/>
  <c r="D128" i="9"/>
  <c r="D11" i="52" s="1"/>
  <c r="D20" i="50"/>
  <c r="C34" i="15"/>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4" i="57"/>
  <c r="D104" i="57"/>
  <c r="G1" i="61"/>
  <c r="Q59" i="15" l="1"/>
  <c r="D5" i="43"/>
  <c r="C31" i="12"/>
  <c r="AB36" i="33"/>
  <c r="D31" i="59"/>
  <c r="C32" i="59"/>
  <c r="D23" i="59"/>
  <c r="C24" i="59"/>
  <c r="D20" i="12"/>
  <c r="C20" i="12" s="1"/>
  <c r="C18" i="12" s="1"/>
  <c r="D17" i="12"/>
  <c r="C17" i="12" s="1"/>
  <c r="B27" i="31"/>
  <c r="C7" i="12"/>
  <c r="C8" i="12" s="1"/>
  <c r="C4" i="12" s="1"/>
  <c r="C23" i="12" s="1"/>
  <c r="D14" i="12"/>
  <c r="C14" i="12" s="1"/>
  <c r="F18" i="1"/>
  <c r="C11" i="12" s="1"/>
  <c r="C53" i="59"/>
  <c r="D52" i="59"/>
  <c r="AA25" i="37"/>
  <c r="S25" i="37"/>
  <c r="AC36" i="35"/>
  <c r="W36" i="35"/>
  <c r="S12" i="35"/>
  <c r="AA12" i="35"/>
  <c r="AA9" i="35"/>
  <c r="S9" i="35"/>
  <c r="B8" i="59"/>
  <c r="B7" i="59" s="1"/>
  <c r="B6" i="59" s="1"/>
  <c r="B5" i="59" s="1"/>
  <c r="S5" i="59" s="1"/>
  <c r="S9" i="59"/>
  <c r="F8" i="59"/>
  <c r="F7" i="59" s="1"/>
  <c r="F6" i="59" s="1"/>
  <c r="F5" i="59" s="1"/>
  <c r="V5" i="59" s="1"/>
  <c r="V9" i="59"/>
  <c r="F7" i="37"/>
  <c r="S7" i="37" s="1"/>
  <c r="H7" i="37"/>
  <c r="AB7" i="37" s="1"/>
  <c r="T42" i="37" s="1"/>
  <c r="G42" i="37" s="1"/>
  <c r="G46" i="37" s="1"/>
  <c r="H46" i="37" s="1"/>
  <c r="D27" i="59"/>
  <c r="C28" i="59"/>
  <c r="H33" i="33"/>
  <c r="F33" i="33"/>
  <c r="J33" i="33"/>
  <c r="AC25" i="37"/>
  <c r="W25" i="37"/>
  <c r="AB23" i="36"/>
  <c r="U23" i="36"/>
  <c r="U12" i="35"/>
  <c r="AB12" i="35"/>
  <c r="AB9" i="35"/>
  <c r="U9" i="35"/>
  <c r="C11" i="59"/>
  <c r="D12" i="59"/>
  <c r="C19" i="15"/>
  <c r="C20" i="15" s="1"/>
  <c r="C26" i="15" s="1"/>
  <c r="W39" i="33"/>
  <c r="AC25" i="33"/>
  <c r="W25" i="33"/>
  <c r="AA42" i="33"/>
  <c r="S42" i="33"/>
  <c r="S25" i="33"/>
  <c r="G87" i="33"/>
  <c r="H87" i="33" s="1"/>
  <c r="I87" i="33" s="1"/>
  <c r="J87" i="33" s="1"/>
  <c r="K87" i="33" s="1"/>
  <c r="L87" i="33" s="1"/>
  <c r="M87" i="33" s="1"/>
  <c r="H25" i="33"/>
  <c r="E48" i="43"/>
  <c r="B46" i="43" s="1"/>
  <c r="C24" i="43" s="1"/>
  <c r="C30" i="11"/>
  <c r="C105" i="57"/>
  <c r="C33" i="11"/>
  <c r="C39" i="11" s="1"/>
  <c r="C46" i="11" s="1"/>
  <c r="C45" i="11" s="1"/>
  <c r="U7" i="37"/>
  <c r="C50" i="15"/>
  <c r="F60" i="15"/>
  <c r="AC7" i="33"/>
  <c r="D113" i="43"/>
  <c r="D65" i="40"/>
  <c r="E63" i="40"/>
  <c r="L49" i="15"/>
  <c r="I20" i="43"/>
  <c r="B14" i="1"/>
  <c r="AC7" i="37"/>
  <c r="V42" i="37" s="1"/>
  <c r="I42" i="37" s="1"/>
  <c r="W7" i="37"/>
  <c r="AB7" i="33"/>
  <c r="U7" i="33"/>
  <c r="F58" i="21"/>
  <c r="E59" i="34"/>
  <c r="S7" i="35"/>
  <c r="AA7" i="35"/>
  <c r="R38" i="35" s="1"/>
  <c r="AA7" i="33"/>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W7" i="35"/>
  <c r="C19" i="43"/>
  <c r="P24" i="43"/>
  <c r="B66" i="40" s="1"/>
  <c r="P21" i="43"/>
  <c r="B71" i="39" s="1"/>
  <c r="P23" i="43"/>
  <c r="P22" i="43"/>
  <c r="E27" i="1"/>
  <c r="P28" i="43"/>
  <c r="N28" i="43"/>
  <c r="M28" i="43"/>
  <c r="O28" i="43"/>
  <c r="F11" i="15"/>
  <c r="M11" i="15"/>
  <c r="J10" i="15" s="1"/>
  <c r="J5" i="15" s="1"/>
  <c r="G20" i="43" l="1"/>
  <c r="E41" i="43" s="1"/>
  <c r="C41" i="43" s="1"/>
  <c r="C39" i="43" s="1"/>
  <c r="G39" i="43" s="1"/>
  <c r="I39" i="43" s="1"/>
  <c r="H7" i="36"/>
  <c r="C10" i="59"/>
  <c r="D11" i="59"/>
  <c r="AA33" i="33"/>
  <c r="R48" i="33" s="1"/>
  <c r="E48" i="33" s="1"/>
  <c r="S33" i="33"/>
  <c r="C29" i="59"/>
  <c r="D28" i="59"/>
  <c r="T53" i="59"/>
  <c r="D53" i="59"/>
  <c r="X27" i="31"/>
  <c r="X25" i="31" s="1"/>
  <c r="V27" i="31"/>
  <c r="V25" i="31" s="1"/>
  <c r="C36" i="57" s="1"/>
  <c r="D125" i="57" s="1"/>
  <c r="B25" i="31"/>
  <c r="Y27" i="31"/>
  <c r="Y25" i="31" s="1"/>
  <c r="C37" i="57" s="1"/>
  <c r="F125" i="57" s="1"/>
  <c r="U27" i="31"/>
  <c r="U25" i="31" s="1"/>
  <c r="S27" i="31"/>
  <c r="S25" i="31" s="1"/>
  <c r="T27" i="31"/>
  <c r="T25" i="31" s="1"/>
  <c r="AA7" i="37"/>
  <c r="R42" i="37" s="1"/>
  <c r="W33" i="33"/>
  <c r="AC33" i="33"/>
  <c r="V48" i="33" s="1"/>
  <c r="I48" i="33" s="1"/>
  <c r="I52" i="33" s="1"/>
  <c r="J52" i="33" s="1"/>
  <c r="AB33" i="33"/>
  <c r="U33" i="33"/>
  <c r="C15" i="12"/>
  <c r="C12" i="12"/>
  <c r="C25" i="59"/>
  <c r="D24" i="59"/>
  <c r="C33" i="59"/>
  <c r="D32" i="59"/>
  <c r="AB25" i="33"/>
  <c r="U25" i="33"/>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F7" i="36"/>
  <c r="I42" i="35"/>
  <c r="J42" i="35" s="1"/>
  <c r="I70" i="39"/>
  <c r="J68" i="39"/>
  <c r="AB7" i="36"/>
  <c r="T36" i="36" s="1"/>
  <c r="G36" i="36" s="1"/>
  <c r="U7" i="36"/>
  <c r="R39" i="35"/>
  <c r="E38" i="35"/>
  <c r="I43" i="35" s="1"/>
  <c r="J43" i="35" s="1"/>
  <c r="F59" i="34"/>
  <c r="G58" i="21"/>
  <c r="I46" i="37"/>
  <c r="J46" i="37" s="1"/>
  <c r="G47" i="37"/>
  <c r="H47" i="37" s="1"/>
  <c r="C10" i="15"/>
  <c r="C5" i="15" s="1"/>
  <c r="C54" i="15"/>
  <c r="C49" i="15" s="1"/>
  <c r="J24" i="15"/>
  <c r="J26" i="15"/>
  <c r="F22" i="11"/>
  <c r="F41" i="11" s="1"/>
  <c r="F24" i="15"/>
  <c r="F25" i="12"/>
  <c r="C38" i="43" l="1"/>
  <c r="G38" i="43" s="1"/>
  <c r="I38" i="43" s="1"/>
  <c r="C20" i="43"/>
  <c r="C29" i="43" s="1"/>
  <c r="E29" i="43" s="1"/>
  <c r="C6" i="11" s="1"/>
  <c r="C7" i="11" s="1"/>
  <c r="C5" i="11" s="1"/>
  <c r="C20" i="11" s="1"/>
  <c r="C28" i="11" s="1"/>
  <c r="C27" i="11" s="1"/>
  <c r="M19" i="43"/>
  <c r="T33" i="59"/>
  <c r="D33" i="59"/>
  <c r="T25" i="59"/>
  <c r="D25" i="59"/>
  <c r="F126" i="57"/>
  <c r="D126" i="57"/>
  <c r="L108" i="57"/>
  <c r="T48" i="33"/>
  <c r="G48" i="33" s="1"/>
  <c r="G52" i="33" s="1"/>
  <c r="H52" i="33" s="1"/>
  <c r="C16" i="12"/>
  <c r="C21" i="12" s="1"/>
  <c r="R43" i="37"/>
  <c r="E42" i="37"/>
  <c r="B23" i="31"/>
  <c r="R25" i="31"/>
  <c r="B125" i="57"/>
  <c r="G125" i="57" s="1"/>
  <c r="H103" i="57"/>
  <c r="T29" i="59"/>
  <c r="D29" i="59"/>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2" i="33"/>
  <c r="F52" i="33" s="1"/>
  <c r="I53" i="33"/>
  <c r="J53" i="33" s="1"/>
  <c r="I40" i="36"/>
  <c r="J40" i="36" s="1"/>
  <c r="H58" i="21"/>
  <c r="G59" i="34"/>
  <c r="C38" i="35"/>
  <c r="C39" i="35"/>
  <c r="G41" i="36"/>
  <c r="H41" i="36" s="1"/>
  <c r="G40" i="36"/>
  <c r="H40" i="36" s="1"/>
  <c r="E39" i="43"/>
  <c r="C26" i="12"/>
  <c r="D25" i="12" s="1"/>
  <c r="C23" i="15"/>
  <c r="C24" i="15"/>
  <c r="C43" i="11"/>
  <c r="C44" i="11"/>
  <c r="D41" i="11" s="1"/>
  <c r="C42" i="11"/>
  <c r="C26" i="11"/>
  <c r="D22" i="11" s="1"/>
  <c r="C24" i="11"/>
  <c r="C61" i="15"/>
  <c r="C67" i="15"/>
  <c r="C38" i="15"/>
  <c r="T3" i="43" l="1"/>
  <c r="V3" i="43" s="1"/>
  <c r="T10" i="43"/>
  <c r="V10" i="43" s="1"/>
  <c r="C30" i="43"/>
  <c r="E30" i="43" s="1"/>
  <c r="T2" i="43"/>
  <c r="V2" i="43" s="1"/>
  <c r="T7" i="43"/>
  <c r="V7" i="43" s="1"/>
  <c r="T13" i="43"/>
  <c r="V13" i="43" s="1"/>
  <c r="T12" i="43"/>
  <c r="V12" i="43" s="1"/>
  <c r="E38" i="43"/>
  <c r="G53" i="33"/>
  <c r="H53" i="33" s="1"/>
  <c r="E53" i="33"/>
  <c r="F53" i="33" s="1"/>
  <c r="R49" i="33"/>
  <c r="C48" i="33" s="1"/>
  <c r="T11" i="43"/>
  <c r="V11" i="43" s="1"/>
  <c r="T9" i="43"/>
  <c r="V9" i="43" s="1"/>
  <c r="C36" i="43"/>
  <c r="G36" i="43" s="1"/>
  <c r="I36" i="43" s="1"/>
  <c r="T5" i="43"/>
  <c r="V5" i="43" s="1"/>
  <c r="T15" i="43"/>
  <c r="V15" i="43" s="1"/>
  <c r="C34" i="43"/>
  <c r="G34" i="43" s="1"/>
  <c r="I34" i="43" s="1"/>
  <c r="T14" i="43"/>
  <c r="V14" i="43" s="1"/>
  <c r="T4" i="43"/>
  <c r="V4" i="43" s="1"/>
  <c r="C37" i="43"/>
  <c r="E37" i="43" s="1"/>
  <c r="T8" i="43"/>
  <c r="V8" i="43" s="1"/>
  <c r="C33" i="43"/>
  <c r="G33" i="43" s="1"/>
  <c r="I33" i="43" s="1"/>
  <c r="T6" i="43"/>
  <c r="V6" i="43" s="1"/>
  <c r="T16" i="43"/>
  <c r="V16" i="43" s="1"/>
  <c r="C35" i="43"/>
  <c r="E35" i="43" s="1"/>
  <c r="B24" i="31"/>
  <c r="B3" i="31" s="1"/>
  <c r="C35" i="57" s="1"/>
  <c r="I125" i="57" s="1"/>
  <c r="B2" i="31"/>
  <c r="C34" i="57" s="1"/>
  <c r="H125" i="57" s="1"/>
  <c r="C43" i="37"/>
  <c r="B2" i="37" s="1"/>
  <c r="B3" i="37" s="1"/>
  <c r="C42" i="37"/>
  <c r="C8" i="59"/>
  <c r="T9" i="59"/>
  <c r="D9" i="59"/>
  <c r="E47" i="37"/>
  <c r="F47" i="37" s="1"/>
  <c r="E46" i="37"/>
  <c r="F46" i="37" s="1"/>
  <c r="I47" i="37"/>
  <c r="J47" i="37" s="1"/>
  <c r="C22" i="12"/>
  <c r="C27" i="12" s="1"/>
  <c r="C25" i="12" s="1"/>
  <c r="E125" i="57"/>
  <c r="E33" i="43"/>
  <c r="C25" i="11"/>
  <c r="C23" i="11"/>
  <c r="G65" i="40"/>
  <c r="H63" i="40"/>
  <c r="J29" i="15"/>
  <c r="B3" i="35"/>
  <c r="B2" i="35"/>
  <c r="H59" i="34"/>
  <c r="R37" i="36"/>
  <c r="E36" i="36"/>
  <c r="K70" i="39"/>
  <c r="L68" i="39"/>
  <c r="I58" i="21"/>
  <c r="C41" i="11"/>
  <c r="C49" i="11" s="1"/>
  <c r="C51" i="11" s="1"/>
  <c r="C29" i="15"/>
  <c r="J14" i="15" s="1"/>
  <c r="G35" i="43" l="1"/>
  <c r="I35" i="43" s="1"/>
  <c r="C49" i="33"/>
  <c r="B2" i="33" s="1"/>
  <c r="E36" i="43"/>
  <c r="G37" i="43"/>
  <c r="I37" i="43" s="1"/>
  <c r="E34" i="43"/>
  <c r="C30" i="12"/>
  <c r="C28" i="12" s="1"/>
  <c r="C32" i="12" s="1"/>
  <c r="B2" i="12" s="1"/>
  <c r="D110" i="57"/>
  <c r="D116" i="57" s="1"/>
  <c r="C107" i="57"/>
  <c r="H126" i="57"/>
  <c r="I104" i="57"/>
  <c r="D8" i="59"/>
  <c r="C7" i="59"/>
  <c r="D111" i="57"/>
  <c r="I105" i="57"/>
  <c r="C108" i="57"/>
  <c r="C22" i="11"/>
  <c r="C31" i="11" s="1"/>
  <c r="C52" i="11" s="1"/>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D19" i="9"/>
  <c r="C27" i="43" l="1"/>
  <c r="D101" i="9"/>
  <c r="B3" i="33"/>
  <c r="B3" i="12"/>
  <c r="D117" i="57"/>
  <c r="I113" i="57" s="1"/>
  <c r="D130" i="57" s="1"/>
  <c r="D7" i="59"/>
  <c r="C6" i="59"/>
  <c r="I112" i="57"/>
  <c r="N50" i="57"/>
  <c r="D47"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19" i="9"/>
  <c r="D20" i="9"/>
  <c r="C20" i="9"/>
  <c r="D102" i="9" l="1"/>
  <c r="D61" i="57"/>
  <c r="N57" i="57" s="1"/>
  <c r="D57" i="57"/>
  <c r="N55" i="57" s="1"/>
  <c r="C95" i="57"/>
  <c r="C88" i="57" s="1"/>
  <c r="D54" i="57"/>
  <c r="C87" i="57"/>
  <c r="C97" i="57" s="1"/>
  <c r="C98" i="57" s="1"/>
  <c r="E98" i="57" s="1"/>
  <c r="E99" i="57" s="1"/>
  <c r="D55" i="57"/>
  <c r="D50" i="57" s="1"/>
  <c r="N54" i="57" s="1"/>
  <c r="C80" i="57"/>
  <c r="C75" i="57" s="1"/>
  <c r="C66" i="57"/>
  <c r="C65" i="57" s="1"/>
  <c r="C69" i="57" s="1"/>
  <c r="C70" i="57" s="1"/>
  <c r="D56" i="57" s="1"/>
  <c r="C74" i="57"/>
  <c r="C81" i="57" s="1"/>
  <c r="D129" i="57"/>
  <c r="N51" i="57"/>
  <c r="D6" i="59"/>
  <c r="C5" i="59"/>
  <c r="C102" i="9"/>
  <c r="G20" i="9"/>
  <c r="C101" i="9"/>
  <c r="D22" i="9"/>
  <c r="G19" i="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5" i="59" l="1"/>
  <c r="D5" i="59"/>
  <c r="M20" i="43" s="1"/>
  <c r="M65" i="57"/>
  <c r="N65" i="57" s="1"/>
  <c r="M70" i="57"/>
  <c r="N70" i="57" s="1"/>
  <c r="M68" i="57"/>
  <c r="N68" i="57" s="1"/>
  <c r="M67" i="57"/>
  <c r="N67" i="57" s="1"/>
  <c r="M66" i="57"/>
  <c r="N66" i="57" s="1"/>
  <c r="M69" i="57"/>
  <c r="N69" i="57" s="1"/>
  <c r="C82" i="57"/>
  <c r="E82" i="57" s="1"/>
  <c r="E83" i="57" s="1"/>
  <c r="C83" i="57"/>
  <c r="C99" i="57"/>
  <c r="D60" i="57" s="1"/>
  <c r="D58" i="57" s="1"/>
  <c r="N56" i="57" s="1"/>
  <c r="O59" i="57" s="1"/>
  <c r="O61" i="57" s="1"/>
  <c r="I116" i="57" s="1"/>
  <c r="D133" i="57" s="1"/>
  <c r="D14" i="62"/>
  <c r="E14" i="62" s="1"/>
  <c r="G14" i="62"/>
  <c r="F14" i="62"/>
  <c r="C32" i="9"/>
  <c r="L63" i="40"/>
  <c r="K65" i="40"/>
  <c r="E52" i="21"/>
  <c r="F52" i="21" s="1"/>
  <c r="E53" i="21"/>
  <c r="F53" i="21" s="1"/>
  <c r="C48" i="21"/>
  <c r="C49" i="21"/>
  <c r="B2" i="21" s="1"/>
  <c r="B3" i="21" s="1"/>
  <c r="J7" i="39"/>
  <c r="H7" i="39"/>
  <c r="F7" i="39"/>
  <c r="L59" i="34"/>
  <c r="C47" i="15"/>
  <c r="J41" i="15"/>
  <c r="J42" i="15" s="1"/>
  <c r="Q54" i="15"/>
  <c r="C43" i="15"/>
  <c r="Q65" i="15"/>
  <c r="Q45" i="15"/>
  <c r="Q51" i="15" s="1"/>
  <c r="Q63" i="15"/>
  <c r="D35" i="9"/>
  <c r="O62" i="57" l="1"/>
  <c r="Q59" i="57"/>
  <c r="D120" i="57"/>
  <c r="D121" i="57" s="1"/>
  <c r="I117" i="57" s="1"/>
  <c r="O63" i="57"/>
  <c r="O60" i="57"/>
  <c r="N71" i="57"/>
  <c r="O71" i="57" s="1"/>
  <c r="B5" i="62"/>
  <c r="D5" i="62" s="1"/>
  <c r="B6" i="62"/>
  <c r="C6" i="62" s="1"/>
  <c r="H14" i="62"/>
  <c r="B7" i="62" s="1"/>
  <c r="D6" i="62"/>
  <c r="L65" i="40"/>
  <c r="M63" i="40"/>
  <c r="AA7" i="39"/>
  <c r="R47" i="39" s="1"/>
  <c r="R48" i="39" s="1"/>
  <c r="S7" i="39"/>
  <c r="M59" i="34"/>
  <c r="N59" i="34" s="1"/>
  <c r="O59" i="34" s="1"/>
  <c r="H7" i="34" s="1"/>
  <c r="F7" i="34"/>
  <c r="AB7" i="39"/>
  <c r="U7" i="39"/>
  <c r="AC7" i="39"/>
  <c r="W7" i="39"/>
  <c r="L58" i="15"/>
  <c r="L61" i="15" s="1"/>
  <c r="D34" i="9"/>
  <c r="C35" i="9"/>
  <c r="C34" i="9" s="1"/>
  <c r="C5" i="62" l="1"/>
  <c r="D7" i="62"/>
  <c r="C7" i="62"/>
  <c r="Q64" i="15"/>
  <c r="Q73" i="15" s="1"/>
  <c r="L47" i="15"/>
  <c r="J7" i="34"/>
  <c r="W7" i="34" s="1"/>
  <c r="M65" i="40"/>
  <c r="N63" i="40"/>
  <c r="AA7" i="34"/>
  <c r="R49" i="34" s="1"/>
  <c r="S7" i="34"/>
  <c r="V47" i="39"/>
  <c r="I47" i="39" s="1"/>
  <c r="I51" i="39" s="1"/>
  <c r="J51" i="39" s="1"/>
  <c r="T47" i="39"/>
  <c r="G47" i="39" s="1"/>
  <c r="AB7" i="34"/>
  <c r="T49" i="34" s="1"/>
  <c r="G49" i="34" s="1"/>
  <c r="U7" i="34"/>
  <c r="E47" i="39"/>
  <c r="Q55" i="15"/>
  <c r="Q60" i="15" s="1"/>
  <c r="D59" i="9"/>
  <c r="N55" i="9" s="1"/>
  <c r="B3" i="15" l="1"/>
  <c r="B2"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l="1"/>
  <c r="F54"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E121" i="9" s="1"/>
  <c r="E4" i="52" s="1"/>
  <c r="B38" i="60" s="1"/>
  <c r="F121" i="9"/>
  <c r="F4" i="52" s="1"/>
  <c r="B40" i="60" s="1"/>
  <c r="H121" i="9"/>
  <c r="H4" i="52" s="1"/>
  <c r="F122" i="9" l="1"/>
  <c r="F5" i="52" s="1"/>
  <c r="B42" i="60" s="1"/>
  <c r="G121" i="9"/>
  <c r="G4" i="52" s="1"/>
  <c r="B41" i="60" s="1"/>
  <c r="D4" i="52"/>
  <c r="B37" i="60" s="1"/>
  <c r="H122" i="9"/>
  <c r="H5" i="52" s="1"/>
  <c r="C103" i="9"/>
  <c r="I102" i="9"/>
  <c r="I121" i="9"/>
  <c r="D106" i="9"/>
  <c r="D112" i="9" s="1"/>
  <c r="D122" i="9"/>
  <c r="D5" i="52" s="1"/>
  <c r="B39" i="60" s="1"/>
  <c r="D107" i="9" l="1"/>
  <c r="I103" i="9"/>
  <c r="C104" i="9"/>
  <c r="I4" i="52"/>
  <c r="D113" i="9"/>
  <c r="N48" i="9"/>
  <c r="D7" i="50"/>
  <c r="I110" i="9"/>
  <c r="N49" i="9" s="1"/>
  <c r="D45" i="9"/>
  <c r="D55" i="9" s="1"/>
  <c r="N53" i="9" s="1"/>
  <c r="D28" i="50"/>
  <c r="D29" i="50" s="1"/>
  <c r="M67" i="9" l="1"/>
  <c r="N67" i="9" s="1"/>
  <c r="M64" i="9"/>
  <c r="N64" i="9" s="1"/>
  <c r="M63" i="9"/>
  <c r="N63" i="9" s="1"/>
  <c r="M65" i="9"/>
  <c r="N65" i="9" s="1"/>
  <c r="M68" i="9"/>
  <c r="N68" i="9" s="1"/>
  <c r="M66" i="9"/>
  <c r="N66" i="9" s="1"/>
  <c r="D36" i="50"/>
  <c r="D37" i="50" s="1"/>
  <c r="D125" i="9"/>
  <c r="D8" i="52" s="1"/>
  <c r="D15" i="50"/>
  <c r="C78" i="9"/>
  <c r="C73" i="9" s="1"/>
  <c r="C64" i="9"/>
  <c r="C63" i="9" s="1"/>
  <c r="C67" i="9" s="1"/>
  <c r="C68" i="9" s="1"/>
  <c r="D54" i="9" s="1"/>
  <c r="C85" i="9"/>
  <c r="C72" i="9"/>
  <c r="D53" i="9"/>
  <c r="D52" i="9"/>
  <c r="C93" i="9"/>
  <c r="C86" i="9" s="1"/>
  <c r="B19" i="60"/>
  <c r="D8" i="50"/>
  <c r="B22" i="60" s="1"/>
  <c r="D30" i="50"/>
  <c r="D9" i="50"/>
  <c r="B21" i="60" s="1"/>
  <c r="I111" i="9"/>
  <c r="D38" i="50"/>
  <c r="B62" i="60" s="1"/>
  <c r="N69" i="9" l="1"/>
  <c r="O69" i="9" s="1"/>
  <c r="D48" i="9"/>
  <c r="N52" i="9" s="1"/>
  <c r="C79" i="9"/>
  <c r="C95" i="9"/>
  <c r="D17" i="50"/>
  <c r="D126" i="9"/>
  <c r="D9" i="52" s="1"/>
  <c r="D16" i="50"/>
  <c r="B30" i="60" s="1"/>
  <c r="B29" i="60"/>
  <c r="C80" i="9" l="1"/>
  <c r="E80" i="9" s="1"/>
  <c r="E81" i="9" s="1"/>
  <c r="C96" i="9"/>
  <c r="E96" i="9" s="1"/>
  <c r="E97" i="9" s="1"/>
  <c r="C81" i="9" l="1"/>
  <c r="C97" i="9"/>
  <c r="D58" i="9" l="1"/>
  <c r="D56" i="9" s="1"/>
  <c r="N54" i="9" s="1"/>
  <c r="O57" i="9" s="1"/>
  <c r="O58" i="9" s="1"/>
  <c r="Q57" i="9" l="1"/>
  <c r="O59" i="9"/>
  <c r="I14" i="62" s="1"/>
  <c r="B8" i="62" s="1"/>
  <c r="D8" i="62" l="1"/>
  <c r="C8" i="62"/>
  <c r="O61" i="9"/>
  <c r="I114" i="9"/>
  <c r="D116" i="9"/>
  <c r="O60" i="9"/>
  <c r="D117" i="9" l="1"/>
  <c r="I115" i="9" s="1"/>
  <c r="D23" i="50" s="1"/>
  <c r="B34" i="60" s="1"/>
  <c r="D129" i="9"/>
  <c r="D12" i="52" s="1"/>
  <c r="D42" i="50"/>
  <c r="D43" i="50" s="1"/>
  <c r="D21" i="50"/>
  <c r="D44" i="50" l="1"/>
  <c r="B33" i="60"/>
  <c r="D22" i="50"/>
  <c r="B35"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<sst xmlns="http://schemas.openxmlformats.org/spreadsheetml/2006/main" count="6927" uniqueCount="2978">
  <si>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</si>
  <si>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</si>
  <si>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</si>
  <si>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</si>
  <si>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</si>
  <si>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</si>
  <si>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</si>
  <si>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</si>
  <si>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</si>
  <si>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</si>
  <si>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</si>
  <si>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</si>
  <si>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</si>
  <si>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</si>
  <si>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</si>
  <si>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</si>
  <si>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</si>
  <si>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</si>
  <si>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</si>
  <si>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</si>
  <si>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</si>
  <si>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</si>
  <si>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</si>
  <si>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</si>
  <si>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</si>
  <si>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</si>
  <si>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</si>
  <si>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</si>
  <si>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</si>
  <si>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</si>
  <si>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</si>
  <si>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</si>
  <si>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</si>
  <si>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</si>
  <si>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</si>
  <si>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</si>
  <si>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</si>
  <si>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</si>
  <si>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</si>
  <si>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</si>
  <si>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</si>
  <si>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</si>
  <si>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</si>
  <si>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</si>
  <si>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</si>
  <si>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</si>
  <si>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</si>
  <si>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</si>
  <si>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</si>
  <si>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</si>
  <si>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</si>
  <si>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</si>
  <si>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</si>
  <si>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</si>
  <si>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</si>
  <si>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</si>
  <si>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</si>
  <si>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</si>
  <si>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</si>
  <si>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</si>
  <si>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</si>
  <si>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</si>
  <si>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</si>
  <si>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</si>
  <si>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</si>
  <si>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</si>
  <si>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</si>
  <si>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</si>
  <si>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</si>
  <si>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</si>
  <si>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</si>
  <si>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</si>
  <si>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</si>
  <si>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</si>
  <si>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</si>
  <si>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</si>
  <si>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</si>
  <si>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</si>
  <si>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</si>
  <si>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</si>
  <si>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</si>
  <si>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</si>
  <si>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</si>
  <si>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</si>
  <si>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</si>
  <si>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</si>
  <si>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</si>
  <si>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</si>
  <si>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</si>
  <si>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</si>
  <si>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</si>
  <si>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</si>
  <si>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</si>
  <si>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</si>
  <si>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</si>
  <si>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</si>
  <si>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</si>
  <si>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</si>
  <si>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</si>
  <si>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</si>
  <si>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</si>
  <si>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</si>
  <si>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</si>
  <si>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</si>
  <si>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</si>
  <si>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</si>
  <si>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</si>
  <si>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</si>
  <si>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</si>
  <si>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</si>
  <si>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</si>
  <si>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</si>
  <si>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</si>
  <si>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</si>
  <si>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</si>
  <si>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</si>
  <si>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</si>
  <si>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</si>
  <si>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</si>
  <si>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</si>
  <si>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</si>
  <si>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</si>
  <si>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</si>
  <si>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</si>
  <si>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</si>
  <si>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</si>
  <si>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</si>
  <si>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</si>
  <si>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</si>
  <si>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</si>
  <si>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</si>
  <si>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</si>
  <si>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</si>
  <si>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</si>
  <si>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</si>
  <si>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</si>
  <si>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</si>
  <si>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</si>
  <si>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</si>
  <si>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</si>
  <si>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</si>
  <si>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</si>
  <si>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</si>
  <si>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</si>
  <si>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</si>
  <si>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</si>
  <si>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</si>
  <si>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</si>
  <si>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</si>
  <si>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</si>
  <si>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</si>
  <si>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</si>
  <si>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</si>
  <si>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</si>
  <si>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</si>
  <si>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</si>
  <si>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</si>
  <si>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</si>
  <si>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</si>
  <si>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</si>
  <si>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</si>
  <si>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</si>
  <si>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</si>
  <si>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</si>
  <si>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</si>
  <si>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</si>
  <si>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</si>
  <si>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</si>
  <si>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</si>
  <si>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</si>
  <si>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</si>
  <si>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</si>
  <si>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</si>
  <si>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</si>
  <si>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</si>
  <si>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</si>
  <si>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</si>
  <si>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</si>
  <si>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</si>
  <si>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</si>
  <si>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</si>
  <si>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</si>
  <si>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</si>
  <si>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</si>
  <si>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</si>
  <si>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</si>
  <si>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</si>
  <si>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</si>
  <si>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</si>
  <si>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</si>
  <si>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</si>
  <si>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</si>
  <si>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</si>
  <si>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</si>
  <si>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</si>
  <si>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</si>
  <si>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</si>
  <si>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</si>
  <si>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</si>
  <si>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</si>
  <si>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</si>
  <si>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</si>
  <si>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</si>
  <si>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</si>
  <si>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</si>
  <si>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</si>
  <si>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</si>
  <si>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</si>
  <si>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</si>
  <si>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</si>
  <si>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</si>
  <si>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</si>
  <si>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</si>
  <si>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</si>
  <si>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</si>
  <si>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</si>
  <si>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</si>
  <si>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</si>
  <si>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</si>
  <si>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</si>
  <si>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</si>
  <si>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</si>
  <si>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</si>
  <si>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</si>
  <si>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</si>
  <si>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</si>
  <si>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</si>
  <si>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</si>
  <si>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</si>
  <si>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</si>
  <si>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</si>
  <si>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</si>
  <si>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</si>
  <si>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</si>
  <si>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</si>
  <si>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</si>
  <si>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</si>
  <si>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</si>
  <si>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</si>
  <si>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</si>
  <si>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</si>
  <si>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</si>
  <si>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</si>
  <si>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</si>
  <si>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</si>
  <si>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</si>
  <si>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</si>
  <si>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</si>
  <si>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</si>
  <si>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</si>
  <si>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</si>
  <si>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</si>
  <si>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</si>
  <si>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</si>
  <si>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</si>
  <si>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</si>
  <si>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</si>
  <si>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</si>
  <si>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</si>
  <si>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</si>
  <si>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</si>
  <si>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</si>
  <si>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</si>
  <si>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</si>
  <si>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</si>
  <si>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</si>
  <si>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</si>
  <si>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</si>
  <si>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</si>
  <si>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</si>
  <si>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</si>
  <si>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</si>
  <si>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</si>
  <si>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</si>
  <si>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</si>
  <si>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</si>
  <si>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</si>
  <si>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</si>
  <si>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</si>
  <si>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</si>
  <si>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</si>
  <si>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</si>
  <si>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</si>
  <si>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</si>
  <si>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</si>
  <si>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</si>
  <si>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</si>
  <si>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</si>
  <si>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</si>
  <si>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</si>
  <si>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</si>
  <si>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</si>
  <si>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</si>
  <si>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</si>
  <si>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</si>
  <si>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</si>
  <si>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</si>
  <si>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</si>
  <si>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</si>
  <si>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</si>
  <si>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</si>
  <si>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</si>
  <si>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</si>
  <si>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</si>
  <si>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</si>
  <si>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</si>
  <si>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</si>
  <si>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</si>
  <si>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</si>
  <si>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</si>
  <si>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</si>
  <si>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</si>
  <si>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</si>
  <si>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</si>
  <si>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</si>
  <si>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</si>
  <si>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</si>
  <si>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</si>
  <si>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</si>
  <si>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</si>
  <si>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</si>
  <si>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</si>
  <si>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</si>
  <si>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</si>
  <si>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</si>
  <si>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</si>
  <si>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</si>
  <si>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</si>
  <si>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</si>
  <si>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</si>
  <si>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</si>
  <si>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</si>
  <si>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</si>
  <si>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</si>
  <si>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</si>
  <si>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</si>
  <si>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</si>
  <si>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</si>
  <si>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</si>
  <si>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</si>
  <si>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</si>
  <si>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</si>
  <si>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</si>
  <si>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</si>
  <si>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</si>
  <si>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</si>
  <si>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</si>
  <si>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</si>
  <si>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</si>
  <si>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</si>
  <si>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</si>
  <si>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</si>
  <si>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</si>
  <si>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</si>
  <si>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</si>
  <si>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</si>
  <si>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</si>
  <si>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</si>
  <si>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</si>
  <si>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</si>
  <si>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</si>
  <si>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</si>
  <si>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</si>
  <si>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</si>
  <si>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</si>
  <si>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</si>
  <si>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</si>
  <si>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</si>
  <si>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</si>
  <si>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</si>
  <si>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</si>
  <si>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</si>
  <si>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</si>
  <si>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</si>
  <si>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</si>
  <si>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</si>
  <si>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</si>
  <si>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</si>
  <si>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</si>
  <si>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</si>
  <si>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</si>
  <si>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</si>
  <si>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</si>
  <si>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</si>
  <si>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</si>
  <si>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</si>
  <si>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</si>
  <si>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</si>
  <si>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</si>
  <si>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</si>
  <si>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</si>
  <si>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</si>
  <si>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</si>
  <si>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</si>
  <si>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</si>
  <si>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</si>
  <si>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</si>
  <si>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</si>
  <si>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</si>
  <si>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</si>
  <si>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</si>
  <si>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</si>
  <si>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</si>
  <si>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</si>
  <si>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</si>
  <si>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</si>
  <si>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</si>
  <si>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</si>
  <si>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</si>
  <si>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</si>
  <si>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</si>
  <si>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</si>
  <si>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</si>
  <si>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</si>
  <si>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</si>
  <si>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</si>
  <si>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</si>
  <si>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</si>
  <si>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</si>
  <si>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</si>
  <si>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</si>
  <si>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</si>
  <si>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</si>
  <si>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</si>
  <si>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</si>
  <si>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</si>
  <si>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</si>
  <si>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</si>
  <si>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</si>
  <si>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</si>
  <si>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</si>
  <si>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</si>
  <si>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</si>
  <si>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</si>
  <si>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</si>
  <si>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</si>
  <si>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</si>
  <si>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</si>
  <si>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</si>
  <si>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</si>
  <si>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</si>
  <si>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</si>
  <si>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</si>
  <si>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</si>
  <si>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</si>
  <si>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</si>
  <si>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</si>
  <si>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</si>
  <si>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</si>
  <si>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</si>
  <si>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</si>
  <si>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</si>
  <si>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</si>
  <si>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</si>
  <si>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</si>
  <si>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</si>
  <si>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</si>
  <si>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</si>
  <si>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</si>
  <si>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</si>
  <si>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</si>
  <si>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</si>
  <si>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</si>
  <si>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</si>
  <si>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</si>
  <si>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</si>
  <si>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</si>
  <si>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</si>
  <si>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</si>
  <si>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</si>
  <si>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</si>
  <si>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</si>
  <si>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</si>
  <si>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</si>
  <si>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</si>
  <si>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</si>
  <si>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</si>
  <si>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</si>
  <si>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</si>
  <si>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</si>
  <si>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</si>
  <si>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</si>
  <si>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</si>
  <si>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</si>
  <si>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</si>
  <si>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</si>
  <si>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</si>
  <si>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</si>
  <si>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</si>
  <si>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</si>
  <si>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</si>
  <si>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</si>
  <si>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</si>
  <si>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</si>
  <si>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</si>
  <si>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</si>
  <si>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</si>
  <si>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</si>
  <si>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</si>
  <si>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</si>
  <si>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</si>
  <si>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</si>
  <si>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</si>
  <si>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</si>
  <si>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</si>
  <si>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</si>
  <si>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</si>
  <si>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</si>
  <si>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</si>
  <si>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</si>
  <si>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</si>
  <si>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</si>
  <si>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</si>
  <si>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</si>
  <si>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</si>
  <si>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</si>
  <si>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</si>
  <si>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</si>
  <si>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</si>
  <si>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</si>
  <si>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</si>
  <si>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</si>
  <si>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</si>
  <si>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</si>
  <si>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</si>
  <si>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</si>
  <si>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</si>
  <si>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</si>
  <si>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</si>
  <si>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</si>
  <si>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</si>
  <si>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</si>
  <si>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</si>
  <si>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</si>
  <si>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</si>
  <si>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</si>
  <si>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</si>
  <si>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</si>
  <si>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</si>
  <si>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</si>
  <si>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</si>
  <si>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</si>
  <si>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</si>
  <si>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</si>
  <si>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</si>
  <si>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</si>
  <si>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</si>
  <si>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</si>
  <si>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</si>
  <si>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</si>
  <si>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</si>
  <si>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</si>
  <si>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</si>
  <si>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</si>
  <si>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</si>
  <si>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</si>
  <si>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</si>
  <si>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</si>
  <si>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</si>
  <si>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</si>
  <si>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</si>
  <si>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</si>
  <si>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</si>
  <si>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</si>
  <si>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</si>
  <si>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</si>
  <si>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</si>
  <si>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</si>
  <si>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</si>
  <si>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</si>
  <si>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</si>
  <si>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</si>
  <si>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</si>
  <si>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</si>
  <si>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</si>
  <si>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</si>
  <si>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</si>
  <si>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</si>
  <si>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</si>
  <si>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</si>
  <si>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</si>
  <si>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</si>
  <si>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</si>
  <si>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</si>
  <si>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</si>
  <si>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</si>
  <si>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</si>
  <si>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</si>
  <si>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</si>
  <si>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</si>
  <si>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</si>
  <si>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</si>
  <si>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</si>
  <si>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</si>
  <si>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</si>
  <si>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</si>
  <si>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</si>
  <si>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</si>
  <si>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</si>
  <si>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</si>
  <si>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</si>
  <si>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</si>
  <si>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</si>
  <si>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</si>
  <si>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</si>
  <si>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</si>
  <si>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</si>
  <si>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</si>
  <si>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</si>
  <si>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</si>
  <si>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</si>
  <si>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</si>
  <si>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</si>
  <si>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</si>
  <si>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</si>
  <si>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</si>
  <si>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</si>
  <si>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</si>
  <si>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</si>
  <si>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</si>
  <si>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</si>
  <si>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</si>
  <si>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</si>
  <si>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</si>
  <si>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</si>
  <si>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</si>
  <si>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</si>
  <si>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</si>
  <si>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</si>
  <si>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</si>
  <si>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</si>
  <si>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</si>
  <si>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</si>
  <si>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</si>
  <si>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</si>
  <si>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</si>
  <si>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</si>
  <si>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</si>
  <si>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</si>
  <si>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</si>
  <si>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</si>
  <si>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</si>
  <si>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</si>
  <si>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</si>
  <si>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</si>
  <si>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</si>
  <si>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</si>
  <si>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</si>
  <si>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</si>
  <si>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</si>
  <si>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</si>
  <si>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</si>
  <si>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</si>
  <si>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</si>
  <si>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</si>
  <si>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</si>
  <si>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</si>
  <si>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</si>
  <si>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</si>
  <si>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</si>
  <si>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</si>
  <si>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</si>
  <si>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</si>
  <si>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</si>
  <si>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</si>
  <si>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</si>
  <si>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</si>
  <si>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</si>
  <si>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</si>
  <si>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</si>
  <si>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</si>
  <si>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</si>
  <si>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</si>
  <si>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</si>
  <si>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</si>
  <si>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</si>
  <si>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</si>
  <si>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</si>
  <si>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</si>
  <si>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</si>
  <si>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</si>
  <si>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</si>
  <si>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</si>
  <si>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</si>
  <si>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</si>
  <si>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</si>
  <si>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</si>
  <si>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</si>
  <si>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</si>
  <si>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</si>
  <si>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</si>
  <si>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</si>
  <si>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</si>
  <si>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</si>
  <si>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</si>
  <si>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</si>
  <si>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</si>
  <si>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</si>
  <si>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</si>
  <si>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</si>
  <si>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</si>
  <si>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</si>
  <si>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</si>
  <si>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</si>
  <si>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</si>
  <si>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</si>
  <si>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</si>
  <si>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</si>
  <si>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</si>
  <si>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</si>
  <si>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</si>
  <si>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</si>
  <si>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</si>
  <si>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</si>
  <si>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</si>
  <si>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</si>
  <si>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</si>
  <si>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</si>
  <si>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</si>
  <si>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</si>
  <si>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</si>
  <si>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</si>
  <si>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</si>
  <si>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</si>
  <si>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</si>
  <si>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</si>
  <si>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</si>
  <si>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</si>
  <si>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</si>
  <si>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</si>
  <si>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</si>
  <si>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</si>
  <si>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</si>
  <si>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</si>
  <si>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</si>
  <si>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</si>
  <si>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</si>
  <si>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</si>
  <si>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</si>
  <si>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</si>
  <si>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</si>
  <si>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</si>
  <si>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</si>
  <si>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</si>
  <si>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</si>
  <si>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</si>
  <si>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</si>
  <si>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</si>
  <si>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</si>
  <si>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</si>
  <si>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</si>
  <si>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</si>
  <si>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</si>
  <si>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</si>
  <si>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</si>
  <si>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</si>
  <si>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</si>
  <si>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</si>
  <si>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</si>
  <si>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</si>
  <si>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</si>
  <si>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</si>
  <si>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</si>
  <si>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</si>
  <si>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</si>
  <si>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</si>
  <si>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</si>
  <si>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</si>
  <si>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</si>
  <si>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</si>
  <si>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</si>
  <si>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</si>
  <si>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</si>
  <si>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</si>
  <si>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</si>
  <si>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</si>
  <si>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</si>
  <si>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</si>
  <si>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</si>
  <si>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</si>
  <si>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</si>
  <si>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</si>
  <si>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</si>
  <si>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</si>
  <si>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</si>
  <si>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</si>
  <si>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</si>
  <si>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</si>
  <si>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</si>
  <si>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</si>
  <si>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</si>
  <si>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</si>
  <si>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</si>
  <si>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</si>
  <si>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</si>
  <si>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</si>
  <si>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</si>
  <si>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</si>
  <si>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</si>
  <si>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</si>
  <si>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</si>
  <si>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</si>
  <si>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</si>
  <si>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</si>
  <si>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</si>
  <si>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</si>
  <si>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</si>
  <si>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</si>
  <si>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</si>
  <si>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</si>
  <si>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</si>
  <si>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</si>
  <si>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</si>
  <si>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</si>
  <si>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</si>
  <si>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</si>
  <si>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</si>
  <si>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</si>
  <si>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</si>
  <si>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</si>
  <si>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</si>
  <si>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</si>
  <si>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</si>
  <si>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</si>
  <si>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</si>
  <si>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</si>
  <si>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</si>
  <si>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</si>
  <si>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</si>
  <si>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</si>
  <si>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</si>
  <si>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</si>
  <si>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</si>
  <si>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</si>
  <si>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</si>
  <si>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</si>
  <si>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</si>
  <si>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</si>
  <si>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</si>
  <si>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</si>
  <si>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</si>
  <si>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</si>
  <si>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</si>
  <si>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</si>
  <si>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</si>
  <si>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</si>
  <si>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</si>
  <si>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</si>
  <si>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</si>
  <si>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</si>
  <si>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</si>
  <si>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</si>
  <si>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</si>
  <si>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</si>
  <si>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</si>
  <si>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</si>
  <si>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</si>
  <si>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</si>
  <si>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</si>
  <si>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</si>
  <si>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</si>
  <si>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</si>
  <si>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</si>
  <si>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</si>
  <si>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</si>
  <si>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</si>
  <si>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</si>
  <si>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</si>
  <si>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</si>
  <si>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</si>
  <si>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</si>
  <si>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</si>
  <si>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</si>
  <si>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</si>
  <si>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</si>
  <si>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</si>
  <si>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</si>
  <si>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</si>
  <si>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</si>
  <si>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</si>
  <si>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</si>
  <si>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</si>
  <si>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</si>
  <si>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</si>
  <si>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</si>
  <si>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</si>
  <si>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</si>
  <si>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</si>
  <si>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</si>
  <si>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</si>
  <si>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</si>
  <si>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</si>
  <si>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</si>
  <si>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</si>
  <si>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</si>
  <si>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</si>
  <si>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</si>
  <si>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</si>
  <si>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</si>
  <si>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</si>
  <si>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</si>
  <si>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</si>
  <si>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</si>
  <si>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</si>
  <si>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</si>
  <si>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</si>
  <si>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</si>
  <si>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</si>
  <si>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</si>
  <si>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</si>
  <si>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</si>
  <si>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</si>
  <si>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</si>
  <si>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</si>
  <si>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</si>
  <si>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</si>
  <si>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</si>
  <si>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</si>
  <si>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</si>
  <si>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</si>
  <si>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</si>
  <si>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</si>
  <si>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</si>
  <si>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</si>
  <si>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</si>
  <si>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</si>
  <si>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</si>
  <si>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</si>
  <si>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</si>
  <si>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</si>
  <si>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</si>
  <si>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</si>
  <si>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</si>
  <si>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</si>
  <si>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</si>
  <si>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</si>
  <si>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</si>
  <si>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</si>
  <si>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</si>
  <si>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</si>
  <si>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</si>
  <si>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</si>
  <si>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</si>
  <si>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</si>
  <si>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</si>
  <si>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</si>
  <si>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</si>
  <si>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</si>
  <si>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</si>
  <si>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</si>
  <si>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</si>
  <si>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</si>
  <si>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</si>
  <si>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</si>
  <si>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</si>
  <si>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</si>
  <si>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</si>
  <si>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</si>
  <si>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</si>
  <si>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</si>
  <si>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</si>
  <si>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</si>
  <si>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</si>
  <si>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</si>
  <si>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</si>
  <si>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</si>
  <si>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</si>
  <si>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</si>
  <si>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</si>
  <si>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</si>
  <si>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</si>
  <si>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</si>
  <si>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</si>
  <si>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</si>
  <si>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</si>
  <si>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</si>
  <si>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</si>
  <si>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</si>
  <si>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</si>
  <si>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</si>
  <si>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</si>
  <si>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</si>
  <si>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</si>
  <si>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</si>
  <si>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</si>
  <si>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</si>
  <si>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</si>
  <si>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</si>
  <si>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</si>
  <si>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</si>
  <si>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</si>
  <si>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</si>
  <si>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</si>
  <si>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</si>
  <si>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</si>
  <si>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</si>
  <si>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</si>
  <si>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</si>
  <si>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</si>
  <si>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</si>
  <si>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</si>
  <si>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</si>
  <si>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</si>
  <si>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</si>
  <si>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</si>
  <si>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</si>
  <si>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</si>
  <si>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</si>
  <si>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</si>
  <si>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</si>
  <si>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</si>
  <si>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</si>
  <si>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</si>
  <si>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</si>
  <si>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</si>
  <si>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</si>
  <si>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</si>
  <si>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</si>
  <si>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</si>
  <si>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</si>
  <si>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</si>
  <si>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</si>
  <si>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</si>
  <si>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</si>
  <si>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</si>
  <si>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</si>
  <si>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</si>
  <si>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</si>
  <si>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</si>
  <si>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</si>
  <si>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</si>
  <si>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</si>
  <si>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</si>
  <si>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</si>
  <si>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</si>
  <si>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</si>
  <si>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</si>
  <si>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</si>
  <si>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</si>
  <si>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</si>
  <si>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</si>
  <si>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</si>
  <si>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</si>
  <si>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</si>
  <si>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</si>
  <si>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</si>
  <si>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</si>
  <si>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</si>
  <si>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</si>
  <si>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</si>
  <si>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</si>
  <si>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</si>
  <si>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</si>
  <si>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</si>
  <si>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</si>
  <si>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</si>
  <si>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</si>
  <si>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</si>
  <si>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</si>
  <si>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</si>
  <si>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</si>
  <si>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</si>
  <si>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</si>
  <si>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</si>
  <si>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</si>
  <si>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</si>
  <si>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</si>
  <si>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</si>
  <si>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</si>
  <si>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</si>
  <si>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</si>
  <si>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</si>
  <si>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</si>
  <si>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</si>
  <si>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</si>
  <si>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</si>
  <si>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</si>
  <si>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</si>
  <si>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</si>
  <si>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</si>
  <si>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</si>
  <si>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</si>
  <si>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</si>
  <si>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</si>
  <si>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</si>
  <si>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</si>
  <si>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</si>
  <si>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</si>
  <si>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</si>
  <si>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</si>
  <si>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</si>
  <si>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</si>
  <si>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</si>
  <si>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</si>
  <si>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</si>
  <si>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</si>
  <si>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</si>
  <si>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</si>
  <si>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</si>
  <si>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</si>
  <si>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</si>
  <si>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</si>
  <si>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</si>
  <si>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</si>
  <si>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</si>
  <si>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</si>
  <si>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</si>
  <si>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</si>
  <si>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</si>
  <si>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</si>
  <si>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</si>
  <si>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</si>
  <si>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</si>
  <si>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</si>
  <si>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</si>
  <si>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</si>
  <si>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</si>
  <si>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</si>
  <si>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</si>
  <si>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</si>
  <si>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</si>
  <si>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</si>
  <si>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</si>
  <si>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</si>
  <si>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</si>
  <si>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</si>
  <si>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</si>
  <si>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</si>
  <si>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</si>
  <si>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</si>
  <si>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</si>
  <si>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</si>
  <si>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</si>
  <si>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</si>
  <si>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</si>
  <si>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</si>
  <si>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</si>
  <si>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</si>
  <si>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</si>
  <si>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</si>
  <si>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</si>
  <si>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</si>
  <si>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</si>
  <si>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</si>
  <si>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</si>
  <si>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</si>
  <si>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</si>
  <si>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</si>
  <si>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</si>
  <si>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</si>
  <si>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</si>
  <si>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</si>
  <si>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</si>
  <si>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</si>
  <si>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</si>
  <si>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</si>
  <si>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</si>
  <si>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</si>
  <si>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</si>
  <si>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</si>
  <si>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</si>
  <si>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</si>
  <si>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</si>
  <si>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</si>
  <si>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</si>
  <si>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</si>
  <si>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</si>
  <si>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</si>
  <si>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</si>
  <si>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</si>
  <si>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</si>
  <si>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</si>
  <si>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</si>
  <si>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</si>
  <si>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</si>
  <si>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</si>
  <si>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</si>
  <si>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</si>
  <si>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</si>
  <si>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</si>
  <si>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</si>
  <si>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</si>
  <si>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</si>
  <si>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</si>
  <si>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</si>
  <si>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</si>
  <si>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</si>
  <si>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</si>
  <si>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</si>
  <si>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</si>
  <si>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</si>
  <si>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</si>
  <si>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</si>
  <si>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</si>
  <si>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</si>
  <si>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</si>
  <si>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</si>
  <si>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</si>
  <si>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</si>
  <si>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</si>
  <si>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</si>
  <si>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</si>
  <si>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</si>
  <si>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</si>
  <si>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</si>
  <si>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</si>
  <si>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</si>
  <si>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</si>
  <si>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</si>
  <si>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</si>
  <si>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</si>
  <si>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</si>
  <si>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</si>
  <si>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</si>
  <si>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</si>
  <si>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</si>
  <si>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</si>
  <si>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</si>
  <si>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</si>
  <si>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</si>
  <si>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</si>
  <si>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</si>
  <si>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</si>
  <si>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</si>
  <si>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</si>
  <si>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</si>
  <si>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</si>
  <si>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</si>
  <si>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</si>
  <si>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</si>
  <si>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</si>
  <si>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</si>
  <si>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</si>
  <si>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</si>
  <si>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</si>
  <si>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</si>
  <si>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</si>
  <si>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</si>
  <si>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</si>
  <si>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</si>
  <si>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</si>
  <si>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</si>
  <si>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</si>
  <si>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</si>
  <si>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</si>
  <si>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</si>
  <si>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</si>
  <si>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</si>
  <si>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</si>
  <si>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</si>
  <si>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</si>
  <si>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</si>
  <si>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</si>
  <si>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</si>
  <si>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</si>
  <si>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</si>
  <si>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</si>
  <si>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</si>
  <si>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</si>
  <si>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</si>
  <si>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</si>
  <si>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</si>
  <si>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</si>
  <si>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</si>
  <si>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</si>
  <si>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</si>
  <si>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</si>
  <si>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</si>
  <si>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</si>
  <si>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</si>
  <si>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</si>
  <si>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</si>
  <si>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</si>
  <si>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</si>
  <si>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</si>
  <si>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</si>
  <si>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</si>
  <si>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</si>
  <si>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</si>
  <si>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</si>
  <si>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</si>
  <si>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</si>
  <si>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</si>
  <si>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</si>
  <si>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</si>
  <si>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</si>
  <si>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</si>
  <si>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</si>
  <si>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</si>
  <si>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</si>
  <si>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</si>
  <si>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</si>
  <si>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</si>
  <si>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</si>
  <si>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</si>
  <si>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</si>
  <si>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</si>
  <si>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</si>
  <si>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</si>
  <si>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</si>
  <si>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</si>
  <si>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</si>
  <si>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</si>
  <si>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</si>
  <si>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</si>
  <si>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</si>
  <si>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</si>
  <si>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</si>
  <si>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</si>
  <si>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</si>
  <si>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</si>
  <si>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</si>
  <si>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</si>
  <si>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</si>
  <si>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</si>
  <si>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</si>
  <si>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</si>
  <si>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</si>
  <si>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</si>
  <si>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</si>
  <si>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</si>
  <si>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</si>
  <si>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</si>
  <si>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</si>
  <si>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</si>
  <si>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</si>
  <si>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</si>
  <si>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</si>
  <si>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</si>
  <si>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</si>
  <si>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</si>
  <si>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</si>
  <si>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</si>
  <si>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</si>
  <si>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</si>
  <si>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</si>
  <si>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</si>
  <si>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</si>
  <si>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</si>
  <si>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</si>
  <si>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</si>
  <si>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</si>
  <si>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</si>
  <si>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</si>
  <si>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</si>
  <si>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</si>
  <si>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</si>
  <si>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</si>
  <si>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</si>
  <si>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</si>
  <si>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</si>
  <si>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</si>
  <si>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</si>
  <si>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</si>
  <si>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</si>
  <si>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</si>
  <si>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</si>
  <si>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</si>
  <si>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</si>
  <si>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</si>
  <si>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</si>
  <si>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</si>
  <si>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</si>
  <si>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</si>
  <si>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</si>
  <si>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</si>
  <si>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</si>
  <si>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</si>
  <si>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</si>
  <si>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</si>
  <si>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</si>
  <si>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</si>
  <si>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</si>
  <si>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</si>
  <si>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</si>
  <si>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</si>
  <si>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</si>
  <si>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</si>
  <si>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</si>
  <si>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</si>
  <si>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</si>
  <si>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</si>
  <si>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</si>
  <si>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</si>
  <si>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</si>
  <si>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</si>
  <si>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</si>
  <si>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</si>
  <si>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</si>
  <si>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</si>
  <si>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</si>
  <si>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</si>
  <si>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</si>
  <si>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</si>
  <si>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</si>
  <si>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</si>
  <si>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</si>
  <si>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</si>
  <si>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</si>
  <si>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</si>
  <si>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</si>
  <si>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</si>
  <si>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</si>
  <si>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</si>
  <si>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</si>
  <si>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</si>
  <si>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</si>
  <si>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</si>
  <si>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</si>
  <si>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</si>
  <si>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</si>
  <si>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</si>
  <si>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</si>
  <si>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</si>
  <si>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</si>
  <si>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</si>
  <si>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</si>
  <si>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</si>
  <si>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</si>
  <si>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</si>
  <si>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</si>
  <si>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</si>
  <si>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</si>
  <si>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</si>
  <si>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</si>
  <si>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</si>
  <si>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</si>
  <si>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</si>
  <si>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</si>
  <si>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</si>
  <si>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</si>
  <si>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</si>
  <si>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</si>
  <si>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</si>
  <si>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</si>
  <si>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</si>
  <si>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</si>
  <si>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</si>
  <si>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</si>
  <si>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</si>
  <si>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</si>
  <si>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</si>
  <si>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</si>
  <si>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</si>
  <si>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</si>
  <si>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</si>
  <si>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</si>
  <si>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</si>
  <si>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</si>
  <si>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</si>
  <si>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</si>
  <si>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</si>
  <si>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</si>
  <si>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</si>
  <si>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</si>
  <si>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</si>
  <si>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</si>
  <si>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</si>
  <si>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</si>
  <si>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</si>
  <si>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</si>
  <si>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</si>
  <si>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</si>
  <si>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</si>
  <si>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</si>
  <si>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</si>
  <si>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</si>
  <si>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</si>
  <si>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</si>
  <si>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</si>
  <si>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</si>
  <si>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</si>
  <si>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</si>
  <si>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</si>
  <si>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</si>
  <si>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</si>
  <si>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</si>
  <si>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</si>
  <si>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</si>
  <si>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</si>
  <si>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</si>
  <si>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</si>
  <si>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</si>
  <si>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</si>
  <si>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</si>
  <si>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</si>
  <si>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</si>
  <si>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</si>
  <si>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</si>
  <si>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</si>
  <si>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</si>
  <si>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</si>
  <si>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</si>
  <si>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</si>
  <si>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</si>
  <si>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</si>
  <si>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</si>
  <si>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</si>
  <si>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</si>
  <si>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</si>
  <si>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</si>
  <si>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</si>
  <si>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</si>
  <si>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</si>
  <si>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</si>
  <si>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</si>
  <si>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</si>
  <si>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</si>
  <si>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</si>
  <si>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</si>
  <si>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</si>
  <si>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</si>
  <si>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</si>
  <si>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</si>
  <si>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</si>
  <si>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</si>
  <si>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</si>
  <si>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</si>
  <si>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</si>
  <si>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</si>
  <si>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</si>
  <si>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</si>
  <si>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</si>
  <si>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</si>
  <si>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</si>
  <si>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</si>
  <si>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</si>
  <si>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</si>
  <si>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</si>
  <si>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</si>
  <si>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</si>
  <si>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</si>
  <si>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</si>
  <si>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</si>
  <si>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</si>
  <si>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</si>
  <si>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</si>
  <si>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</si>
  <si>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</si>
  <si>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</si>
  <si>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</si>
  <si>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</si>
  <si>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</si>
  <si>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</si>
  <si>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</si>
  <si>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</si>
  <si>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</si>
  <si>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</si>
  <si>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</si>
  <si>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</si>
  <si>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</si>
  <si>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</si>
  <si>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</si>
  <si>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</si>
  <si>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</si>
  <si>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</si>
  <si>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</si>
  <si>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</si>
  <si>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</si>
  <si>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</si>
  <si>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</si>
  <si>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</si>
  <si>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</si>
  <si>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</si>
  <si>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</si>
  <si>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</si>
  <si>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</si>
  <si>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</si>
  <si>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</si>
  <si>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</si>
  <si>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</si>
  <si>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</si>
  <si>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</si>
  <si>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</si>
  <si>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</si>
  <si>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</si>
  <si>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</si>
  <si>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</si>
  <si>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</si>
  <si>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</si>
  <si>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</si>
  <si>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</si>
  <si>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</si>
  <si>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</si>
  <si>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</si>
  <si>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</si>
  <si>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</si>
  <si>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</si>
  <si>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</si>
  <si>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</si>
  <si>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</si>
  <si>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</si>
  <si>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</si>
  <si>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</si>
  <si>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</si>
  <si>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</si>
  <si>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</si>
  <si>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</si>
  <si>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</si>
  <si>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</si>
  <si>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</si>
  <si>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</si>
  <si>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</si>
  <si>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</si>
  <si>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</si>
  <si>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</si>
  <si>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</si>
  <si>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</si>
  <si>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</si>
  <si>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</si>
  <si>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</si>
  <si>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</si>
  <si>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</si>
  <si>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</si>
  <si>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</si>
  <si>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</si>
  <si>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</si>
  <si>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</si>
  <si>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</si>
  <si>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</si>
  <si>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</si>
  <si>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</si>
  <si>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</si>
  <si>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</si>
  <si>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</si>
  <si>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</si>
  <si>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</si>
  <si>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</si>
  <si>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</si>
  <si>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</si>
  <si>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</si>
  <si>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</si>
  <si>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</si>
  <si>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</si>
  <si>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</si>
  <si>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</si>
  <si>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</si>
  <si>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</si>
  <si>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</si>
  <si>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</si>
  <si>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</si>
  <si>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</si>
  <si>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</si>
  <si>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</si>
  <si>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</si>
  <si>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</si>
  <si>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</si>
  <si>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</si>
  <si>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</si>
  <si>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</si>
  <si>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</si>
  <si>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</si>
  <si>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</si>
  <si>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</si>
  <si>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</si>
  <si>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</si>
  <si>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</si>
  <si>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</si>
  <si>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</si>
  <si>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</si>
  <si>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</si>
  <si>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</si>
  <si>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</si>
  <si>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</si>
  <si>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</si>
  <si>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</si>
  <si>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</si>
  <si>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</si>
  <si>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</si>
  <si>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</si>
  <si>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</si>
  <si>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</si>
  <si>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</si>
  <si>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</si>
  <si>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</si>
  <si>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</si>
  <si>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</si>
  <si>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</si>
  <si>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</si>
  <si>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</si>
  <si>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</si>
  <si>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</si>
  <si>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</si>
  <si>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</si>
  <si>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</si>
  <si>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</si>
  <si>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</si>
  <si>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</si>
  <si>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</si>
  <si>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</si>
  <si>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</si>
  <si>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</si>
  <si>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</si>
  <si>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</si>
  <si>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</si>
  <si>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</si>
  <si>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</si>
  <si>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</si>
  <si>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</si>
  <si>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</si>
  <si>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</si>
  <si>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</si>
  <si>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</si>
  <si>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</si>
  <si>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</si>
  <si>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</si>
  <si>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</si>
  <si>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</si>
  <si>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</si>
  <si>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</si>
  <si>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</si>
  <si>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</si>
  <si>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</si>
  <si>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</si>
  <si>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</si>
  <si>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</si>
  <si>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</si>
  <si>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</si>
  <si>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</si>
  <si>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</si>
  <si>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</si>
  <si>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</si>
  <si>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</si>
  <si>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</si>
  <si>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</si>
  <si>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</si>
  <si>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</si>
  <si>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</si>
  <si>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</si>
  <si>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</si>
  <si>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</si>
  <si>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</si>
  <si>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</si>
  <si>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</si>
  <si>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</si>
  <si>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</si>
  <si>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</si>
  <si>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</si>
  <si>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</si>
  <si>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</si>
  <si>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</si>
  <si>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</si>
  <si>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</si>
  <si>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</si>
  <si>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</si>
  <si>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</si>
  <si>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</si>
  <si>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</si>
  <si>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</si>
  <si>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</si>
  <si>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</si>
  <si>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</si>
  <si>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</si>
  <si>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</si>
  <si>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</si>
  <si>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</si>
  <si>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</si>
  <si>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</si>
  <si>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</si>
  <si>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</si>
  <si>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</si>
  <si>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</si>
  <si>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</si>
  <si>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</si>
  <si>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</si>
  <si>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</si>
  <si>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</si>
  <si>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</si>
  <si>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</si>
  <si>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</si>
  <si>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</si>
  <si>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</si>
  <si>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</si>
  <si>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</si>
  <si>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</si>
  <si>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</si>
  <si>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</si>
  <si>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</si>
  <si>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</si>
  <si>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</si>
  <si>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</si>
  <si>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</si>
  <si>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</si>
  <si>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</si>
  <si>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</si>
  <si>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</si>
  <si>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</si>
  <si>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</si>
  <si>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</si>
  <si>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</si>
  <si>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</si>
  <si>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</si>
  <si>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</si>
  <si>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</si>
  <si>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</si>
  <si>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</si>
  <si>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</si>
  <si>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</si>
  <si>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</si>
  <si>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</si>
  <si>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</si>
  <si>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</si>
  <si>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</si>
  <si>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</si>
  <si>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</si>
  <si>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</si>
  <si>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</si>
  <si>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</si>
  <si>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</si>
  <si>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</si>
  <si>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</si>
  <si>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</si>
  <si>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</si>
  <si>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</si>
  <si>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</si>
  <si>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</si>
  <si>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</si>
  <si>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</si>
  <si>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</si>
  <si>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</si>
  <si>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</si>
  <si>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</si>
  <si>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</si>
  <si>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</si>
  <si>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</si>
  <si>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</si>
  <si>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</si>
  <si>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</si>
  <si>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</si>
  <si>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</si>
  <si>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</si>
  <si>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</si>
  <si>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</si>
  <si>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</si>
  <si>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</si>
  <si>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</si>
  <si>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</si>
  <si>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</si>
  <si>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</si>
  <si>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</si>
  <si>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</si>
  <si>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</si>
  <si>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</si>
  <si>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</si>
  <si>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</si>
  <si>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</si>
  <si>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</si>
  <si>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</si>
  <si>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</si>
  <si>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</si>
  <si>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</si>
  <si>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</si>
  <si>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</si>
  <si>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</si>
  <si>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</si>
  <si>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</si>
  <si>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</si>
  <si>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</si>
  <si>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</si>
  <si>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</si>
  <si>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</si>
  <si>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</si>
  <si>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</si>
  <si>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</si>
  <si>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</si>
  <si>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</si>
  <si>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</si>
  <si>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</si>
  <si>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</si>
  <si>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</si>
  <si>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</si>
  <si>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</si>
  <si>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</si>
  <si>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</si>
  <si>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</si>
  <si>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</si>
  <si>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</si>
  <si>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</si>
  <si>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</si>
  <si>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</si>
  <si>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</si>
  <si>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</si>
  <si>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</si>
  <si>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</si>
  <si>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</si>
  <si>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</si>
  <si>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</si>
  <si>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</si>
  <si>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</si>
  <si>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</si>
  <si>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</si>
  <si>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</si>
  <si>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</si>
  <si>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</si>
  <si>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</si>
  <si>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</si>
  <si>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</si>
  <si>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</si>
  <si>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</si>
  <si>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</si>
  <si>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</si>
  <si>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</si>
  <si>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</si>
  <si>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</si>
  <si>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</si>
  <si>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</si>
  <si>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</si>
  <si>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</si>
  <si>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</si>
  <si>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</si>
  <si>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</si>
  <si>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</si>
  <si>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</si>
  <si>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</si>
  <si>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</si>
  <si>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</si>
  <si>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</si>
  <si>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</si>
  <si>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</si>
  <si>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</si>
  <si>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</si>
  <si>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</si>
  <si>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</si>
  <si>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</si>
  <si>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</si>
  <si>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</si>
  <si>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</si>
  <si>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</si>
  <si>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</si>
  <si>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</si>
  <si>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</si>
  <si>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</si>
  <si>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</si>
  <si>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</si>
  <si>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</si>
  <si>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</si>
  <si>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</si>
  <si>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</si>
  <si>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</si>
  <si>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</si>
  <si>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</si>
  <si>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</si>
  <si>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</si>
  <si>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</si>
  <si>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</si>
  <si>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</si>
  <si>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</si>
  <si>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</si>
  <si>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</si>
  <si>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</si>
  <si>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</si>
  <si>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</si>
  <si>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</si>
  <si>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</si>
  <si>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</si>
  <si>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</si>
  <si>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</si>
  <si>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</si>
  <si>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</si>
  <si>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</si>
  <si>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</si>
  <si>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</si>
  <si>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</si>
  <si>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</si>
  <si>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</si>
  <si>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</si>
  <si>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</si>
  <si>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</si>
  <si>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</si>
  <si>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</si>
  <si>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</si>
  <si>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</si>
  <si>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</si>
  <si>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</si>
  <si>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</si>
  <si>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</si>
  <si>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</si>
  <si>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</si>
  <si>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</si>
  <si>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</si>
  <si>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</si>
  <si>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</si>
  <si>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</si>
  <si>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</si>
  <si>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</si>
  <si>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</si>
  <si>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</si>
  <si>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</si>
  <si>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</si>
  <si>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</si>
  <si>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</si>
  <si>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</si>
  <si>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</si>
  <si>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</si>
  <si>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</si>
  <si>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</si>
  <si>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</si>
  <si>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</si>
  <si>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</si>
  <si>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</si>
  <si>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</si>
  <si>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</si>
  <si>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</si>
  <si>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</si>
  <si>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</si>
  <si>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</si>
  <si>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</si>
  <si>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</si>
  <si>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</si>
  <si>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</si>
  <si>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</si>
  <si>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</si>
  <si>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</si>
  <si>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</si>
  <si>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</si>
  <si>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</si>
  <si>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</si>
  <si>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</si>
  <si>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</si>
  <si>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</si>
  <si>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</si>
  <si>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</si>
  <si>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</si>
  <si>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</si>
  <si>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</si>
  <si>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</si>
  <si>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</si>
  <si>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</si>
  <si>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</si>
  <si>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</si>
  <si>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</si>
  <si>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</si>
  <si>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</si>
  <si>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</si>
  <si>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</si>
  <si>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</si>
  <si>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</si>
  <si>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</si>
  <si>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</si>
  <si>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</si>
  <si>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</si>
  <si>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</si>
  <si>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</si>
  <si>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</si>
  <si>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</si>
  <si>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</si>
  <si>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</si>
  <si>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</si>
  <si>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</si>
  <si>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</si>
  <si>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</si>
  <si>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</si>
  <si>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</si>
  <si>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</si>
  <si>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</si>
  <si>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</si>
  <si>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</si>
  <si>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</si>
  <si>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</si>
  <si>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</si>
  <si>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</si>
  <si>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</si>
  <si>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</si>
  <si>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</si>
  <si>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</si>
  <si>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</si>
  <si>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</si>
  <si>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</si>
  <si>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</si>
  <si>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</si>
  <si>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</si>
  <si>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</si>
  <si>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</si>
  <si>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</si>
  <si>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</si>
  <si>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</si>
  <si>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</si>
  <si>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</si>
  <si>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</si>
  <si>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</si>
  <si>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</si>
  <si>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</si>
  <si>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</si>
  <si>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</si>
  <si>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</si>
  <si>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</si>
  <si>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</si>
  <si>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</si>
  <si>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</si>
  <si>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</si>
  <si>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</si>
  <si>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</si>
  <si>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</si>
  <si>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</si>
  <si>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</si>
  <si>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</si>
  <si>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</si>
  <si>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</si>
  <si>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</si>
  <si>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</si>
  <si>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</si>
  <si>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</si>
  <si>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</si>
  <si>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</si>
  <si>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</si>
  <si>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</si>
  <si>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</si>
  <si>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</si>
  <si>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</si>
  <si>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</si>
  <si>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</si>
  <si>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</si>
  <si>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</si>
  <si>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</si>
  <si>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</si>
  <si>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</si>
  <si>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</si>
  <si>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</si>
  <si>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</si>
  <si>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</si>
  <si>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</si>
  <si>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</si>
  <si>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</si>
  <si>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</si>
  <si>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</si>
  <si>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</si>
  <si>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</si>
  <si>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</si>
  <si>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</si>
  <si>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</si>
  <si>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</si>
  <si>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</si>
  <si>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</si>
  <si>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</si>
  <si>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</si>
  <si>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</si>
  <si>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</si>
  <si>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</si>
  <si>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</si>
  <si>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</si>
  <si>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</si>
  <si>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</si>
  <si>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</si>
  <si>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</si>
  <si>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</si>
  <si>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</si>
  <si>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</si>
  <si>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</si>
  <si>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</si>
  <si>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</si>
  <si>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</si>
  <si>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</si>
  <si>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</si>
  <si>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</si>
  <si>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</si>
  <si>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</si>
  <si>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</si>
  <si>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</si>
  <si>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</si>
  <si>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</si>
  <si>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</si>
  <si>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</si>
  <si>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</si>
  <si>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</si>
  <si>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</si>
  <si>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</si>
  <si>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</si>
  <si>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</si>
  <si>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</si>
  <si>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</si>
  <si>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</si>
  <si>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</si>
  <si>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</si>
  <si>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</si>
  <si>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</si>
  <si>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</si>
  <si>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</si>
  <si>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</si>
  <si>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</si>
  <si>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</si>
  <si>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</si>
  <si>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</si>
  <si>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</si>
  <si>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</si>
  <si>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</si>
  <si>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</si>
  <si>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</si>
  <si>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</si>
  <si>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</si>
  <si>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</si>
  <si>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</si>
  <si>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</si>
  <si>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</si>
  <si>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</si>
  <si>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</si>
  <si>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</si>
  <si>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</si>
  <si>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</si>
  <si>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</si>
  <si>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</si>
  <si>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</si>
  <si>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</si>
  <si>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</si>
  <si>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</si>
  <si>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</si>
  <si>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</si>
  <si>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</si>
  <si>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</si>
  <si>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</si>
  <si>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</si>
  <si>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</si>
  <si>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</si>
  <si>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</si>
  <si>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</si>
  <si>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</si>
  <si>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</si>
  <si>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</si>
  <si>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</si>
  <si>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</si>
  <si>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</si>
  <si>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</si>
  <si>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</si>
  <si>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</si>
  <si>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</si>
  <si>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</si>
  <si>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</si>
  <si>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</si>
  <si>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</si>
  <si>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</si>
  <si>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</si>
  <si>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</si>
  <si>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</si>
  <si>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</si>
  <si>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</si>
  <si>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</si>
  <si>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</si>
  <si>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</si>
  <si>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</si>
  <si>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</si>
  <si>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</si>
  <si>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</si>
  <si>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</si>
  <si>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</si>
  <si>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</si>
  <si>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</si>
  <si>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</si>
  <si>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</si>
  <si>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</si>
  <si>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</si>
  <si>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</si>
  <si>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</si>
  <si>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</si>
  <si>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</si>
  <si>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</si>
  <si>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</si>
  <si>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</si>
  <si>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</si>
  <si>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</si>
  <si>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</si>
  <si>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</si>
  <si>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</si>
  <si>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</si>
  <si>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</si>
  <si>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</si>
  <si>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</si>
  <si>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</si>
  <si>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</si>
  <si>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</si>
  <si>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</si>
  <si>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</si>
  <si>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</si>
  <si>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</si>
  <si>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</si>
  <si>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</si>
  <si>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</si>
  <si>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</si>
  <si>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</si>
  <si>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</si>
  <si>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</si>
  <si>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</si>
  <si>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</si>
  <si>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</si>
  <si>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</si>
  <si>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</si>
  <si>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</si>
  <si>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</si>
  <si>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</si>
  <si>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</si>
  <si>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</si>
  <si>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</si>
  <si>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</si>
  <si>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</si>
  <si>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</si>
  <si>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</si>
  <si>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</si>
  <si>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</si>
  <si>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</si>
  <si>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</si>
  <si>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</si>
  <si>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</si>
  <si>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</si>
  <si>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</si>
  <si>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</si>
  <si>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</si>
  <si>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</si>
  <si>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</si>
  <si>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</si>
  <si>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</si>
  <si>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</si>
  <si>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</si>
  <si>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</si>
  <si>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</si>
  <si>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</si>
  <si>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</si>
  <si>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</si>
  <si>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</si>
  <si>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</si>
  <si>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</si>
  <si>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</si>
  <si>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</si>
  <si>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</si>
  <si>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</si>
  <si>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</si>
  <si>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</si>
  <si>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</si>
  <si>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</si>
  <si>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</si>
  <si>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</si>
  <si>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</si>
  <si>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</si>
  <si>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</si>
  <si>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</si>
  <si>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</si>
  <si>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</si>
  <si>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</si>
  <si>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</si>
  <si>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</si>
  <si>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</si>
  <si>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</si>
  <si>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</si>
  <si>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</si>
  <si>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</si>
  <si>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</si>
  <si>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</si>
  <si>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</si>
  <si>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</si>
  <si>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</si>
  <si>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</si>
  <si>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</si>
  <si>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</si>
  <si>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</si>
  <si>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</si>
  <si>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</si>
  <si>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</si>
  <si>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</si>
  <si>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</si>
  <si>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</si>
  <si>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</si>
  <si>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</si>
  <si>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</si>
  <si>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</si>
  <si>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</si>
  <si>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</si>
  <si>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</si>
  <si>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</si>
  <si>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</si>
  <si>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</si>
  <si>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</si>
  <si>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</si>
  <si>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</si>
  <si>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</si>
  <si>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</si>
  <si>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</si>
  <si>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</si>
  <si>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</si>
  <si>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</si>
  <si>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</si>
  <si>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</si>
  <si>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</si>
  <si>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</si>
  <si>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</si>
  <si>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</si>
  <si>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</si>
  <si>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</si>
  <si>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</si>
  <si>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</si>
  <si>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</si>
  <si>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</si>
  <si>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</si>
  <si>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</si>
  <si>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</si>
  <si>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</si>
  <si>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</si>
  <si>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</si>
  <si>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</si>
  <si>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</si>
  <si>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</si>
  <si>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</si>
  <si>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</si>
  <si>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</si>
  <si>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</si>
  <si>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</si>
  <si>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</si>
  <si>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</si>
  <si>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</si>
  <si>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</si>
  <si>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</si>
  <si>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</si>
  <si>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</si>
  <si>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</si>
  <si>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</si>
  <si>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</si>
  <si>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</si>
  <si>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</si>
  <si>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</si>
  <si>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</si>
  <si>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</si>
  <si>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</si>
  <si>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</si>
  <si>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</si>
  <si>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</si>
  <si>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</si>
  <si>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</si>
  <si>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</si>
  <si>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</si>
  <si>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</si>
  <si>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</si>
  <si>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</si>
  <si>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</si>
  <si>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</si>
  <si>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</si>
  <si>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</si>
  <si>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</si>
  <si>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</si>
  <si>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</si>
  <si>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</si>
  <si>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</si>
  <si>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</si>
  <si>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</si>
  <si>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</si>
  <si>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</si>
  <si>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</si>
  <si>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</si>
  <si>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</si>
  <si>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</si>
  <si>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</si>
  <si>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</si>
  <si>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</si>
  <si>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</si>
  <si>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</si>
  <si>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</si>
  <si>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</si>
  <si>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</si>
  <si>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</si>
  <si>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</si>
  <si>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</si>
  <si>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</si>
  <si>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</si>
  <si>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</si>
  <si>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</si>
  <si>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</si>
  <si>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</si>
  <si>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</si>
  <si>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</si>
  <si>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</si>
  <si>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</si>
  <si>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</si>
  <si>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</si>
  <si>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</si>
  <si>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</si>
  <si>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</si>
  <si>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</si>
  <si>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</si>
  <si>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</si>
  <si>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</si>
  <si>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</si>
  <si>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</si>
  <si>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</si>
  <si>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</si>
  <si>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</si>
  <si>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</si>
  <si>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</si>
  <si>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</si>
  <si>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</si>
  <si>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</si>
  <si>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</si>
  <si>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</si>
  <si>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</si>
  <si>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</si>
  <si>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</si>
  <si>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</si>
  <si>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</si>
  <si>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</si>
  <si>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</si>
  <si>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</si>
  <si>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</si>
  <si>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</si>
  <si>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</si>
  <si>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</si>
  <si>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</si>
  <si>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</si>
  <si>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</si>
  <si>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</si>
  <si>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</si>
  <si>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</si>
  <si>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</si>
  <si>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</si>
  <si>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</si>
  <si>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</si>
  <si>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</si>
  <si>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</si>
  <si>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</si>
  <si>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</si>
  <si>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</si>
  <si>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</si>
  <si>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</si>
  <si>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</si>
  <si>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</si>
  <si>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</si>
  <si>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</si>
  <si>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</si>
  <si>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</si>
  <si>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</si>
  <si>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</si>
  <si>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</si>
  <si>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</si>
  <si>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</si>
  <si>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</si>
  <si>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</si>
  <si>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</si>
  <si>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</si>
  <si>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</si>
  <si>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</si>
  <si>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</si>
  <si>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</si>
  <si>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</si>
  <si>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</si>
  <si>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</si>
  <si>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</si>
  <si>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</si>
  <si>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</si>
  <si>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</si>
  <si>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</si>
  <si>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</si>
  <si>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</si>
  <si>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</si>
  <si>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</si>
  <si>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</si>
  <si>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</si>
  <si>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</si>
  <si>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</si>
  <si>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</si>
  <si>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</si>
  <si>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</si>
  <si>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</si>
  <si>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</si>
  <si>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</si>
  <si>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</si>
  <si>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</si>
  <si>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</si>
  <si>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</si>
  <si>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</si>
  <si>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</si>
  <si>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</si>
  <si>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</si>
  <si>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</si>
  <si>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</si>
  <si>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</si>
  <si>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</si>
  <si>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</si>
  <si>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</si>
  <si>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</si>
  <si>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</si>
  <si>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</si>
  <si>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</si>
  <si>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</si>
  <si>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</si>
  <si>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</si>
  <si>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</si>
  <si>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</si>
  <si>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</si>
  <si>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</si>
  <si>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</si>
  <si>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</si>
  <si>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</si>
  <si>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</si>
  <si>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</si>
  <si>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</si>
  <si>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</si>
  <si>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</si>
  <si>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</si>
  <si>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</si>
  <si>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</si>
  <si>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</si>
  <si>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</si>
  <si>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</si>
  <si>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</si>
  <si>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</si>
  <si>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</si>
  <si>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</si>
  <si>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</si>
  <si>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</si>
  <si>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</si>
  <si>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</si>
  <si>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</si>
  <si>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</si>
  <si>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</si>
  <si>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</si>
  <si>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</si>
  <si>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</si>
  <si>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</si>
  <si>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</si>
  <si>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</si>
  <si>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</si>
  <si>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</si>
  <si>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</si>
  <si>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</si>
  <si>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</si>
  <si>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</si>
  <si>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</si>
  <si>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</si>
  <si>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</si>
  <si>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</si>
  <si>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</si>
  <si>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</si>
  <si>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</si>
  <si>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</si>
  <si>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</si>
  <si>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</si>
  <si>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</si>
  <si>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</si>
  <si>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</si>
  <si>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</si>
  <si>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</si>
  <si>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</si>
  <si>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</si>
  <si>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</si>
  <si>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</si>
  <si>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</si>
  <si>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</si>
  <si>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</si>
  <si>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</si>
  <si>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</si>
  <si>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</si>
  <si>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</si>
  <si>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</si>
  <si>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</si>
  <si>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</si>
  <si>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</si>
  <si>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</si>
  <si>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</si>
  <si>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</si>
  <si>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</si>
  <si>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</si>
  <si>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</si>
  <si>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</si>
  <si>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</si>
  <si>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</si>
  <si>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</si>
  <si>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</si>
  <si>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</si>
  <si>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</si>
  <si>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</si>
  <si>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</si>
  <si>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</si>
  <si>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</si>
  <si>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</si>
  <si>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</si>
  <si>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</si>
  <si>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</si>
  <si>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</si>
  <si>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</si>
  <si>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</si>
  <si>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</si>
  <si>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</si>
  <si>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</si>
  <si>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</si>
  <si>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</si>
  <si>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</si>
  <si>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</si>
  <si>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</si>
  <si>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</si>
  <si>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</si>
  <si>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</si>
  <si>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</si>
  <si>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</si>
  <si>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</si>
  <si>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</si>
  <si>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</si>
  <si>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</si>
  <si>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</si>
  <si>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</si>
  <si>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</si>
  <si>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</si>
  <si>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</si>
  <si>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</si>
  <si>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</si>
  <si>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</si>
  <si>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</si>
  <si>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</si>
  <si>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</si>
  <si>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</si>
  <si>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</si>
  <si>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</si>
  <si>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</si>
  <si>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</si>
  <si>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</si>
  <si>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</si>
  <si>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</si>
  <si>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</si>
  <si>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</si>
  <si>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</si>
  <si>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</si>
  <si>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</si>
  <si>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</si>
  <si>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</si>
  <si>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</si>
  <si>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</si>
  <si>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</si>
  <si>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</si>
  <si>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</si>
  <si>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</si>
  <si>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</si>
  <si>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</si>
  <si>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</si>
  <si>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</si>
  <si>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</si>
  <si>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</si>
  <si>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</si>
  <si>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</si>
  <si>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</si>
  <si>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</si>
  <si>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</si>
  <si>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</si>
  <si>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</si>
  <si>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</si>
  <si>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</si>
  <si>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</si>
  <si>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</si>
  <si>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</si>
  <si>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</si>
  <si>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</si>
  <si>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</si>
  <si>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</si>
  <si>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</si>
  <si>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</si>
  <si>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</si>
  <si>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</si>
  <si>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</si>
  <si>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</si>
  <si>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</si>
  <si>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</si>
  <si>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</si>
  <si>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</si>
  <si>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</si>
  <si>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</si>
  <si>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</si>
  <si>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</si>
  <si>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</si>
  <si>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</si>
  <si>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</si>
  <si>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</si>
  <si>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</si>
  <si>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</si>
  <si>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</si>
  <si>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</si>
  <si>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</si>
  <si>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</si>
  <si>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</si>
  <si>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</si>
  <si>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</si>
  <si>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</si>
  <si>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</si>
  <si>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</si>
  <si>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</si>
  <si>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</si>
  <si>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</si>
  <si>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</si>
  <si>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</si>
  <si>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</si>
  <si>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</si>
  <si>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</si>
  <si>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</si>
  <si>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</si>
  <si>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</si>
  <si>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</si>
  <si>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</si>
  <si>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</si>
  <si>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</si>
  <si>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</si>
  <si>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</si>
  <si>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</si>
  <si>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</si>
  <si>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</si>
  <si>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</si>
  <si>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</si>
  <si>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</si>
  <si>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</si>
  <si>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</si>
  <si>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</si>
  <si>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</si>
  <si>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</si>
  <si>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</si>
  <si>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</si>
  <si>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</si>
  <si>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</si>
  <si>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</si>
  <si>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</si>
  <si>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</si>
  <si>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</si>
  <si>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</si>
  <si>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</si>
  <si>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</si>
  <si>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</si>
  <si>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</si>
  <si>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</si>
  <si>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</si>
  <si>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</si>
  <si>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</si>
  <si>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</si>
  <si>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</si>
  <si>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</si>
  <si>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</si>
  <si>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</si>
  <si>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</si>
  <si>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</si>
  <si>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</si>
  <si>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</si>
  <si>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</si>
  <si>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</si>
  <si>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</si>
  <si>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</si>
  <si>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</si>
  <si>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</si>
  <si>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</si>
  <si>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</si>
  <si>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</si>
  <si>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</si>
  <si>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</si>
  <si>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</si>
  <si>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</si>
  <si>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</si>
  <si>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</si>
  <si>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</si>
  <si>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</si>
  <si>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</si>
  <si>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</si>
  <si>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</si>
  <si>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</si>
  <si>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</si>
  <si>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</si>
  <si>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</si>
  <si>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</si>
  <si>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</si>
  <si>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</si>
  <si>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</si>
  <si>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</si>
  <si>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</si>
  <si>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</si>
  <si>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</si>
  <si>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</si>
  <si>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</si>
  <si>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</si>
  <si>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</si>
  <si>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</si>
  <si>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</si>
  <si>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</si>
  <si>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</si>
  <si>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</si>
  <si>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</si>
  <si>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</si>
  <si>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</si>
  <si>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</si>
  <si>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</si>
  <si>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</si>
  <si>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</si>
  <si>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</si>
  <si>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</si>
  <si>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</si>
  <si>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</si>
  <si>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</si>
  <si>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</si>
  <si>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</si>
  <si>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</si>
  <si>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</si>
  <si>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</si>
  <si>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</si>
  <si>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</si>
  <si>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</si>
  <si>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</si>
  <si>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</si>
  <si>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</si>
  <si>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</si>
  <si>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</si>
  <si>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</si>
  <si>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</si>
  <si>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北京市</t>
  </si>
  <si>
    <t>企业</t>
  </si>
  <si>
    <t>与房产证证载一致</t>
  </si>
  <si>
    <t>否</t>
  </si>
  <si>
    <t>万元</t>
  </si>
  <si>
    <t>总价</t>
  </si>
  <si>
    <t>商业</t>
  </si>
  <si>
    <t>无租约</t>
  </si>
  <si>
    <t>不临58条商业街</t>
  </si>
  <si>
    <t>与级别开发程度一致</t>
  </si>
  <si>
    <t>楼层修正</t>
  </si>
  <si>
    <t>未包含在土地购买价格中</t>
  </si>
  <si>
    <t>已包含在土地取得成本中</t>
  </si>
  <si>
    <t>成本法</t>
  </si>
  <si>
    <t>*</t>
  </si>
  <si>
    <t>多面临街</t>
    <phoneticPr fontId="4" type="noConversion"/>
  </si>
  <si>
    <t>双面临街</t>
    <phoneticPr fontId="4" type="noConversion"/>
  </si>
  <si>
    <t>单面临街</t>
    <phoneticPr fontId="4" type="noConversion"/>
  </si>
  <si>
    <t>临内部道路</t>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</si>
  <si>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</si>
  <si>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</si>
  <si>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</si>
  <si>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</si>
  <si>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</si>
  <si>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t>大</t>
    <phoneticPr fontId="4" type="noConversion"/>
  </si>
  <si>
    <t>较大</t>
    <phoneticPr fontId="4" type="noConversion"/>
  </si>
  <si>
    <r>
      <t>1</t>
    </r>
    <r>
      <rPr>
        <sz val="11"/>
        <color indexed="8"/>
        <rFont val="宋体"/>
        <family val="3"/>
        <charset val="134"/>
      </rPr>
      <t>层</t>
    </r>
    <phoneticPr fontId="4" type="noConversion"/>
  </si>
  <si>
    <t>商业综合体</t>
    <phoneticPr fontId="4" type="noConversion"/>
  </si>
  <si>
    <t>独栋商业</t>
    <phoneticPr fontId="4" type="noConversion"/>
  </si>
  <si>
    <t>住宅底商</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</si>
  <si>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</si>
  <si>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</si>
  <si>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</si>
  <si>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</si>
  <si>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</si>
  <si>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</si>
  <si>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</si>
  <si>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可餐饮</t>
    <phoneticPr fontId="4" type="noConversion"/>
  </si>
  <si>
    <t>不可餐饮</t>
    <phoneticPr fontId="4" type="noConversion"/>
  </si>
  <si>
    <t>超高</t>
    <phoneticPr fontId="4" type="noConversion"/>
  </si>
  <si>
    <t>标准</t>
    <phoneticPr fontId="4" type="noConversion"/>
  </si>
  <si>
    <t>钢混</t>
  </si>
  <si>
    <t>钢混</t>
    <phoneticPr fontId="25" type="noConversion"/>
  </si>
  <si>
    <t>中骏世界城</t>
    <phoneticPr fontId="4" type="noConversion"/>
  </si>
  <si>
    <t>新城国际</t>
    <phoneticPr fontId="4" type="noConversion"/>
  </si>
  <si>
    <t>商业</t>
    <phoneticPr fontId="25" type="noConversion"/>
  </si>
  <si>
    <t>20-30（含）</t>
  </si>
  <si>
    <t>朝外SOHO</t>
    <phoneticPr fontId="4" type="noConversion"/>
  </si>
  <si>
    <t>七通</t>
  </si>
  <si>
    <t>临内部道路</t>
  </si>
  <si>
    <t>单面临街</t>
  </si>
  <si>
    <t>双面临街</t>
  </si>
  <si>
    <t>较差</t>
    <phoneticPr fontId="25" type="noConversion"/>
  </si>
  <si>
    <t>较好</t>
    <phoneticPr fontId="25" type="noConversion"/>
  </si>
  <si>
    <t>较大</t>
  </si>
  <si>
    <t>1层</t>
  </si>
  <si>
    <t>办公底商</t>
  </si>
  <si>
    <t>办公底商</t>
    <phoneticPr fontId="4" type="noConversion"/>
  </si>
  <si>
    <t>商业街商业</t>
    <phoneticPr fontId="4" type="noConversion"/>
  </si>
  <si>
    <t>精装</t>
  </si>
  <si>
    <t>五通</t>
  </si>
  <si>
    <t>可餐饮</t>
  </si>
  <si>
    <t>标准</t>
  </si>
  <si>
    <t>普装</t>
  </si>
  <si>
    <r>
      <t>6.3</t>
    </r>
    <r>
      <rPr>
        <sz val="11"/>
        <rFont val="宋体"/>
        <family val="3"/>
        <charset val="134"/>
      </rPr>
      <t>米</t>
    </r>
    <r>
      <rPr>
        <sz val="11"/>
        <rFont val="Arial"/>
        <family val="2"/>
      </rPr>
      <t xml:space="preserve">  </t>
    </r>
    <phoneticPr fontId="25" type="noConversion"/>
  </si>
  <si>
    <r>
      <t>5.4</t>
    </r>
    <r>
      <rPr>
        <sz val="11"/>
        <rFont val="宋体"/>
        <family val="3"/>
        <charset val="134"/>
      </rPr>
      <t>米</t>
    </r>
    <phoneticPr fontId="25" type="noConversion"/>
  </si>
  <si>
    <r>
      <t>6</t>
    </r>
    <r>
      <rPr>
        <sz val="11"/>
        <rFont val="宋体"/>
        <family val="3"/>
        <charset val="134"/>
      </rPr>
      <t>米</t>
    </r>
    <phoneticPr fontId="25" type="noConversion"/>
  </si>
  <si>
    <t>超高</t>
  </si>
  <si>
    <t>较适宜</t>
  </si>
  <si>
    <t>较适宜</t>
    <phoneticPr fontId="25" type="noConversion"/>
  </si>
  <si>
    <r>
      <t>4</t>
    </r>
    <r>
      <rPr>
        <sz val="11"/>
        <color indexed="8"/>
        <rFont val="宋体"/>
        <family val="3"/>
        <charset val="134"/>
      </rPr>
      <t>米</t>
    </r>
    <phoneticPr fontId="25" type="noConversion"/>
  </si>
  <si>
    <t>比较法-商业</t>
  </si>
  <si>
    <t>标准价</t>
  </si>
  <si>
    <t>正常操作</t>
  </si>
  <si>
    <t>情况4</t>
  </si>
  <si>
    <t>转让取得</t>
  </si>
  <si>
    <t>2016年5月1日前购买</t>
  </si>
  <si>
    <t>抵押</t>
  </si>
  <si>
    <t>房地产抵押价值</t>
  </si>
  <si>
    <t>购房发票</t>
  </si>
  <si>
    <t>市调朝外SOHO商铺售价在5-6万之间，如带租户，且租金高，售价贵。此项目单价6.3万售价的为Coco租户</t>
    <phoneticPr fontId="146" type="noConversion"/>
  </si>
  <si>
    <t>批发零售用地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</si>
</sst>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39" fillId="5" borderId="32" xfId="0" applyNumberFormat="1" applyFont="1" applyFill="1" applyBorder="1" applyAlignment="1" applyProtection="1">
      <alignment horizontal="left" vertical="center" wrapText="1"/>
      <protection locked="0"/>
    </xf>
    <xf numFmtId="0" fontId="135" fillId="5" borderId="32" xfId="0" applyNumberFormat="1" applyFont="1" applyFill="1" applyBorder="1" applyAlignment="1" applyProtection="1">
      <alignment horizontal="left" vertical="center" wrapText="1"/>
      <protection locked="0"/>
    </xf>
    <xf numFmtId="184" fontId="56" fillId="21" borderId="1" xfId="0" applyNumberFormat="1" applyFont="1" applyFill="1" applyBorder="1" applyAlignment="1" applyProtection="1">
      <alignment horizontal="left" vertical="center" shrinkToFit="1"/>
      <protection locked="0"/>
    </xf>
    <xf numFmtId="0" fontId="70" fillId="0" borderId="47"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39" fillId="0" borderId="18" xfId="0" applyFont="1" applyFill="1" applyBorder="1" applyAlignment="1" applyProtection="1">
      <alignment horizontal="left" vertical="center"/>
      <protection locked="0"/>
    </xf>
    <xf numFmtId="0" fontId="39" fillId="0" borderId="49" xfId="0" applyFont="1" applyFill="1" applyBorder="1" applyAlignment="1" applyProtection="1">
      <alignment horizontal="left" vertical="center"/>
      <protection locked="0"/>
    </xf>
    <xf numFmtId="0" fontId="39" fillId="0" borderId="17" xfId="0" applyFont="1" applyFill="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222" fillId="0" borderId="3"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314797</xdr:colOff>
      <xdr:row>17</xdr:row>
      <xdr:rowOff>28575</xdr:rowOff>
    </xdr:to>
    <xdr:pic>
      <xdr:nvPicPr>
        <xdr:cNvPr id="2" name="图片 1">
          <a:extLst>
            <a:ext uri="{FF2B5EF4-FFF2-40B4-BE49-F238E27FC236}">
              <a16:creationId xmlns=""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6486997" cy="2943225"/>
        </a:xfrm>
        <a:prstGeom prst="rect">
          <a:avLst/>
        </a:prstGeom>
      </xdr:spPr>
    </xdr:pic>
    <xdr:clientData/>
  </xdr:twoCellAnchor>
  <xdr:twoCellAnchor editAs="oneCell">
    <xdr:from>
      <xdr:col>0</xdr:col>
      <xdr:colOff>0</xdr:colOff>
      <xdr:row>18</xdr:row>
      <xdr:rowOff>38099</xdr:rowOff>
    </xdr:from>
    <xdr:to>
      <xdr:col>9</xdr:col>
      <xdr:colOff>233058</xdr:colOff>
      <xdr:row>32</xdr:row>
      <xdr:rowOff>104222</xdr:rowOff>
    </xdr:to>
    <xdr:pic>
      <xdr:nvPicPr>
        <xdr:cNvPr id="3" name="图片 2">
          <a:extLst>
            <a:ext uri="{FF2B5EF4-FFF2-40B4-BE49-F238E27FC236}">
              <a16:creationId xmlns=""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3124199"/>
          <a:ext cx="6405258" cy="2466423"/>
        </a:xfrm>
        <a:prstGeom prst="rect">
          <a:avLst/>
        </a:prstGeom>
      </xdr:spPr>
    </xdr:pic>
    <xdr:clientData/>
  </xdr:twoCellAnchor>
  <xdr:twoCellAnchor editAs="oneCell">
    <xdr:from>
      <xdr:col>9</xdr:col>
      <xdr:colOff>219075</xdr:colOff>
      <xdr:row>18</xdr:row>
      <xdr:rowOff>28575</xdr:rowOff>
    </xdr:from>
    <xdr:to>
      <xdr:col>16</xdr:col>
      <xdr:colOff>247047</xdr:colOff>
      <xdr:row>30</xdr:row>
      <xdr:rowOff>56889</xdr:rowOff>
    </xdr:to>
    <xdr:pic>
      <xdr:nvPicPr>
        <xdr:cNvPr id="4" name="图片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6391275" y="3114675"/>
          <a:ext cx="4828572" cy="2085714"/>
        </a:xfrm>
        <a:prstGeom prst="rect">
          <a:avLst/>
        </a:prstGeom>
      </xdr:spPr>
    </xdr:pic>
    <xdr:clientData/>
  </xdr:twoCellAnchor>
  <xdr:twoCellAnchor editAs="oneCell">
    <xdr:from>
      <xdr:col>0</xdr:col>
      <xdr:colOff>0</xdr:colOff>
      <xdr:row>34</xdr:row>
      <xdr:rowOff>66674</xdr:rowOff>
    </xdr:from>
    <xdr:to>
      <xdr:col>9</xdr:col>
      <xdr:colOff>389663</xdr:colOff>
      <xdr:row>50</xdr:row>
      <xdr:rowOff>151771</xdr:rowOff>
    </xdr:to>
    <xdr:pic>
      <xdr:nvPicPr>
        <xdr:cNvPr id="5" name="图片 4">
          <a:extLst>
            <a:ext uri="{FF2B5EF4-FFF2-40B4-BE49-F238E27FC236}">
              <a16:creationId xmlns=""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0" y="5895974"/>
          <a:ext cx="6561863" cy="2828297"/>
        </a:xfrm>
        <a:prstGeom prst="rect">
          <a:avLst/>
        </a:prstGeom>
      </xdr:spPr>
    </xdr:pic>
    <xdr:clientData/>
  </xdr:twoCellAnchor>
  <xdr:twoCellAnchor editAs="oneCell">
    <xdr:from>
      <xdr:col>0</xdr:col>
      <xdr:colOff>0</xdr:colOff>
      <xdr:row>52</xdr:row>
      <xdr:rowOff>0</xdr:rowOff>
    </xdr:from>
    <xdr:to>
      <xdr:col>9</xdr:col>
      <xdr:colOff>381000</xdr:colOff>
      <xdr:row>68</xdr:row>
      <xdr:rowOff>60683</xdr:rowOff>
    </xdr:to>
    <xdr:pic>
      <xdr:nvPicPr>
        <xdr:cNvPr id="6" name="图片 5">
          <a:extLst>
            <a:ext uri="{FF2B5EF4-FFF2-40B4-BE49-F238E27FC236}">
              <a16:creationId xmlns=""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0" y="8915400"/>
          <a:ext cx="6553200" cy="2803883"/>
        </a:xfrm>
        <a:prstGeom prst="rect">
          <a:avLst/>
        </a:prstGeom>
      </xdr:spPr>
    </xdr:pic>
    <xdr:clientData/>
  </xdr:twoCellAnchor>
  <xdr:twoCellAnchor editAs="oneCell">
    <xdr:from>
      <xdr:col>9</xdr:col>
      <xdr:colOff>561975</xdr:colOff>
      <xdr:row>51</xdr:row>
      <xdr:rowOff>133350</xdr:rowOff>
    </xdr:from>
    <xdr:to>
      <xdr:col>17</xdr:col>
      <xdr:colOff>8909</xdr:colOff>
      <xdr:row>65</xdr:row>
      <xdr:rowOff>152098</xdr:rowOff>
    </xdr:to>
    <xdr:pic>
      <xdr:nvPicPr>
        <xdr:cNvPr id="7" name="图片 6">
          <a:extLst>
            <a:ext uri="{FF2B5EF4-FFF2-40B4-BE49-F238E27FC236}">
              <a16:creationId xmlns=""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6734175" y="8877300"/>
          <a:ext cx="4933334" cy="2419048"/>
        </a:xfrm>
        <a:prstGeom prst="rect">
          <a:avLst/>
        </a:prstGeom>
      </xdr:spPr>
    </xdr:pic>
    <xdr:clientData/>
  </xdr:twoCellAnchor>
  <xdr:twoCellAnchor editAs="oneCell">
    <xdr:from>
      <xdr:col>0</xdr:col>
      <xdr:colOff>114300</xdr:colOff>
      <xdr:row>86</xdr:row>
      <xdr:rowOff>47625</xdr:rowOff>
    </xdr:from>
    <xdr:to>
      <xdr:col>9</xdr:col>
      <xdr:colOff>208767</xdr:colOff>
      <xdr:row>111</xdr:row>
      <xdr:rowOff>56613</xdr:rowOff>
    </xdr:to>
    <xdr:pic>
      <xdr:nvPicPr>
        <xdr:cNvPr id="8" name="图片 7">
          <a:extLst>
            <a:ext uri="{FF2B5EF4-FFF2-40B4-BE49-F238E27FC236}">
              <a16:creationId xmlns=""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114300" y="14792325"/>
          <a:ext cx="6266667" cy="4295238"/>
        </a:xfrm>
        <a:prstGeom prst="rect">
          <a:avLst/>
        </a:prstGeom>
      </xdr:spPr>
    </xdr:pic>
    <xdr:clientData/>
  </xdr:twoCellAnchor>
  <xdr:twoCellAnchor editAs="oneCell">
    <xdr:from>
      <xdr:col>0</xdr:col>
      <xdr:colOff>0</xdr:colOff>
      <xdr:row>69</xdr:row>
      <xdr:rowOff>0</xdr:rowOff>
    </xdr:from>
    <xdr:to>
      <xdr:col>10</xdr:col>
      <xdr:colOff>30779</xdr:colOff>
      <xdr:row>84</xdr:row>
      <xdr:rowOff>95250</xdr:rowOff>
    </xdr:to>
    <xdr:pic>
      <xdr:nvPicPr>
        <xdr:cNvPr id="9" name="图片 8">
          <a:extLst>
            <a:ext uri="{FF2B5EF4-FFF2-40B4-BE49-F238E27FC236}">
              <a16:creationId xmlns="" xmlns:a16="http://schemas.microsoft.com/office/drawing/2014/main" id="{00000000-0008-0000-2500-000009000000}"/>
            </a:ext>
          </a:extLst>
        </xdr:cNvPr>
        <xdr:cNvPicPr>
          <a:picLocks noChangeAspect="1"/>
        </xdr:cNvPicPr>
      </xdr:nvPicPr>
      <xdr:blipFill>
        <a:blip xmlns:r="http://schemas.openxmlformats.org/officeDocument/2006/relationships" r:embed="rId8"/>
        <a:stretch>
          <a:fillRect/>
        </a:stretch>
      </xdr:blipFill>
      <xdr:spPr>
        <a:xfrm>
          <a:off x="0" y="11830050"/>
          <a:ext cx="6888779" cy="2667000"/>
        </a:xfrm>
        <a:prstGeom prst="rect">
          <a:avLst/>
        </a:prstGeom>
      </xdr:spPr>
    </xdr:pic>
    <xdr:clientData/>
  </xdr:twoCellAnchor>
  <xdr:twoCellAnchor editAs="oneCell">
    <xdr:from>
      <xdr:col>10</xdr:col>
      <xdr:colOff>0</xdr:colOff>
      <xdr:row>67</xdr:row>
      <xdr:rowOff>0</xdr:rowOff>
    </xdr:from>
    <xdr:to>
      <xdr:col>20</xdr:col>
      <xdr:colOff>361048</xdr:colOff>
      <xdr:row>77</xdr:row>
      <xdr:rowOff>75976</xdr:rowOff>
    </xdr:to>
    <xdr:pic>
      <xdr:nvPicPr>
        <xdr:cNvPr id="10" name="图片 9">
          <a:extLst>
            <a:ext uri="{FF2B5EF4-FFF2-40B4-BE49-F238E27FC236}">
              <a16:creationId xmlns="" xmlns:a16="http://schemas.microsoft.com/office/drawing/2014/main" id="{00000000-0008-0000-2500-00000A000000}"/>
            </a:ext>
          </a:extLst>
        </xdr:cNvPr>
        <xdr:cNvPicPr>
          <a:picLocks noChangeAspect="1"/>
        </xdr:cNvPicPr>
      </xdr:nvPicPr>
      <xdr:blipFill>
        <a:blip xmlns:r="http://schemas.openxmlformats.org/officeDocument/2006/relationships" r:embed="rId9"/>
        <a:stretch>
          <a:fillRect/>
        </a:stretch>
      </xdr:blipFill>
      <xdr:spPr>
        <a:xfrm>
          <a:off x="6858000" y="11487150"/>
          <a:ext cx="7219048" cy="17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估价对象为北京市房地产，为XX所有。根据《不动产权证书》[]，估价对象建筑面积为191.89平方米，（分摊）出让国有建设用地使用权面积为平方米。估价对象用途为。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2020年12月30日（评估专业人员实地查勘之日）</v>
      </c>
    </row>
    <row r="10" spans="1:2">
      <c r="A10" s="1210" t="s">
        <v>1103</v>
      </c>
      <c r="B10" s="1197" t="str">
        <f>'预评函-1'!A13</f>
        <v>本次估价的“房地产价值”是指在正常市场情况下，在价值时点2020年12月30日，估价对象规划用途为，假定未设立法定优先受偿款下的房地产市场价值。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191.89</v>
      </c>
    </row>
    <row r="19" spans="1:2">
      <c r="A19" s="1210" t="s">
        <v>1112</v>
      </c>
      <c r="B19" s="1197">
        <f ca="1">'预评函-2（1）'!D7</f>
        <v>1301</v>
      </c>
    </row>
    <row r="20" spans="1:2">
      <c r="A20" s="1210" t="s">
        <v>1150</v>
      </c>
      <c r="B20" s="1197" t="str">
        <f>'预评函-2（1）'!C7</f>
        <v>总价（万元）</v>
      </c>
    </row>
    <row r="21" spans="1:2">
      <c r="A21" s="1210" t="s">
        <v>1113</v>
      </c>
      <c r="B21" s="1197">
        <f ca="1">'预评函-2（1）'!D9</f>
        <v>67799</v>
      </c>
    </row>
    <row r="22" spans="1:2">
      <c r="A22" s="1210" t="s">
        <v>1114</v>
      </c>
      <c r="B22" s="1197" t="str">
        <f ca="1">'预评函-2（1）'!D8</f>
        <v>壹仟叁佰零壹万元整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1301</v>
      </c>
    </row>
    <row r="30" spans="1:2">
      <c r="A30" s="1210" t="s">
        <v>1120</v>
      </c>
      <c r="B30" s="1197" t="str">
        <f ca="1">'预评函-2（1）'!D16</f>
        <v>壹仟叁佰零壹万元整</v>
      </c>
    </row>
    <row r="31" spans="1:2">
      <c r="A31" s="1210" t="s">
        <v>1121</v>
      </c>
      <c r="B31" s="1197" t="str">
        <f>'预评函-2（1）'!D18</f>
        <v>——</v>
      </c>
    </row>
    <row r="32" spans="1:2">
      <c r="A32" s="1210" t="s">
        <v>1122</v>
      </c>
      <c r="B32" s="1197" t="e">
        <f>'预评函-2（1）'!D19</f>
        <v>#VALUE!</v>
      </c>
    </row>
    <row r="33" spans="1:2">
      <c r="A33" s="1210" t="s">
        <v>1123</v>
      </c>
      <c r="B33" s="1197">
        <f ca="1">'预评函-2（1）'!D21</f>
        <v>1299</v>
      </c>
    </row>
    <row r="34" spans="1:2">
      <c r="A34" s="1210" t="s">
        <v>1124</v>
      </c>
      <c r="B34" s="1197">
        <f ca="1">'预评函-2（1）'!D23</f>
        <v>67695</v>
      </c>
    </row>
    <row r="35" spans="1:2">
      <c r="A35" s="1210" t="s">
        <v>1125</v>
      </c>
      <c r="B35" s="1197" t="str">
        <f ca="1">'预评函-2（1）'!D22</f>
        <v>壹仟贰佰玖拾玖万元整</v>
      </c>
    </row>
    <row r="36" spans="1:2">
      <c r="A36" s="1210" t="s">
        <v>1126</v>
      </c>
      <c r="B36" s="1197">
        <f>'预评函-2（2）'!C4</f>
        <v>0</v>
      </c>
    </row>
    <row r="37" spans="1:2">
      <c r="A37" s="1210" t="s">
        <v>1127</v>
      </c>
      <c r="B37" s="1197">
        <f ca="1">'预评函-2（2）'!D4</f>
        <v>1412</v>
      </c>
    </row>
    <row r="38" spans="1:2">
      <c r="A38" s="1210" t="s">
        <v>1128</v>
      </c>
      <c r="B38" s="1197">
        <f ca="1">'预评函-2（2）'!E4</f>
        <v>73584</v>
      </c>
    </row>
    <row r="39" spans="1:2">
      <c r="A39" s="1210" t="s">
        <v>1129</v>
      </c>
      <c r="B39" s="1197" t="str">
        <f ca="1">'预评函-2（2）'!D5</f>
        <v>壹仟肆佰壹拾贰万元整</v>
      </c>
    </row>
    <row r="40" spans="1:2">
      <c r="A40" s="1210" t="s">
        <v>1130</v>
      </c>
      <c r="B40" s="1197">
        <f ca="1">'预评函-2（2）'!F4</f>
        <v>-111</v>
      </c>
    </row>
    <row r="41" spans="1:2">
      <c r="A41" s="1210" t="s">
        <v>1131</v>
      </c>
      <c r="B41" s="1197">
        <f ca="1">'预评函-2（2）'!G4</f>
        <v>-5785</v>
      </c>
    </row>
    <row r="42" spans="1:2" s="1207" customFormat="1" ht="15.75" thickBot="1">
      <c r="A42" s="1211" t="s">
        <v>1132</v>
      </c>
      <c r="B42" s="1199" t="e">
        <f ca="1">'预评函-2（2）'!F5</f>
        <v>#NUM!</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4.抵押净值</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f ca="1">'预评函-2（1）'!D38</f>
        <v>67799</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抵押净值</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25" zoomScale="115" zoomScaleNormal="100" zoomScaleSheetLayoutView="115"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1" t="s">
        <v>1528</v>
      </c>
      <c r="B1" s="2592" t="str">
        <f>IF(B6="北京市","北京市",C6)&amp;IF(E12="房屋所有权证",B29,E29)&amp;D5&amp;"预评估"</f>
        <v>北京市房地产抵押价值预评估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3">
        <v>44195</v>
      </c>
      <c r="C2" s="2891" t="s">
        <v>1531</v>
      </c>
      <c r="D2" s="2593">
        <v>44195</v>
      </c>
      <c r="E2" s="824"/>
      <c r="F2" s="824"/>
      <c r="G2" s="1192"/>
      <c r="H2" s="2903"/>
    </row>
    <row r="3" spans="1:17" ht="13.5" thickBot="1">
      <c r="A3" s="2594" t="s">
        <v>1532</v>
      </c>
      <c r="B3" s="2595"/>
      <c r="C3" s="2596">
        <f>SUMIF(注册房地产估价师,B3,估价师及机构信息!B3:B16)</f>
        <v>0</v>
      </c>
      <c r="D3" s="2595"/>
      <c r="E3" s="2597">
        <f>SUMIF(注册房地产估价师,D3,估价师及机构信息!B3:B16)</f>
        <v>0</v>
      </c>
      <c r="F3" s="825"/>
      <c r="G3" s="1193"/>
      <c r="H3" s="2903"/>
    </row>
    <row r="4" spans="1:17" ht="13.5" customHeight="1" thickTop="1">
      <c r="A4" s="1427" t="s">
        <v>1533</v>
      </c>
      <c r="B4" s="1428" t="s">
        <v>2729</v>
      </c>
      <c r="C4" s="2892" t="s">
        <v>1534</v>
      </c>
      <c r="D4" s="1429" t="s">
        <v>2973</v>
      </c>
      <c r="E4" s="824"/>
      <c r="F4" s="824"/>
      <c r="G4" s="1192"/>
    </row>
    <row r="5" spans="1:17">
      <c r="A5" s="1430" t="s">
        <v>1535</v>
      </c>
      <c r="B5" s="1431" t="s">
        <v>2730</v>
      </c>
      <c r="C5" s="2893" t="s">
        <v>1536</v>
      </c>
      <c r="D5" s="1433" t="s">
        <v>2974</v>
      </c>
      <c r="E5" s="2894" t="s">
        <v>1537</v>
      </c>
      <c r="F5" s="1433" t="s">
        <v>2974</v>
      </c>
      <c r="G5" s="1434" t="s">
        <v>1222</v>
      </c>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1538</v>
      </c>
      <c r="B6" s="2598" t="s">
        <v>2896</v>
      </c>
      <c r="C6" s="2599" t="s">
        <v>2731</v>
      </c>
      <c r="D6" s="2600" t="s">
        <v>1539</v>
      </c>
      <c r="E6" s="811"/>
      <c r="F6" s="811"/>
      <c r="G6" s="830"/>
      <c r="I6" s="800" t="str">
        <f>IF(COUNTIF(B5,"*上海银行*"),"上海银行","")</f>
        <v/>
      </c>
      <c r="J6" s="800"/>
      <c r="K6" s="2921"/>
      <c r="L6" s="2921"/>
      <c r="M6" s="2921"/>
      <c r="N6" s="800"/>
      <c r="O6" s="800"/>
      <c r="P6" s="800"/>
      <c r="Q6" s="800"/>
    </row>
    <row r="7" spans="1:17" ht="13.5" thickBot="1">
      <c r="A7" s="2896" t="s">
        <v>1540</v>
      </c>
      <c r="B7" s="2601" t="s">
        <v>2897</v>
      </c>
      <c r="C7" s="1525" t="str">
        <f>IF(B7="自然人","姓名","名称")</f>
        <v>名称</v>
      </c>
      <c r="D7" s="1438" t="s">
        <v>2730</v>
      </c>
      <c r="E7" s="825"/>
      <c r="F7" s="825"/>
      <c r="G7" s="1193"/>
    </row>
    <row r="8" spans="1:17" ht="13.5" thickTop="1">
      <c r="A8" s="3223" t="s">
        <v>1541</v>
      </c>
      <c r="B8" s="1439" t="s">
        <v>1542</v>
      </c>
      <c r="C8" s="3235"/>
      <c r="D8" s="3236"/>
      <c r="E8" s="2602" t="s">
        <v>1543</v>
      </c>
      <c r="F8" s="2603" t="s">
        <v>1544</v>
      </c>
      <c r="G8" s="2604" t="str">
        <f>C6</f>
        <v>XX</v>
      </c>
    </row>
    <row r="9" spans="1:17" ht="25.5">
      <c r="A9" s="3223"/>
      <c r="B9" s="259" t="s">
        <v>1545</v>
      </c>
      <c r="C9" s="1431"/>
      <c r="D9" s="1440" t="s">
        <v>2898</v>
      </c>
      <c r="E9" s="2897" t="s">
        <v>1546</v>
      </c>
      <c r="F9" s="2605" t="s">
        <v>161</v>
      </c>
      <c r="G9" s="2606"/>
    </row>
    <row r="10" spans="1:17" ht="13.5" thickBot="1">
      <c r="A10" s="3223"/>
      <c r="B10" s="259" t="s">
        <v>1547</v>
      </c>
      <c r="C10" s="3237"/>
      <c r="D10" s="3238"/>
      <c r="E10" s="2898" t="s">
        <v>1548</v>
      </c>
      <c r="F10" s="2607" t="s">
        <v>162</v>
      </c>
      <c r="G10" s="2608"/>
    </row>
    <row r="11" spans="1:17" ht="13.5" thickBot="1">
      <c r="A11" s="3223"/>
      <c r="B11" s="1442" t="s">
        <v>1549</v>
      </c>
      <c r="C11" s="3239"/>
      <c r="D11" s="3240"/>
      <c r="E11" s="811"/>
      <c r="F11" s="811"/>
      <c r="G11" s="830"/>
    </row>
    <row r="12" spans="1:17" ht="24.75" thickBot="1">
      <c r="A12" s="3226" t="s">
        <v>2837</v>
      </c>
      <c r="B12" s="2899" t="s">
        <v>1550</v>
      </c>
      <c r="C12" s="808">
        <v>191.89</v>
      </c>
      <c r="D12" s="1443" t="s">
        <v>1551</v>
      </c>
      <c r="E12" s="1444" t="s">
        <v>1552</v>
      </c>
      <c r="F12" s="1445" t="s">
        <v>1553</v>
      </c>
      <c r="G12" s="830"/>
    </row>
    <row r="13" spans="1:17" ht="21" customHeight="1" thickBot="1">
      <c r="A13" s="3227"/>
      <c r="B13" s="2900" t="s">
        <v>1554</v>
      </c>
      <c r="C13" s="809"/>
      <c r="D13" s="1446" t="s">
        <v>1555</v>
      </c>
      <c r="E13" s="1447" t="s">
        <v>1552</v>
      </c>
      <c r="F13" s="811"/>
      <c r="G13" s="830"/>
      <c r="I13" s="3212" t="s">
        <v>1556</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5" thickBot="1">
      <c r="A14" s="2609"/>
      <c r="B14" s="2914" t="s">
        <v>2838</v>
      </c>
      <c r="C14" s="2610"/>
      <c r="D14" s="811"/>
      <c r="E14" s="811"/>
      <c r="F14" s="811"/>
      <c r="G14" s="830"/>
      <c r="I14" s="3212"/>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5" thickBot="1">
      <c r="A15" s="2611"/>
      <c r="B15" s="2901" t="s">
        <v>1557</v>
      </c>
      <c r="C15" s="826">
        <v>3.5</v>
      </c>
      <c r="D15" s="825"/>
      <c r="E15" s="825"/>
      <c r="F15" s="825"/>
      <c r="G15" s="1193"/>
      <c r="I15" s="3212"/>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9" t="s">
        <v>1558</v>
      </c>
      <c r="B16" s="1448" t="s">
        <v>1559</v>
      </c>
      <c r="C16" s="2612" t="s">
        <v>2899</v>
      </c>
      <c r="D16" s="1441" t="s">
        <v>1560</v>
      </c>
      <c r="E16" s="2613" t="s">
        <v>2728</v>
      </c>
      <c r="F16" s="1449" t="str">
        <f>IF(AND(C16="是",E16="否"),"是否提供他项权证或相关说明","")</f>
        <v/>
      </c>
      <c r="G16" s="2613" t="s">
        <v>2728</v>
      </c>
      <c r="J16" s="2903"/>
    </row>
    <row r="17" spans="1:66" ht="13.5" customHeight="1">
      <c r="A17" s="1455" t="s">
        <v>1561</v>
      </c>
      <c r="B17" s="3241" t="s">
        <v>1562</v>
      </c>
      <c r="C17" s="3242"/>
      <c r="D17" s="3243" t="s">
        <v>1563</v>
      </c>
      <c r="E17" s="3244"/>
      <c r="F17" s="1450" t="s">
        <v>1564</v>
      </c>
      <c r="G17" s="1451"/>
      <c r="J17" s="2903"/>
    </row>
    <row r="18" spans="1:66" ht="24">
      <c r="A18" s="1455"/>
      <c r="B18" s="2614" t="s">
        <v>1565</v>
      </c>
      <c r="C18" s="1434" t="s">
        <v>1566</v>
      </c>
      <c r="D18" s="1452" t="s">
        <v>1567</v>
      </c>
      <c r="E18" s="1453" t="s">
        <v>1568</v>
      </c>
      <c r="F18" s="1454"/>
      <c r="G18" s="1317"/>
      <c r="H18" s="2903"/>
      <c r="J18" s="2903"/>
    </row>
    <row r="19" spans="1:66" ht="21.75" customHeight="1" thickBot="1">
      <c r="A19" s="1455"/>
      <c r="B19" s="2615"/>
      <c r="C19" s="1447"/>
      <c r="D19" s="1455"/>
      <c r="E19" s="811"/>
      <c r="F19" s="811"/>
      <c r="G19" s="1317"/>
    </row>
    <row r="20" spans="1:66">
      <c r="A20" s="1451" t="s">
        <v>1569</v>
      </c>
      <c r="B20" s="2616" t="s">
        <v>1570</v>
      </c>
      <c r="C20" s="2617"/>
      <c r="D20" s="2618" t="s">
        <v>1570</v>
      </c>
      <c r="E20" s="2617"/>
      <c r="F20" s="811"/>
      <c r="G20" s="1317"/>
    </row>
    <row r="21" spans="1:66">
      <c r="A21" s="1317"/>
      <c r="B21" s="2619" t="s">
        <v>1571</v>
      </c>
      <c r="C21" s="2886"/>
      <c r="D21" s="1455" t="s">
        <v>1571</v>
      </c>
      <c r="E21" s="2620"/>
      <c r="F21" s="811"/>
      <c r="G21" s="1317"/>
    </row>
    <row r="22" spans="1:66">
      <c r="A22" s="1317"/>
      <c r="B22" s="811" t="s">
        <v>1572</v>
      </c>
      <c r="C22" s="2621"/>
      <c r="D22" s="811" t="s">
        <v>1572</v>
      </c>
      <c r="E22" s="2620"/>
      <c r="F22" s="811"/>
      <c r="G22" s="1317"/>
    </row>
    <row r="23" spans="1:66" s="2885" customFormat="1" ht="16.5" thickBot="1">
      <c r="A23" s="1318"/>
      <c r="B23" s="829" t="s">
        <v>1573</v>
      </c>
      <c r="C23" s="809"/>
      <c r="D23" s="829" t="s">
        <v>1574</v>
      </c>
      <c r="E23" s="2622"/>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2" t="s">
        <v>2836</v>
      </c>
      <c r="B24" s="3222"/>
      <c r="C24" s="3222"/>
      <c r="D24" s="3222"/>
      <c r="E24" s="3222"/>
      <c r="F24" s="3222"/>
      <c r="G24" s="3222"/>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1575</v>
      </c>
      <c r="B25" s="811"/>
      <c r="C25" s="811"/>
      <c r="D25" s="811"/>
      <c r="E25" s="811"/>
      <c r="F25" s="811"/>
      <c r="G25" s="1318"/>
      <c r="K25" s="2904"/>
    </row>
    <row r="26" spans="1:66" s="836" customFormat="1" ht="13.5" thickBot="1">
      <c r="A26" s="2623"/>
      <c r="B26" s="807" t="s">
        <v>1576</v>
      </c>
      <c r="C26" s="2623"/>
      <c r="D26" s="807"/>
      <c r="E26" s="2624" t="s">
        <v>1577</v>
      </c>
      <c r="F26" s="2623"/>
      <c r="G26" s="2625" t="s">
        <v>1578</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3"/>
      <c r="B27" s="2626"/>
      <c r="C27" s="2623"/>
      <c r="D27" s="807"/>
      <c r="E27" s="2626"/>
      <c r="F27" s="2623"/>
      <c r="G27" s="2627"/>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1579</v>
      </c>
      <c r="B28" s="801"/>
      <c r="C28" s="3229" t="s">
        <v>1579</v>
      </c>
      <c r="D28" s="3230"/>
      <c r="E28" s="801"/>
      <c r="F28" s="803" t="s">
        <v>1579</v>
      </c>
      <c r="G28" s="801"/>
      <c r="K28" s="2904"/>
    </row>
    <row r="29" spans="1:66">
      <c r="A29" s="804" t="s">
        <v>1580</v>
      </c>
      <c r="B29" s="798"/>
      <c r="C29" s="3231" t="s">
        <v>1581</v>
      </c>
      <c r="D29" s="3232"/>
      <c r="E29" s="798"/>
      <c r="F29" s="804" t="s">
        <v>1581</v>
      </c>
      <c r="G29" s="798"/>
      <c r="K29" s="2904"/>
    </row>
    <row r="30" spans="1:66">
      <c r="A30" s="804" t="s">
        <v>1582</v>
      </c>
      <c r="B30" s="798"/>
      <c r="C30" s="3231" t="s">
        <v>1582</v>
      </c>
      <c r="D30" s="3232"/>
      <c r="E30" s="798"/>
      <c r="F30" s="804" t="s">
        <v>1583</v>
      </c>
      <c r="G30" s="798"/>
      <c r="K30" s="2904"/>
    </row>
    <row r="31" spans="1:66">
      <c r="A31" s="804" t="s">
        <v>1584</v>
      </c>
      <c r="B31" s="798"/>
      <c r="C31" s="3219" t="s">
        <v>1585</v>
      </c>
      <c r="D31" s="811"/>
      <c r="E31" s="2628" t="str">
        <f>E32&amp;" "&amp;E33&amp;" "&amp;E34&amp;" "&amp;E35</f>
        <v xml:space="preserve">   </v>
      </c>
      <c r="F31" s="804" t="s">
        <v>1586</v>
      </c>
      <c r="G31" s="798"/>
    </row>
    <row r="32" spans="1:66">
      <c r="A32" s="804" t="s">
        <v>1587</v>
      </c>
      <c r="B32" s="798"/>
      <c r="C32" s="3220"/>
      <c r="D32" s="259" t="s">
        <v>1588</v>
      </c>
      <c r="E32" s="798"/>
      <c r="F32" s="804" t="s">
        <v>1589</v>
      </c>
      <c r="G32" s="798"/>
    </row>
    <row r="33" spans="1:7" ht="24.75" thickBot="1">
      <c r="A33" s="805" t="s">
        <v>1590</v>
      </c>
      <c r="B33" s="802"/>
      <c r="C33" s="3220"/>
      <c r="D33" s="259" t="s">
        <v>1591</v>
      </c>
      <c r="E33" s="798"/>
      <c r="F33" s="804" t="s">
        <v>1592</v>
      </c>
      <c r="G33" s="798"/>
    </row>
    <row r="34" spans="1:7">
      <c r="A34" s="803" t="s">
        <v>1593</v>
      </c>
      <c r="B34" s="801"/>
      <c r="C34" s="3220"/>
      <c r="D34" s="259" t="s">
        <v>1594</v>
      </c>
      <c r="E34" s="798"/>
      <c r="F34" s="804" t="s">
        <v>1595</v>
      </c>
      <c r="G34" s="798"/>
    </row>
    <row r="35" spans="1:7" ht="13.5" thickBot="1">
      <c r="A35" s="804" t="s">
        <v>1596</v>
      </c>
      <c r="B35" s="798"/>
      <c r="C35" s="3221"/>
      <c r="D35" s="259" t="s">
        <v>1597</v>
      </c>
      <c r="E35" s="798"/>
      <c r="F35" s="805" t="s">
        <v>1598</v>
      </c>
      <c r="G35" s="2629"/>
    </row>
    <row r="36" spans="1:7">
      <c r="A36" s="804" t="s">
        <v>1550</v>
      </c>
      <c r="B36" s="798"/>
      <c r="C36" s="3231" t="s">
        <v>1599</v>
      </c>
      <c r="D36" s="3232"/>
      <c r="E36" s="798"/>
      <c r="F36" s="2630" t="s">
        <v>1600</v>
      </c>
      <c r="G36" s="801"/>
    </row>
    <row r="37" spans="1:7" ht="13.5" thickBot="1">
      <c r="A37" s="804" t="s">
        <v>1601</v>
      </c>
      <c r="B37" s="798"/>
      <c r="C37" s="3233" t="s">
        <v>1602</v>
      </c>
      <c r="D37" s="3234"/>
      <c r="E37" s="802"/>
      <c r="F37" s="1463" t="s">
        <v>1603</v>
      </c>
      <c r="G37" s="798"/>
    </row>
    <row r="38" spans="1:7" ht="13.5" thickBot="1">
      <c r="A38" s="804" t="s">
        <v>1604</v>
      </c>
      <c r="B38" s="798"/>
      <c r="C38" s="3217" t="s">
        <v>1605</v>
      </c>
      <c r="D38" s="1443" t="s">
        <v>1589</v>
      </c>
      <c r="E38" s="801"/>
      <c r="F38" s="805" t="s">
        <v>1606</v>
      </c>
      <c r="G38" s="802"/>
    </row>
    <row r="39" spans="1:7">
      <c r="A39" s="804" t="s">
        <v>1607</v>
      </c>
      <c r="B39" s="798"/>
      <c r="C39" s="3224"/>
      <c r="D39" s="259" t="s">
        <v>1596</v>
      </c>
      <c r="E39" s="798"/>
      <c r="F39" s="803" t="s">
        <v>1608</v>
      </c>
      <c r="G39" s="801"/>
    </row>
    <row r="40" spans="1:7">
      <c r="A40" s="804" t="s">
        <v>1609</v>
      </c>
      <c r="B40" s="798"/>
      <c r="C40" s="3224" t="s">
        <v>1610</v>
      </c>
      <c r="D40" s="259" t="s">
        <v>1550</v>
      </c>
      <c r="E40" s="798"/>
      <c r="F40" s="804" t="s">
        <v>1611</v>
      </c>
      <c r="G40" s="798"/>
    </row>
    <row r="41" spans="1:7" ht="24.75" customHeight="1" thickBot="1">
      <c r="A41" s="805" t="s">
        <v>1612</v>
      </c>
      <c r="B41" s="802"/>
      <c r="C41" s="3225"/>
      <c r="D41" s="1446" t="s">
        <v>1554</v>
      </c>
      <c r="E41" s="802"/>
      <c r="F41" s="805" t="s">
        <v>1613</v>
      </c>
      <c r="G41" s="802"/>
    </row>
    <row r="42" spans="1:7">
      <c r="A42" s="806" t="s">
        <v>1614</v>
      </c>
      <c r="B42" s="2631"/>
      <c r="C42" s="3213" t="s">
        <v>1614</v>
      </c>
      <c r="D42" s="3214"/>
      <c r="E42" s="2631"/>
      <c r="F42" s="803" t="s">
        <v>1615</v>
      </c>
      <c r="G42" s="2631"/>
    </row>
    <row r="43" spans="1:7">
      <c r="A43" s="821" t="s">
        <v>1616</v>
      </c>
      <c r="B43" s="2632"/>
      <c r="C43" s="1455"/>
      <c r="D43" s="2619"/>
      <c r="E43" s="2632"/>
      <c r="F43" s="821"/>
      <c r="G43" s="2632"/>
    </row>
    <row r="44" spans="1:7">
      <c r="A44" s="821" t="s">
        <v>1570</v>
      </c>
      <c r="B44" s="822"/>
      <c r="C44" s="1455"/>
      <c r="D44" s="1521" t="s">
        <v>1570</v>
      </c>
      <c r="E44" s="822"/>
      <c r="F44" s="821" t="s">
        <v>1570</v>
      </c>
      <c r="G44" s="822"/>
    </row>
    <row r="45" spans="1:7">
      <c r="A45" s="821" t="s">
        <v>1571</v>
      </c>
      <c r="B45" s="822"/>
      <c r="C45" s="1455"/>
      <c r="D45" s="2619" t="s">
        <v>1571</v>
      </c>
      <c r="E45" s="822"/>
      <c r="F45" s="821" t="s">
        <v>1571</v>
      </c>
      <c r="G45" s="822"/>
    </row>
    <row r="46" spans="1:7">
      <c r="A46" s="821" t="s">
        <v>1572</v>
      </c>
      <c r="B46" s="822"/>
      <c r="C46" s="1455"/>
      <c r="D46" s="2619" t="s">
        <v>1572</v>
      </c>
      <c r="E46" s="822"/>
      <c r="F46" s="821" t="s">
        <v>1572</v>
      </c>
      <c r="G46" s="822"/>
    </row>
    <row r="47" spans="1:7">
      <c r="A47" s="821" t="s">
        <v>1573</v>
      </c>
      <c r="B47" s="822"/>
      <c r="C47" s="1455"/>
      <c r="D47" s="2619" t="s">
        <v>1573</v>
      </c>
      <c r="E47" s="822"/>
      <c r="F47" s="821" t="s">
        <v>1573</v>
      </c>
      <c r="G47" s="822"/>
    </row>
    <row r="48" spans="1:7">
      <c r="A48" s="821"/>
      <c r="B48" s="822"/>
      <c r="C48" s="1455"/>
      <c r="D48" s="2619"/>
      <c r="E48" s="822"/>
      <c r="F48" s="821"/>
      <c r="G48" s="822"/>
    </row>
    <row r="49" spans="1:66" ht="13.5" thickBot="1">
      <c r="A49" s="805" t="s">
        <v>1617</v>
      </c>
      <c r="B49" s="802"/>
      <c r="C49" s="3215" t="s">
        <v>1617</v>
      </c>
      <c r="D49" s="3216"/>
      <c r="E49" s="820"/>
      <c r="F49" s="805" t="s">
        <v>1618</v>
      </c>
      <c r="G49" s="802"/>
    </row>
    <row r="50" spans="1:66">
      <c r="A50" s="804" t="s">
        <v>1619</v>
      </c>
      <c r="B50" s="819"/>
      <c r="C50" s="3217" t="s">
        <v>1620</v>
      </c>
      <c r="D50" s="3218"/>
      <c r="E50" s="2633"/>
      <c r="F50" s="837"/>
      <c r="G50" s="838"/>
    </row>
    <row r="51" spans="1:66" ht="13.5" thickBot="1">
      <c r="A51" s="804" t="s">
        <v>1621</v>
      </c>
      <c r="B51" s="819"/>
      <c r="C51" s="3225" t="s">
        <v>1622</v>
      </c>
      <c r="D51" s="3228"/>
      <c r="E51" s="802"/>
      <c r="F51" s="811"/>
      <c r="G51" s="830"/>
    </row>
    <row r="52" spans="1:66">
      <c r="A52" s="804" t="s">
        <v>1600</v>
      </c>
      <c r="B52" s="798"/>
      <c r="C52" s="811"/>
      <c r="D52" s="811"/>
      <c r="E52" s="811"/>
      <c r="F52" s="811"/>
      <c r="G52" s="830"/>
    </row>
    <row r="53" spans="1:66" ht="24.75" thickBot="1">
      <c r="A53" s="805" t="s">
        <v>1623</v>
      </c>
      <c r="B53" s="2629"/>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5" t="s">
        <v>0</v>
      </c>
      <c r="B1" s="3245" t="s">
        <v>2</v>
      </c>
      <c r="C1" s="3245" t="s">
        <v>3</v>
      </c>
      <c r="D1" s="3246" t="s">
        <v>67</v>
      </c>
      <c r="E1" s="3246" t="s">
        <v>68</v>
      </c>
      <c r="F1" s="3246"/>
      <c r="G1" s="3246"/>
      <c r="H1" s="3246"/>
      <c r="I1" s="3246"/>
      <c r="J1" s="3246"/>
      <c r="K1" s="3246"/>
      <c r="L1" s="3246"/>
      <c r="M1" s="3246"/>
    </row>
    <row r="2" spans="1:13" ht="27" customHeight="1">
      <c r="A2" s="3245"/>
      <c r="B2" s="3245"/>
      <c r="C2" s="3245"/>
      <c r="D2" s="3246"/>
      <c r="E2" s="3246" t="s">
        <v>51</v>
      </c>
      <c r="F2" s="3246" t="s">
        <v>52</v>
      </c>
      <c r="G2" s="3246"/>
      <c r="H2" s="3246"/>
      <c r="I2" s="3246"/>
      <c r="J2" s="3246" t="s">
        <v>53</v>
      </c>
      <c r="K2" s="3246"/>
      <c r="L2" s="3246"/>
      <c r="M2" s="3246"/>
    </row>
    <row r="3" spans="1:13" ht="28.5">
      <c r="A3" s="3245"/>
      <c r="B3" s="3245"/>
      <c r="C3" s="3245"/>
      <c r="D3" s="3246"/>
      <c r="E3" s="32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6" t="s">
        <v>69</v>
      </c>
      <c r="B9" s="3246"/>
      <c r="C9" s="32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E15"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689" customWidth="1"/>
    <col min="2" max="2" width="16.75" style="2635" customWidth="1"/>
    <col min="3" max="3" width="18.25" style="2675" customWidth="1"/>
    <col min="4" max="4" width="34.125" style="2690" customWidth="1"/>
    <col min="5" max="5" width="17.625" style="2690" customWidth="1"/>
    <col min="6" max="6" width="15.5" style="2634"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5"/>
  </cols>
  <sheetData>
    <row r="1" spans="1:41" ht="19.5" thickBot="1">
      <c r="A1" s="2922" t="s">
        <v>1624</v>
      </c>
      <c r="B1" s="947"/>
      <c r="D1" s="2634"/>
      <c r="E1" s="2634"/>
    </row>
    <row r="2" spans="1:41" s="2638" customFormat="1" ht="15.75" thickBot="1">
      <c r="A2" s="2923" t="s">
        <v>1625</v>
      </c>
      <c r="B2" s="2924">
        <f>项目基本情况!D2</f>
        <v>44195</v>
      </c>
      <c r="C2" s="1685"/>
      <c r="D2" s="3247" t="s">
        <v>1626</v>
      </c>
      <c r="E2" s="2636"/>
      <c r="F2" s="2637"/>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8" customFormat="1" ht="15" customHeight="1" thickBot="1">
      <c r="A3" s="2641" t="s">
        <v>1627</v>
      </c>
      <c r="B3" s="2639" t="s">
        <v>2900</v>
      </c>
      <c r="C3" s="1685"/>
      <c r="D3" s="3248"/>
      <c r="E3" s="2640" t="s">
        <v>1628</v>
      </c>
      <c r="F3" s="2637"/>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8" customFormat="1" ht="15" thickBot="1">
      <c r="A4" s="2644" t="s">
        <v>1629</v>
      </c>
      <c r="B4" s="2639" t="s">
        <v>2901</v>
      </c>
      <c r="C4" s="1685"/>
      <c r="D4" s="3248"/>
      <c r="E4" s="2640"/>
      <c r="F4" s="2637"/>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8" customFormat="1" ht="15.75" thickBot="1">
      <c r="A5" s="2641" t="s">
        <v>1630</v>
      </c>
      <c r="B5" s="2642">
        <f>项目基本情况!C12</f>
        <v>191.89</v>
      </c>
      <c r="C5" s="1685"/>
      <c r="D5" s="2925" t="s">
        <v>1631</v>
      </c>
      <c r="E5" s="2643">
        <f>B5</f>
        <v>191.89</v>
      </c>
      <c r="F5" s="2637"/>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8" customFormat="1" ht="15.75" thickBot="1">
      <c r="A6" s="2644" t="s">
        <v>1632</v>
      </c>
      <c r="B6" s="2645">
        <f>项目基本情况!C13</f>
        <v>0</v>
      </c>
      <c r="C6" s="1685"/>
      <c r="D6" s="2925" t="s">
        <v>1633</v>
      </c>
      <c r="E6" s="2643"/>
      <c r="F6" s="2637"/>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8" customFormat="1" ht="15" thickBot="1">
      <c r="A10" s="2926" t="s">
        <v>1634</v>
      </c>
      <c r="B10" s="2647" t="s">
        <v>2902</v>
      </c>
      <c r="C10" s="1685"/>
      <c r="D10" s="2923" t="s">
        <v>1635</v>
      </c>
      <c r="E10" s="2927" t="s">
        <v>1636</v>
      </c>
      <c r="F10" s="3092"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1" customFormat="1" ht="14.25">
      <c r="A11" s="2928" t="s">
        <v>1637</v>
      </c>
      <c r="B11" s="2649">
        <v>40</v>
      </c>
      <c r="C11" s="1685"/>
      <c r="D11" s="2929" t="s">
        <v>1638</v>
      </c>
      <c r="E11" s="2650"/>
      <c r="F11" s="1312" t="s">
        <v>1639</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8" customFormat="1" ht="15">
      <c r="A12" s="2930" t="s">
        <v>1640</v>
      </c>
      <c r="B12" s="3158">
        <v>53321</v>
      </c>
      <c r="C12" s="1685"/>
      <c r="D12" s="2930" t="s">
        <v>1641</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8" customFormat="1" ht="15" thickBot="1">
      <c r="A13" s="2931" t="s">
        <v>1642</v>
      </c>
      <c r="B13" s="2932">
        <f>IF(B12="",B11-(YEAR($B$2)-B27+B24),ROUNDDOWN(MIN((B12-$B$2)/365,B11),2))</f>
        <v>25</v>
      </c>
      <c r="C13" s="2967"/>
      <c r="D13" s="2933" t="s">
        <v>1643</v>
      </c>
      <c r="E13" s="2653">
        <f>成本法!C10</f>
        <v>38378</v>
      </c>
      <c r="F13" s="1310" t="s">
        <v>1644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8" customFormat="1" ht="14.25">
      <c r="A14" s="2930" t="s">
        <v>1645</v>
      </c>
      <c r="B14" s="2934">
        <f>IF(ISERROR(ROUND(POWER(1+B15,B11-B13)*(POWER(1+B15,B13)-1)/(POWER(1+B15,B11)-1),3)),0,ROUND(POWER(1+B15,B11-B13)*(POWER(1+B15,B13)-1)/(POWER(1+B15,B11)-1),3))</f>
        <v>0.82099999999999995</v>
      </c>
      <c r="C14" s="1685"/>
      <c r="D14" s="2935" t="s">
        <v>1646</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8" customFormat="1" ht="14.25">
      <c r="A15" s="2930" t="s">
        <v>1647</v>
      </c>
      <c r="B15" s="2655">
        <v>0.05</v>
      </c>
      <c r="C15" s="2564" t="s">
        <v>2848</v>
      </c>
      <c r="D15" s="2930" t="s">
        <v>1648</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8" customFormat="1" ht="15" thickBot="1">
      <c r="A16" s="2930" t="s">
        <v>1649</v>
      </c>
      <c r="B16" s="2655">
        <v>5.5E-2</v>
      </c>
      <c r="C16" s="2564" t="s">
        <v>2849</v>
      </c>
      <c r="D16" s="2937" t="s">
        <v>1650</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8" customFormat="1" ht="15" thickBot="1">
      <c r="A17" s="2937" t="s">
        <v>2846</v>
      </c>
      <c r="B17" s="3090">
        <v>0.08</v>
      </c>
      <c r="C17" s="2564" t="s">
        <v>2850</v>
      </c>
      <c r="D17" s="2926" t="s">
        <v>1652</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8" customFormat="1" ht="15" thickBot="1">
      <c r="A18" s="2938" t="s">
        <v>1651</v>
      </c>
      <c r="B18" s="3098">
        <f>B17-0.5%</f>
        <v>7.4999999999999997E-2</v>
      </c>
      <c r="C18" s="1685"/>
      <c r="D18" s="2939" t="str">
        <f>IF(B26=0,"建安总额","在建建安")</f>
        <v>建安总额</v>
      </c>
      <c r="E18" s="2940">
        <f>ROUND(B5*E17*IF(B26=0,1,E20),0)</f>
        <v>575670</v>
      </c>
      <c r="F18" s="2658">
        <f>ROUND(E5*E17*IF(B26=0,1,E20),0)</f>
        <v>575670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8"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8" customFormat="1" ht="15" thickBot="1">
      <c r="A20" s="2941" t="s">
        <v>1653</v>
      </c>
      <c r="B20" s="1311"/>
      <c r="C20" s="1685"/>
      <c r="D20" s="2943" t="str">
        <f>IF(B26=0,"成新率","工程进度")</f>
        <v>成新率</v>
      </c>
      <c r="E20" s="2660">
        <f>ROUND((G20+G21)/2,2)</f>
        <v>0.87</v>
      </c>
      <c r="F20" s="947"/>
      <c r="G20" s="1685">
        <f>ROUND(1-(2020-2007)/60,2)</f>
        <v>0.78</v>
      </c>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8" customFormat="1" ht="14.25">
      <c r="A21" s="2942" t="s">
        <v>1654</v>
      </c>
      <c r="B21" s="2659">
        <v>0</v>
      </c>
      <c r="C21" s="1685"/>
      <c r="D21" s="2930" t="s">
        <v>1656</v>
      </c>
      <c r="E21" s="2662">
        <v>0.03</v>
      </c>
      <c r="F21" s="2673" t="s">
        <v>2856</v>
      </c>
      <c r="G21" s="1685">
        <v>0.95</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8" customFormat="1" ht="14.25">
      <c r="A22" s="2944" t="s">
        <v>1655</v>
      </c>
      <c r="B22" s="2661">
        <v>2</v>
      </c>
      <c r="C22" s="1685"/>
      <c r="D22" s="2930" t="s">
        <v>1658</v>
      </c>
      <c r="E22" s="2665">
        <v>0.05</v>
      </c>
      <c r="F22" s="2673"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8" customFormat="1" ht="14.25">
      <c r="A23" s="2945" t="s">
        <v>1657</v>
      </c>
      <c r="B23" s="2664">
        <v>2</v>
      </c>
      <c r="C23" s="1685"/>
      <c r="D23" s="2930" t="s">
        <v>1660</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8" customFormat="1" ht="15" thickBot="1">
      <c r="A24" s="2946" t="s">
        <v>1659</v>
      </c>
      <c r="B24" s="2947">
        <f>B21+B22</f>
        <v>2</v>
      </c>
      <c r="C24" s="1685"/>
      <c r="D24" s="2937" t="s">
        <v>1662</v>
      </c>
      <c r="E24" s="2666">
        <v>1.4999999999999999E-2</v>
      </c>
      <c r="F24" s="2673"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1661</v>
      </c>
      <c r="B25" s="2949">
        <f>B21+B23</f>
        <v>2</v>
      </c>
      <c r="C25" s="1685"/>
      <c r="D25" s="2929" t="s">
        <v>1664</v>
      </c>
      <c r="E25" s="2662">
        <v>0.01</v>
      </c>
      <c r="F25" s="2673" t="s">
        <v>2855</v>
      </c>
      <c r="I25" s="2968"/>
    </row>
    <row r="26" spans="1:41" ht="15" thickBot="1">
      <c r="A26" s="2946" t="s">
        <v>1663</v>
      </c>
      <c r="B26" s="2950">
        <f>B22-B23</f>
        <v>0</v>
      </c>
      <c r="D26" s="2930" t="s">
        <v>1666</v>
      </c>
      <c r="E26" s="2665">
        <v>0.01</v>
      </c>
      <c r="F26" s="2673" t="s">
        <v>2855</v>
      </c>
      <c r="G26" s="2969"/>
      <c r="H26" s="2969"/>
      <c r="I26" s="1685"/>
      <c r="J26" s="1685"/>
      <c r="K26" s="1685"/>
      <c r="L26" s="1685"/>
      <c r="M26" s="1685"/>
      <c r="N26" s="1685"/>
    </row>
    <row r="27" spans="1:41" ht="15.75" thickBot="1">
      <c r="A27" s="2951" t="s">
        <v>1665</v>
      </c>
      <c r="B27" s="2667">
        <v>2007</v>
      </c>
      <c r="C27" s="1685"/>
      <c r="D27" s="2930" t="s">
        <v>1667</v>
      </c>
      <c r="E27" s="2952">
        <f ca="1">存贷款利率!G1</f>
        <v>4.7500000000000001E-2</v>
      </c>
      <c r="F27" s="2663" t="s">
        <v>1668</v>
      </c>
      <c r="G27" s="2969"/>
      <c r="H27" s="2969"/>
      <c r="K27" s="1685"/>
      <c r="N27" s="1685"/>
    </row>
    <row r="28" spans="1:41" ht="15" thickBot="1">
      <c r="A28" s="947"/>
      <c r="B28" s="947"/>
      <c r="D28" s="2933" t="s">
        <v>1670</v>
      </c>
      <c r="E28" s="2669">
        <v>0.15</v>
      </c>
      <c r="G28" s="2969"/>
      <c r="H28" s="2969"/>
      <c r="K28" s="1685"/>
      <c r="N28" s="1685"/>
    </row>
    <row r="29" spans="1:41" ht="14.25">
      <c r="A29" s="2953" t="s">
        <v>1669</v>
      </c>
      <c r="B29" s="2668" t="s">
        <v>2903</v>
      </c>
      <c r="D29" s="2935" t="s">
        <v>1671</v>
      </c>
      <c r="E29" s="2954">
        <f>E30+E31</f>
        <v>5.6000000000000001E-2</v>
      </c>
      <c r="F29" s="1310"/>
      <c r="G29" s="2969"/>
      <c r="H29" s="2969"/>
      <c r="K29" s="1685"/>
      <c r="N29" s="1685"/>
    </row>
    <row r="30" spans="1:41" ht="14.25">
      <c r="A30" s="2930" t="str">
        <f>IF(B29="租赁期内按合同租金","合同租金","市场租金")</f>
        <v>市场租金</v>
      </c>
      <c r="B30" s="2670">
        <v>10</v>
      </c>
      <c r="D30" s="2937" t="s">
        <v>1673</v>
      </c>
      <c r="E30" s="2671">
        <v>0.05</v>
      </c>
      <c r="F30" s="2956">
        <f>IF(B2&lt;DATE(2016,5,1),0,E30)</f>
        <v>0.05</v>
      </c>
      <c r="G30" s="2969"/>
      <c r="H30" s="2969"/>
      <c r="K30" s="1685"/>
      <c r="N30" s="1685"/>
    </row>
    <row r="31" spans="1:41" ht="14.25">
      <c r="A31" s="2930" t="s">
        <v>1672</v>
      </c>
      <c r="B31" s="2955">
        <f ca="1">存贷款利率!I1</f>
        <v>1.4999999999999999E-2</v>
      </c>
      <c r="D31" s="2937" t="s">
        <v>1675</v>
      </c>
      <c r="E31" s="2957">
        <f>E30*(E32+E33+E34)+E35</f>
        <v>6.000000000000001E-3</v>
      </c>
      <c r="F31" s="1310"/>
      <c r="G31" s="2969"/>
      <c r="H31" s="2969"/>
      <c r="K31" s="1685"/>
      <c r="N31" s="1685"/>
    </row>
    <row r="32" spans="1:41" ht="14.25">
      <c r="A32" s="2930" t="s">
        <v>1674</v>
      </c>
      <c r="B32" s="2655">
        <v>0.03</v>
      </c>
      <c r="D32" s="2937" t="s">
        <v>1677</v>
      </c>
      <c r="E32" s="2672">
        <v>7.0000000000000007E-2</v>
      </c>
      <c r="F32" s="2673" t="s">
        <v>2742</v>
      </c>
      <c r="G32" s="2969"/>
      <c r="H32" s="2969"/>
      <c r="K32" s="1685"/>
      <c r="L32" s="1685"/>
      <c r="M32" s="1685"/>
      <c r="N32" s="1685"/>
    </row>
    <row r="33" spans="1:14" ht="14.25">
      <c r="A33" s="2930" t="s">
        <v>1676</v>
      </c>
      <c r="B33" s="2655">
        <v>0.1</v>
      </c>
      <c r="D33" s="2937" t="s">
        <v>1679</v>
      </c>
      <c r="E33" s="2671">
        <v>0.03</v>
      </c>
      <c r="F33" s="1309" t="s">
        <v>1680</v>
      </c>
      <c r="G33" s="2969"/>
      <c r="H33" s="2969"/>
      <c r="K33" s="1685"/>
      <c r="L33" s="1685"/>
      <c r="M33" s="1685"/>
      <c r="N33" s="1685"/>
    </row>
    <row r="34" spans="1:14" s="2675" customFormat="1" ht="14.25">
      <c r="A34" s="2930" t="s">
        <v>1678</v>
      </c>
      <c r="B34" s="2958">
        <f>收益法!J54</f>
        <v>-13</v>
      </c>
      <c r="D34" s="2937" t="s">
        <v>1681</v>
      </c>
      <c r="E34" s="2671">
        <v>0.02</v>
      </c>
      <c r="F34" s="1309" t="s">
        <v>1682</v>
      </c>
      <c r="G34" s="2969"/>
      <c r="H34" s="2969"/>
      <c r="I34" s="1685"/>
      <c r="J34" s="1685"/>
      <c r="K34" s="1685"/>
      <c r="L34" s="1685"/>
      <c r="M34" s="1685"/>
      <c r="N34" s="1685"/>
    </row>
    <row r="35" spans="1:14" s="2675" customFormat="1" ht="15" thickBot="1">
      <c r="A35" s="2937" t="str">
        <f>IF(B29="租赁期内按合同租金","剩余租赁期","——")</f>
        <v>——</v>
      </c>
      <c r="B35" s="2674"/>
      <c r="D35" s="2933" t="s">
        <v>1684</v>
      </c>
      <c r="E35" s="2677"/>
      <c r="F35" s="1312" t="s">
        <v>1685</v>
      </c>
      <c r="G35" s="2969"/>
      <c r="H35" s="2969"/>
      <c r="I35" s="1685"/>
      <c r="J35" s="1685"/>
      <c r="K35" s="1685"/>
      <c r="L35" s="1685"/>
      <c r="M35" s="1685"/>
      <c r="N35" s="1685"/>
    </row>
    <row r="36" spans="1:14" s="2675" customFormat="1" ht="15">
      <c r="A36" s="2959" t="s">
        <v>1683</v>
      </c>
      <c r="B36" s="2960"/>
      <c r="D36" s="2961" t="s">
        <v>1686</v>
      </c>
      <c r="E36" s="2679">
        <v>0.03</v>
      </c>
      <c r="F36" s="1311" t="s">
        <v>1687</v>
      </c>
      <c r="G36" s="2969"/>
      <c r="H36" s="2969"/>
      <c r="I36" s="1685"/>
      <c r="J36" s="1685"/>
      <c r="K36" s="1685"/>
      <c r="L36" s="1685"/>
      <c r="M36" s="1685"/>
      <c r="N36" s="1685"/>
    </row>
    <row r="37" spans="1:14" s="2675" customFormat="1" ht="15" thickBot="1">
      <c r="A37" s="2935" t="str">
        <f>IF(B29="租赁期内按合同租金","租金","——")</f>
        <v>——</v>
      </c>
      <c r="B37" s="2678"/>
      <c r="D37" s="2937" t="s">
        <v>1688</v>
      </c>
      <c r="E37" s="2671">
        <v>5.0000000000000001E-4</v>
      </c>
      <c r="F37" s="1311" t="s">
        <v>1689</v>
      </c>
      <c r="G37" s="2969"/>
      <c r="H37" s="2969"/>
      <c r="I37" s="1685"/>
      <c r="J37" s="1685"/>
      <c r="K37" s="1685"/>
      <c r="L37" s="1685"/>
      <c r="M37" s="1685"/>
      <c r="N37" s="1685"/>
    </row>
    <row r="38" spans="1:14" s="2675" customFormat="1" ht="14.25">
      <c r="A38" s="2930" t="str">
        <f>IF(B29="租赁期内按合同租金","年租金增长率","——")</f>
        <v>——</v>
      </c>
      <c r="B38" s="2655"/>
      <c r="D38" s="2962" t="s">
        <v>1690</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1691</v>
      </c>
      <c r="E39" s="2964">
        <v>0.12</v>
      </c>
      <c r="F39" s="1311"/>
      <c r="G39" s="2969"/>
      <c r="H39" s="2969"/>
      <c r="I39" s="1685"/>
      <c r="J39" s="1685"/>
      <c r="K39" s="1685"/>
      <c r="L39" s="1685"/>
      <c r="M39" s="1685"/>
      <c r="N39" s="1685"/>
    </row>
    <row r="40" spans="1:14" ht="14.25">
      <c r="A40" s="2930" t="str">
        <f>IF(B29="租赁期内按合同租金","成新率","——")</f>
        <v>——</v>
      </c>
      <c r="B40" s="2655"/>
      <c r="D40" s="2962" t="s">
        <v>1692</v>
      </c>
      <c r="E40" s="2966">
        <f>SUMIF(D42:D51,E41,E42:E51)</f>
        <v>30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1694</v>
      </c>
      <c r="E41" s="2681" t="s">
        <v>161</v>
      </c>
      <c r="F41" s="1311" t="s">
        <v>1695</v>
      </c>
      <c r="G41" s="1772" t="s">
        <v>1696</v>
      </c>
      <c r="H41" s="2969"/>
      <c r="I41" s="1685"/>
      <c r="J41" s="1685"/>
      <c r="K41" s="1685"/>
      <c r="L41" s="1685"/>
      <c r="M41" s="1685"/>
      <c r="N41" s="1685"/>
    </row>
    <row r="42" spans="1:14" ht="14.25">
      <c r="A42" s="2929" t="s">
        <v>1693</v>
      </c>
      <c r="B42" s="2680"/>
      <c r="D42" s="2683" t="s">
        <v>1698</v>
      </c>
      <c r="E42" s="2670">
        <v>30</v>
      </c>
      <c r="F42" s="1311">
        <v>30</v>
      </c>
      <c r="G42" s="2969"/>
      <c r="H42" s="2969"/>
      <c r="I42" s="1685"/>
      <c r="J42" s="1685"/>
      <c r="K42" s="1685"/>
      <c r="L42" s="1685"/>
      <c r="M42" s="1685"/>
      <c r="N42" s="1685"/>
    </row>
    <row r="43" spans="1:14" ht="14.25">
      <c r="A43" s="2930" t="s">
        <v>1697</v>
      </c>
      <c r="B43" s="2682">
        <v>365</v>
      </c>
      <c r="D43" s="2683" t="s">
        <v>1700</v>
      </c>
      <c r="E43" s="2670"/>
      <c r="F43" s="1311">
        <v>24</v>
      </c>
      <c r="G43" s="2969"/>
      <c r="H43" s="2969"/>
      <c r="I43" s="1685"/>
      <c r="J43" s="1685"/>
      <c r="K43" s="1685"/>
      <c r="L43" s="1685"/>
      <c r="M43" s="1685"/>
      <c r="N43" s="1685"/>
    </row>
    <row r="44" spans="1:14" ht="14.25">
      <c r="A44" s="2930" t="s">
        <v>1699</v>
      </c>
      <c r="B44" s="2670"/>
      <c r="D44" s="2683" t="s">
        <v>1702</v>
      </c>
      <c r="E44" s="2670"/>
      <c r="F44" s="1311">
        <v>18</v>
      </c>
      <c r="G44" s="2675"/>
      <c r="H44" s="2675"/>
      <c r="I44" s="2969"/>
      <c r="J44" s="1685"/>
      <c r="K44" s="1685"/>
      <c r="L44" s="1685"/>
      <c r="M44" s="1685"/>
      <c r="N44" s="1685"/>
    </row>
    <row r="45" spans="1:14" ht="14.25">
      <c r="A45" s="2930" t="s">
        <v>1701</v>
      </c>
      <c r="B45" s="2684">
        <v>1.4999999999999999E-2</v>
      </c>
      <c r="C45" s="2564" t="s">
        <v>2853</v>
      </c>
      <c r="D45" s="2683" t="s">
        <v>1704</v>
      </c>
      <c r="E45" s="2670"/>
      <c r="F45" s="1311">
        <v>12</v>
      </c>
      <c r="G45" s="2675"/>
      <c r="H45" s="2675"/>
      <c r="M45" s="1685"/>
      <c r="N45" s="1685"/>
    </row>
    <row r="46" spans="1:14" ht="14.25">
      <c r="A46" s="2930" t="s">
        <v>1703</v>
      </c>
      <c r="B46" s="2685">
        <v>1.5E-3</v>
      </c>
      <c r="C46" s="2564" t="s">
        <v>2851</v>
      </c>
      <c r="D46" s="2683" t="s">
        <v>1458</v>
      </c>
      <c r="E46" s="2670"/>
      <c r="F46" s="1311">
        <v>3</v>
      </c>
      <c r="G46" s="2675"/>
      <c r="H46" s="2675"/>
      <c r="M46" s="1685"/>
      <c r="N46" s="1685"/>
    </row>
    <row r="47" spans="1:14" ht="15" thickBot="1">
      <c r="A47" s="2933" t="s">
        <v>1705</v>
      </c>
      <c r="B47" s="2686">
        <v>0.01</v>
      </c>
      <c r="C47" s="2564" t="s">
        <v>2852</v>
      </c>
      <c r="D47" s="2683" t="s">
        <v>1706</v>
      </c>
      <c r="E47" s="2670"/>
      <c r="F47" s="1311">
        <v>1.5</v>
      </c>
      <c r="G47" s="2675"/>
      <c r="H47" s="2675"/>
      <c r="M47" s="1685"/>
      <c r="N47" s="1685"/>
    </row>
    <row r="48" spans="1:14" ht="14.25">
      <c r="A48" s="2675"/>
      <c r="B48" s="2675"/>
      <c r="D48" s="2683" t="s">
        <v>1707</v>
      </c>
      <c r="E48" s="2670"/>
      <c r="F48" s="1311"/>
      <c r="G48" s="2675"/>
      <c r="H48" s="2675"/>
      <c r="M48" s="1685"/>
      <c r="N48" s="1685"/>
    </row>
    <row r="49" spans="1:41" ht="14.25">
      <c r="A49" s="2675"/>
      <c r="B49" s="2675"/>
      <c r="D49" s="2683" t="s">
        <v>1708</v>
      </c>
      <c r="E49" s="2670"/>
      <c r="F49" s="1311"/>
      <c r="G49" s="2675"/>
      <c r="H49" s="2675"/>
      <c r="M49" s="1685"/>
      <c r="N49" s="1685"/>
    </row>
    <row r="50" spans="1:41" ht="14.25">
      <c r="A50" s="2675"/>
      <c r="B50" s="2675"/>
      <c r="D50" s="2683" t="s">
        <v>1709</v>
      </c>
      <c r="E50" s="2670"/>
      <c r="F50" s="1311"/>
      <c r="G50" s="2675"/>
      <c r="H50" s="2675"/>
      <c r="M50" s="1685"/>
      <c r="N50" s="1685"/>
    </row>
    <row r="51" spans="1:41" s="947" customFormat="1" ht="15" thickBot="1">
      <c r="A51" s="2675"/>
      <c r="B51" s="2675"/>
      <c r="C51" s="2675"/>
      <c r="D51" s="2687" t="s">
        <v>1710</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8" customWidth="1"/>
    <col min="2" max="2" width="24.5" style="2651" customWidth="1"/>
    <col min="3" max="3" width="28.375" style="2711" customWidth="1"/>
    <col min="4" max="4" width="2.625" style="2711" customWidth="1"/>
    <col min="5" max="5" width="5.875" style="2711" customWidth="1"/>
    <col min="6" max="6" width="27" style="2651"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8"/>
  </cols>
  <sheetData>
    <row r="1" spans="1:29" s="2696" customFormat="1" ht="19.5" thickBot="1">
      <c r="A1" s="3249" t="s">
        <v>1711</v>
      </c>
      <c r="B1" s="3250"/>
      <c r="C1" s="3250"/>
      <c r="D1" s="3250"/>
      <c r="E1" s="3250"/>
      <c r="F1" s="3250"/>
      <c r="G1" s="3250"/>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5" customFormat="1" ht="13.5" thickBot="1">
      <c r="A2" s="3099"/>
      <c r="B2" s="3100"/>
      <c r="C2" s="3101" t="s">
        <v>2858</v>
      </c>
      <c r="D2" s="3102"/>
      <c r="E2" s="3099"/>
      <c r="F2" s="3103"/>
      <c r="G2" s="3101" t="s">
        <v>2859</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5" customFormat="1" ht="36">
      <c r="A3" s="3105" t="s">
        <v>2860</v>
      </c>
      <c r="B3" s="3106" t="s">
        <v>2861</v>
      </c>
      <c r="C3" s="3107" t="s">
        <v>2862</v>
      </c>
      <c r="D3" s="3108"/>
      <c r="E3" s="3109" t="s">
        <v>2860</v>
      </c>
      <c r="F3" s="3110" t="s">
        <v>2863</v>
      </c>
      <c r="G3" s="3111" t="s">
        <v>2864</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5" customFormat="1" ht="24.75">
      <c r="A4" s="3109"/>
      <c r="B4" s="3093" t="s">
        <v>2865</v>
      </c>
      <c r="C4" s="3112" t="s">
        <v>2866</v>
      </c>
      <c r="D4" s="3108"/>
      <c r="E4" s="3113"/>
      <c r="F4" s="3095" t="s">
        <v>2867</v>
      </c>
      <c r="G4" s="3114" t="s">
        <v>2868</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5" customFormat="1" ht="24.75">
      <c r="A5" s="3109"/>
      <c r="B5" s="3093" t="s">
        <v>2869</v>
      </c>
      <c r="C5" s="3112" t="s">
        <v>2870</v>
      </c>
      <c r="D5" s="3108"/>
      <c r="E5" s="3113"/>
      <c r="F5" s="3093" t="s">
        <v>2871</v>
      </c>
      <c r="G5" s="3114" t="s">
        <v>2872</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5" customFormat="1" ht="36">
      <c r="A6" s="3109"/>
      <c r="B6" s="3093" t="s">
        <v>2873</v>
      </c>
      <c r="C6" s="3114" t="s">
        <v>2868</v>
      </c>
      <c r="D6" s="3108"/>
      <c r="E6" s="3113"/>
      <c r="F6" s="3093" t="s">
        <v>2874</v>
      </c>
      <c r="G6" s="3114" t="s">
        <v>2875</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5" customFormat="1" ht="24.75" thickBot="1">
      <c r="A7" s="3109"/>
      <c r="B7" s="3093" t="s">
        <v>2871</v>
      </c>
      <c r="C7" s="3114" t="s">
        <v>2872</v>
      </c>
      <c r="D7" s="2982"/>
      <c r="E7" s="3115"/>
      <c r="F7" s="3116" t="s">
        <v>2876</v>
      </c>
      <c r="G7" s="3117" t="s">
        <v>2877</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5" customFormat="1" ht="12.75">
      <c r="A8" s="3109"/>
      <c r="B8" s="3093" t="s">
        <v>2874</v>
      </c>
      <c r="C8" s="3114" t="s">
        <v>2875</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5" customFormat="1" ht="24">
      <c r="A9" s="3109"/>
      <c r="B9" s="3093" t="s">
        <v>2878</v>
      </c>
      <c r="C9" s="3112" t="s">
        <v>2879</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2880</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6"/>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1717</v>
      </c>
      <c r="B13" s="2701"/>
      <c r="C13" s="2701"/>
      <c r="D13" s="2697"/>
      <c r="E13" s="2701"/>
      <c r="F13" s="2701"/>
      <c r="G13" s="2701"/>
    </row>
    <row r="14" spans="1:29" s="2635" customFormat="1" ht="13.5" thickBot="1">
      <c r="A14" s="3124"/>
      <c r="B14" s="3124"/>
      <c r="C14" s="3125" t="s">
        <v>2881</v>
      </c>
      <c r="D14" s="3108"/>
      <c r="E14" s="3126"/>
      <c r="F14" s="3126"/>
      <c r="G14" s="3101" t="s">
        <v>2882</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5" customFormat="1" ht="38.25">
      <c r="A15" s="3130" t="s">
        <v>2883</v>
      </c>
      <c r="B15" s="3131" t="s">
        <v>2861</v>
      </c>
      <c r="C15" s="3132" t="str">
        <f>C3</f>
        <v>估价对象周边居住用地比例、居住小区规模和社区发展完善程度，综合评价居住社区成熟度一般</v>
      </c>
      <c r="D15" s="3108"/>
      <c r="E15" s="3133" t="s">
        <v>2884</v>
      </c>
      <c r="F15" s="3131" t="s">
        <v>2885</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5" customFormat="1" ht="25.5">
      <c r="A16" s="3135"/>
      <c r="B16" s="2575" t="s">
        <v>2865</v>
      </c>
      <c r="C16" s="3136" t="str">
        <f>C4</f>
        <v>估价对象位于XX商圈，周边商业氛围成熟，人流量大，商业繁华度好</v>
      </c>
      <c r="D16" s="3108"/>
      <c r="E16" s="3137"/>
      <c r="F16" s="3094" t="s">
        <v>2867</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5" customFormat="1" ht="25.5">
      <c r="A17" s="3135"/>
      <c r="B17" s="2575" t="s">
        <v>2869</v>
      </c>
      <c r="C17" s="3136" t="str">
        <f>C5</f>
        <v>估价对象位于XX商圈，周边办公楼项目较多，入驻率高，办公集聚程度较好</v>
      </c>
      <c r="D17" s="2982"/>
      <c r="E17" s="3137"/>
      <c r="F17" s="3094" t="s">
        <v>2886</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5" customFormat="1" ht="38.25">
      <c r="A18" s="3135"/>
      <c r="B18" s="3094" t="s">
        <v>2873</v>
      </c>
      <c r="C18" s="3138" t="str">
        <f>C6</f>
        <v>估价对象周边道路状况、公共交通通达情况、停车便捷程度，综合评价交通便捷度较好</v>
      </c>
      <c r="D18" s="2982"/>
      <c r="E18" s="3137"/>
      <c r="F18" s="3094" t="s">
        <v>2876</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5" customFormat="1" ht="12.75">
      <c r="A19" s="3135"/>
      <c r="B19" s="3094" t="s">
        <v>2887</v>
      </c>
      <c r="C19" s="3139"/>
      <c r="D19" s="3108"/>
      <c r="E19" s="3137"/>
      <c r="F19" s="3093" t="s">
        <v>2871</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5" customFormat="1" ht="25.5">
      <c r="A20" s="3135"/>
      <c r="B20" s="3094" t="s">
        <v>2888</v>
      </c>
      <c r="C20" s="3136" t="str">
        <f>C9</f>
        <v>区域自然环境：；人文环境；综合评价环境状况一般</v>
      </c>
      <c r="D20" s="2982"/>
      <c r="E20" s="3137"/>
      <c r="F20" s="3093" t="s">
        <v>2874</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5" customFormat="1" ht="25.5">
      <c r="A21" s="3135"/>
      <c r="B21" s="3093" t="s">
        <v>2871</v>
      </c>
      <c r="C21" s="3138" t="str">
        <f>C7</f>
        <v>估价对象所在区域公共配套设施齐备情况</v>
      </c>
      <c r="D21" s="3108"/>
      <c r="E21" s="3137"/>
      <c r="F21" s="3094" t="s">
        <v>2889</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5" customFormat="1" ht="12.75">
      <c r="A22" s="3135"/>
      <c r="B22" s="3093" t="s">
        <v>2874</v>
      </c>
      <c r="C22" s="3138" t="str">
        <f>C8</f>
        <v>估价对象所在区域基础设施水平</v>
      </c>
      <c r="D22" s="3108"/>
      <c r="E22" s="3137"/>
      <c r="F22" s="3094" t="s">
        <v>2880</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2889</v>
      </c>
      <c r="C23" s="3140"/>
      <c r="D23" s="3127"/>
      <c r="E23" s="3142"/>
      <c r="F23" s="3096" t="s">
        <v>2890</v>
      </c>
      <c r="G23" s="3143"/>
      <c r="H23" s="3127"/>
      <c r="I23" s="3128"/>
      <c r="J23" s="3127"/>
      <c r="K23" s="3127"/>
      <c r="L23" s="3128"/>
      <c r="M23" s="3127"/>
      <c r="N23" s="3127"/>
      <c r="O23" s="3128"/>
      <c r="P23" s="3127"/>
      <c r="Q23" s="3127"/>
      <c r="R23" s="3129"/>
    </row>
    <row r="24" spans="1:29" s="3104" customFormat="1" ht="13.5" thickBot="1">
      <c r="A24" s="3144"/>
      <c r="B24" s="3096" t="s">
        <v>2891</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7" sqref="F7"/>
    </sheetView>
  </sheetViews>
  <sheetFormatPr defaultColWidth="14.625" defaultRowHeight="13.5"/>
  <cols>
    <col min="1" max="1" width="24.375" style="2584" customWidth="1"/>
    <col min="2" max="16384" width="14.625" style="2584"/>
  </cols>
  <sheetData>
    <row r="1" spans="1:9" ht="16.5">
      <c r="A1" s="2582" t="s">
        <v>1212</v>
      </c>
      <c r="B1" s="2582">
        <f>SUM(B14:B23)</f>
        <v>191.89</v>
      </c>
      <c r="C1" s="1634"/>
      <c r="D1" s="1634"/>
      <c r="E1" s="1634"/>
      <c r="F1" s="1634"/>
      <c r="G1" s="2583"/>
    </row>
    <row r="2" spans="1:9" ht="16.5">
      <c r="A2" s="2582" t="s">
        <v>1213</v>
      </c>
      <c r="B2" s="2582">
        <f>SUM(C14:C23)</f>
        <v>0</v>
      </c>
      <c r="C2" s="1634"/>
      <c r="D2" s="1634"/>
      <c r="E2" s="1634"/>
      <c r="F2" s="1634"/>
      <c r="G2" s="2583"/>
    </row>
    <row r="3" spans="1:9" ht="16.5">
      <c r="A3" s="2582" t="s">
        <v>1214</v>
      </c>
      <c r="B3" s="2585">
        <f>项目基本情况!D2</f>
        <v>44195</v>
      </c>
      <c r="C3" s="1634"/>
      <c r="D3" s="1634"/>
      <c r="E3" s="1634"/>
      <c r="F3" s="1634"/>
      <c r="G3" s="2583"/>
    </row>
    <row r="4" spans="1:9" ht="33">
      <c r="A4" s="2582" t="s">
        <v>1215</v>
      </c>
      <c r="B4" s="2582" t="s">
        <v>1216</v>
      </c>
      <c r="C4" s="2582" t="s">
        <v>1217</v>
      </c>
      <c r="D4" s="2582" t="s">
        <v>1218</v>
      </c>
      <c r="E4" s="1634"/>
      <c r="F4" s="2583"/>
      <c r="G4" s="2583"/>
    </row>
    <row r="5" spans="1:9" ht="16.5">
      <c r="A5" s="2582" t="s">
        <v>1219</v>
      </c>
      <c r="B5" s="2582">
        <f ca="1">SUM(D14:D23)</f>
        <v>1301</v>
      </c>
      <c r="C5" s="2582">
        <f ca="1">ROUND(B5*10000/$B$1,0)</f>
        <v>67799</v>
      </c>
      <c r="D5" s="2582" t="e">
        <f ca="1">ROUND(B5*10000/$B$2,0)</f>
        <v>#DIV/0!</v>
      </c>
      <c r="E5" s="1634"/>
      <c r="F5" s="2583"/>
      <c r="G5" s="2583"/>
    </row>
    <row r="6" spans="1:9" ht="16.5">
      <c r="A6" s="2582" t="s">
        <v>1220</v>
      </c>
      <c r="B6" s="2582">
        <f ca="1">SUM(G14:G23)</f>
        <v>1301</v>
      </c>
      <c r="C6" s="2582">
        <f t="shared" ref="C6:C8" ca="1" si="0">ROUND(B6*10000/$B$1,0)</f>
        <v>67799</v>
      </c>
      <c r="D6" s="2582" t="e">
        <f t="shared" ref="D6:D8" ca="1" si="1">ROUND(B6*10000/$B$2,0)</f>
        <v>#DIV/0!</v>
      </c>
      <c r="E6" s="1634"/>
      <c r="F6" s="2583"/>
      <c r="G6" s="2583"/>
    </row>
    <row r="7" spans="1:9" ht="16.5">
      <c r="A7" s="2582" t="s">
        <v>1221</v>
      </c>
      <c r="B7" s="2582">
        <f ca="1">SUM(H14:H23)</f>
        <v>1301</v>
      </c>
      <c r="C7" s="2582">
        <f ca="1">ROUND(B7*10000/$B$1,0)</f>
        <v>67799</v>
      </c>
      <c r="D7" s="2582" t="e">
        <f t="shared" ca="1" si="1"/>
        <v>#DIV/0!</v>
      </c>
      <c r="E7" s="1634"/>
      <c r="F7" s="2583"/>
      <c r="G7" s="2583"/>
    </row>
    <row r="8" spans="1:9" ht="16.5">
      <c r="A8" s="2582" t="s">
        <v>1222</v>
      </c>
      <c r="B8" s="2582">
        <f ca="1">SUM(I14:I23)</f>
        <v>1299</v>
      </c>
      <c r="C8" s="2582">
        <f t="shared" ca="1" si="0"/>
        <v>67695</v>
      </c>
      <c r="D8" s="2582" t="e">
        <f t="shared" ca="1" si="1"/>
        <v>#DIV/0!</v>
      </c>
      <c r="E8" s="1634"/>
      <c r="F8" s="2583"/>
      <c r="G8" s="2583"/>
    </row>
    <row r="9" spans="1:9" ht="16.5">
      <c r="A9" s="2582" t="s">
        <v>1223</v>
      </c>
      <c r="B9" s="2586"/>
      <c r="C9" s="1634"/>
      <c r="D9" s="1634"/>
      <c r="E9" s="1634"/>
      <c r="F9" s="2583"/>
      <c r="G9" s="2583"/>
    </row>
    <row r="10" spans="1:9" ht="16.5">
      <c r="A10" s="2582" t="s">
        <v>1224</v>
      </c>
      <c r="B10" s="2586"/>
      <c r="C10" s="1634"/>
      <c r="D10" s="1634"/>
      <c r="E10" s="1634"/>
      <c r="F10" s="2583"/>
      <c r="G10" s="2583"/>
    </row>
    <row r="11" spans="1:9" ht="16.5">
      <c r="A11" s="2582" t="s">
        <v>1240</v>
      </c>
      <c r="B11" s="2586"/>
      <c r="C11" s="1634"/>
      <c r="D11" s="1634"/>
      <c r="E11" s="1634"/>
      <c r="F11" s="2583"/>
      <c r="G11" s="2583"/>
    </row>
    <row r="12" spans="1:9" ht="16.5">
      <c r="A12" s="1634"/>
      <c r="B12" s="1634"/>
      <c r="C12" s="1634"/>
      <c r="D12" s="1634"/>
      <c r="E12" s="1634"/>
      <c r="F12" s="2583"/>
      <c r="G12" s="2583"/>
    </row>
    <row r="13" spans="1:9" ht="33">
      <c r="A13" s="2587" t="s">
        <v>1239</v>
      </c>
      <c r="B13" s="2588" t="s">
        <v>1212</v>
      </c>
      <c r="C13" s="2588" t="s">
        <v>1213</v>
      </c>
      <c r="D13" s="2588" t="s">
        <v>1225</v>
      </c>
      <c r="E13" s="2582" t="s">
        <v>1217</v>
      </c>
      <c r="F13" s="2582" t="s">
        <v>1218</v>
      </c>
      <c r="G13" s="2588" t="s">
        <v>1226</v>
      </c>
      <c r="H13" s="2588" t="s">
        <v>1227</v>
      </c>
      <c r="I13" s="2588" t="s">
        <v>1228</v>
      </c>
    </row>
    <row r="14" spans="1:9" ht="16.5">
      <c r="A14" s="2887" t="s">
        <v>1238</v>
      </c>
      <c r="B14" s="2917">
        <f>项目基本情况!C12</f>
        <v>191.89</v>
      </c>
      <c r="C14" s="2917">
        <f>项目基本情况!C13</f>
        <v>0</v>
      </c>
      <c r="D14" s="2917">
        <f ca="1">结果表!G19</f>
        <v>1301</v>
      </c>
      <c r="E14" s="2917">
        <f ca="1">ROUND(D14*10000/B14,0)</f>
        <v>67799</v>
      </c>
      <c r="F14" s="2917" t="e">
        <f ca="1">ROUND(D14*10000/C14,0)</f>
        <v>#DIV/0!</v>
      </c>
      <c r="G14" s="2917">
        <f ca="1">结果表!G19</f>
        <v>1301</v>
      </c>
      <c r="H14" s="2917">
        <f ca="1">G14</f>
        <v>1301</v>
      </c>
      <c r="I14" s="2917">
        <f ca="1">结果表!O59</f>
        <v>1299</v>
      </c>
    </row>
    <row r="15" spans="1:9" ht="16.5">
      <c r="A15" s="2589" t="s">
        <v>1229</v>
      </c>
      <c r="B15" s="2590"/>
      <c r="C15" s="2590"/>
      <c r="D15" s="2590"/>
      <c r="E15" s="2917" t="e">
        <f t="shared" ref="E15:E23" si="2">ROUND(D15*10000/B15,0)</f>
        <v>#DIV/0!</v>
      </c>
      <c r="F15" s="2917" t="e">
        <f t="shared" ref="F15:F23" si="3">ROUND(D15*10000/C15,0)</f>
        <v>#DIV/0!</v>
      </c>
      <c r="G15" s="1305"/>
      <c r="H15" s="1305"/>
      <c r="I15" s="2590"/>
    </row>
    <row r="16" spans="1:9" ht="16.5">
      <c r="A16" s="2589" t="s">
        <v>1230</v>
      </c>
      <c r="B16" s="2590"/>
      <c r="C16" s="2590"/>
      <c r="D16" s="2590"/>
      <c r="E16" s="2917" t="e">
        <f t="shared" si="2"/>
        <v>#DIV/0!</v>
      </c>
      <c r="F16" s="2917" t="e">
        <f t="shared" si="3"/>
        <v>#DIV/0!</v>
      </c>
      <c r="G16" s="1305"/>
      <c r="H16" s="1305"/>
      <c r="I16" s="2590"/>
    </row>
    <row r="17" spans="1:9" ht="16.5">
      <c r="A17" s="2589" t="s">
        <v>1231</v>
      </c>
      <c r="B17" s="2590"/>
      <c r="C17" s="2590"/>
      <c r="D17" s="2590"/>
      <c r="E17" s="2917" t="e">
        <f t="shared" si="2"/>
        <v>#DIV/0!</v>
      </c>
      <c r="F17" s="2917" t="e">
        <f t="shared" si="3"/>
        <v>#DIV/0!</v>
      </c>
      <c r="G17" s="1305"/>
      <c r="H17" s="1305"/>
      <c r="I17" s="2590"/>
    </row>
    <row r="18" spans="1:9" ht="16.5">
      <c r="A18" s="2589" t="s">
        <v>1232</v>
      </c>
      <c r="B18" s="2590"/>
      <c r="C18" s="2590"/>
      <c r="D18" s="2590"/>
      <c r="E18" s="2917" t="e">
        <f t="shared" si="2"/>
        <v>#DIV/0!</v>
      </c>
      <c r="F18" s="2917" t="e">
        <f t="shared" si="3"/>
        <v>#DIV/0!</v>
      </c>
      <c r="G18" s="2590"/>
      <c r="H18" s="2590"/>
      <c r="I18" s="2590"/>
    </row>
    <row r="19" spans="1:9" ht="16.5">
      <c r="A19" s="2589" t="s">
        <v>1233</v>
      </c>
      <c r="B19" s="2590"/>
      <c r="C19" s="2590"/>
      <c r="D19" s="2590"/>
      <c r="E19" s="2917" t="e">
        <f t="shared" si="2"/>
        <v>#DIV/0!</v>
      </c>
      <c r="F19" s="2917" t="e">
        <f t="shared" si="3"/>
        <v>#DIV/0!</v>
      </c>
      <c r="G19" s="2590"/>
      <c r="H19" s="2590"/>
      <c r="I19" s="2590"/>
    </row>
    <row r="20" spans="1:9" ht="16.5">
      <c r="A20" s="2589" t="s">
        <v>1234</v>
      </c>
      <c r="B20" s="2590"/>
      <c r="C20" s="2590"/>
      <c r="D20" s="2590"/>
      <c r="E20" s="2917" t="e">
        <f t="shared" si="2"/>
        <v>#DIV/0!</v>
      </c>
      <c r="F20" s="2917" t="e">
        <f t="shared" si="3"/>
        <v>#DIV/0!</v>
      </c>
      <c r="G20" s="2590"/>
      <c r="H20" s="2590"/>
      <c r="I20" s="2590"/>
    </row>
    <row r="21" spans="1:9" ht="16.5">
      <c r="A21" s="2589" t="s">
        <v>1235</v>
      </c>
      <c r="B21" s="2590"/>
      <c r="C21" s="2590"/>
      <c r="D21" s="2590"/>
      <c r="E21" s="2917" t="e">
        <f t="shared" si="2"/>
        <v>#DIV/0!</v>
      </c>
      <c r="F21" s="2917" t="e">
        <f t="shared" si="3"/>
        <v>#DIV/0!</v>
      </c>
      <c r="G21" s="2590"/>
      <c r="H21" s="2590"/>
      <c r="I21" s="2590"/>
    </row>
    <row r="22" spans="1:9" ht="16.5">
      <c r="A22" s="2589" t="s">
        <v>1236</v>
      </c>
      <c r="B22" s="2590"/>
      <c r="C22" s="2590"/>
      <c r="D22" s="2590"/>
      <c r="E22" s="2917" t="e">
        <f t="shared" si="2"/>
        <v>#DIV/0!</v>
      </c>
      <c r="F22" s="2917" t="e">
        <f t="shared" si="3"/>
        <v>#DIV/0!</v>
      </c>
      <c r="G22" s="2590"/>
      <c r="H22" s="2590"/>
      <c r="I22" s="2590"/>
    </row>
    <row r="23" spans="1:9" ht="16.5">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70" zoomScale="115" zoomScaleNormal="100" zoomScaleSheetLayoutView="115" zoomScalePageLayoutView="80" workbookViewId="0">
      <selection activeCell="C73" sqref="C73"/>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1718</v>
      </c>
      <c r="B1" s="1461"/>
      <c r="C1" s="1461"/>
      <c r="D1" s="1461"/>
      <c r="E1" s="1461"/>
      <c r="F1" s="1461"/>
      <c r="G1" s="1461"/>
      <c r="H1" s="1461"/>
      <c r="I1" s="1461"/>
    </row>
    <row r="2" spans="1:15" ht="21.75" customHeight="1">
      <c r="A2" s="3306" t="str">
        <f>项目基本情况!B1</f>
        <v>北京市房地产抵押价值预评估</v>
      </c>
      <c r="B2" s="3306"/>
      <c r="C2" s="3306"/>
      <c r="D2" s="3306"/>
      <c r="E2" s="3306"/>
      <c r="F2" s="3306"/>
      <c r="G2" s="3306"/>
      <c r="H2" s="3306"/>
      <c r="I2" s="3306"/>
      <c r="J2" s="2844"/>
    </row>
    <row r="3" spans="1:15" ht="12.75">
      <c r="A3" s="3309" t="s">
        <v>1719</v>
      </c>
      <c r="B3" s="3310"/>
      <c r="C3" s="3310"/>
      <c r="D3" s="3310"/>
      <c r="E3" s="3310"/>
      <c r="F3" s="3310"/>
      <c r="G3" s="3310"/>
      <c r="H3" s="3310"/>
      <c r="I3" s="3310"/>
      <c r="J3" s="2845"/>
    </row>
    <row r="4" spans="1:15" ht="14.25">
      <c r="A4" s="2713" t="s">
        <v>1720</v>
      </c>
      <c r="B4" s="2713" t="s">
        <v>1721</v>
      </c>
      <c r="C4" s="2714" t="s">
        <v>2909</v>
      </c>
      <c r="D4" s="2714" t="s">
        <v>2967</v>
      </c>
      <c r="E4" s="3255" t="s">
        <v>1722</v>
      </c>
      <c r="F4" s="3293"/>
      <c r="G4" s="3293"/>
      <c r="H4" s="3293"/>
      <c r="I4" s="3294"/>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286" t="s">
        <v>1723</v>
      </c>
      <c r="B5" s="3286">
        <v>25</v>
      </c>
      <c r="C5" s="3295"/>
      <c r="D5" s="3308"/>
      <c r="E5" s="12" t="s">
        <v>1724</v>
      </c>
      <c r="F5" s="2089"/>
      <c r="G5" s="2089"/>
      <c r="H5" s="2089"/>
      <c r="I5" s="2084"/>
      <c r="J5" s="2846"/>
    </row>
    <row r="6" spans="1:15" ht="12.75">
      <c r="A6" s="3286"/>
      <c r="B6" s="3286"/>
      <c r="C6" s="3311"/>
      <c r="D6" s="3308"/>
      <c r="E6" s="12" t="s">
        <v>1725</v>
      </c>
      <c r="F6" s="2089"/>
      <c r="G6" s="2089"/>
      <c r="H6" s="2089"/>
      <c r="I6" s="2084"/>
      <c r="J6" s="2846"/>
    </row>
    <row r="7" spans="1:15" ht="12.75">
      <c r="A7" s="3286"/>
      <c r="B7" s="3286"/>
      <c r="C7" s="3296"/>
      <c r="D7" s="3308"/>
      <c r="E7" s="12" t="s">
        <v>1726</v>
      </c>
      <c r="F7" s="2089"/>
      <c r="G7" s="2089"/>
      <c r="H7" s="2089"/>
      <c r="I7" s="2084"/>
      <c r="J7" s="2846"/>
    </row>
    <row r="8" spans="1:15" ht="12.75">
      <c r="A8" s="3286" t="s">
        <v>1727</v>
      </c>
      <c r="B8" s="3286">
        <v>15</v>
      </c>
      <c r="C8" s="3295"/>
      <c r="D8" s="3308"/>
      <c r="E8" s="12" t="s">
        <v>1728</v>
      </c>
      <c r="F8" s="2089"/>
      <c r="G8" s="2089"/>
      <c r="H8" s="2089"/>
      <c r="I8" s="2084"/>
      <c r="J8" s="2846"/>
    </row>
    <row r="9" spans="1:15" ht="12.75">
      <c r="A9" s="3286"/>
      <c r="B9" s="3286"/>
      <c r="C9" s="3296"/>
      <c r="D9" s="3308"/>
      <c r="E9" s="12" t="s">
        <v>1729</v>
      </c>
      <c r="F9" s="2089"/>
      <c r="G9" s="2089"/>
      <c r="H9" s="2089"/>
      <c r="I9" s="2084"/>
      <c r="J9" s="2846"/>
    </row>
    <row r="10" spans="1:15" ht="12.75">
      <c r="A10" s="3286" t="s">
        <v>1730</v>
      </c>
      <c r="B10" s="3286">
        <v>15</v>
      </c>
      <c r="C10" s="3295"/>
      <c r="D10" s="3308"/>
      <c r="E10" s="12" t="s">
        <v>1731</v>
      </c>
      <c r="F10" s="2089"/>
      <c r="G10" s="2089"/>
      <c r="H10" s="2089"/>
      <c r="I10" s="2084"/>
      <c r="J10" s="2846"/>
    </row>
    <row r="11" spans="1:15" ht="12.75">
      <c r="A11" s="3286"/>
      <c r="B11" s="3286"/>
      <c r="C11" s="3296"/>
      <c r="D11" s="3308"/>
      <c r="E11" s="12" t="s">
        <v>1732</v>
      </c>
      <c r="F11" s="2089"/>
      <c r="G11" s="2089"/>
      <c r="H11" s="2089"/>
      <c r="I11" s="2084"/>
      <c r="J11" s="2846"/>
    </row>
    <row r="12" spans="1:15" ht="12.75">
      <c r="A12" s="3286" t="s">
        <v>1733</v>
      </c>
      <c r="B12" s="3286">
        <v>15</v>
      </c>
      <c r="C12" s="3295"/>
      <c r="D12" s="3308"/>
      <c r="E12" s="12" t="s">
        <v>1734</v>
      </c>
      <c r="F12" s="2089"/>
      <c r="G12" s="2089"/>
      <c r="H12" s="2089"/>
      <c r="I12" s="2084"/>
      <c r="J12" s="2846"/>
    </row>
    <row r="13" spans="1:15" ht="12.75">
      <c r="A13" s="3286"/>
      <c r="B13" s="3286"/>
      <c r="C13" s="3296"/>
      <c r="D13" s="3308"/>
      <c r="E13" s="12" t="s">
        <v>1735</v>
      </c>
      <c r="F13" s="2089"/>
      <c r="G13" s="2089"/>
      <c r="H13" s="2089"/>
      <c r="I13" s="2084"/>
      <c r="J13" s="2846"/>
    </row>
    <row r="14" spans="1:15" ht="12.75">
      <c r="A14" s="3286" t="s">
        <v>1736</v>
      </c>
      <c r="B14" s="3286">
        <v>30</v>
      </c>
      <c r="C14" s="3312">
        <v>3</v>
      </c>
      <c r="D14" s="3317">
        <v>7</v>
      </c>
      <c r="E14" s="12" t="s">
        <v>1737</v>
      </c>
      <c r="F14" s="2089"/>
      <c r="G14" s="2089"/>
      <c r="H14" s="2089"/>
      <c r="I14" s="2084"/>
      <c r="J14" s="2846"/>
    </row>
    <row r="15" spans="1:15" ht="12.75">
      <c r="A15" s="3286"/>
      <c r="B15" s="3286"/>
      <c r="C15" s="3313"/>
      <c r="D15" s="3317"/>
      <c r="E15" s="12" t="s">
        <v>1738</v>
      </c>
      <c r="F15" s="2089"/>
      <c r="G15" s="2089"/>
      <c r="H15" s="2089"/>
      <c r="I15" s="2084"/>
      <c r="J15" s="2846"/>
    </row>
    <row r="16" spans="1:15" ht="12.75">
      <c r="A16" s="3286"/>
      <c r="B16" s="3286"/>
      <c r="C16" s="3314"/>
      <c r="D16" s="3317"/>
      <c r="E16" s="12" t="s">
        <v>1739</v>
      </c>
      <c r="F16" s="2089"/>
      <c r="G16" s="2089"/>
      <c r="H16" s="2089"/>
      <c r="I16" s="2084"/>
      <c r="J16" s="2846"/>
    </row>
    <row r="17" spans="1:36" ht="15">
      <c r="A17" s="2715" t="s">
        <v>1740</v>
      </c>
      <c r="B17" s="2094"/>
      <c r="C17" s="2716">
        <f>SUM(C5:C16)</f>
        <v>3</v>
      </c>
      <c r="D17" s="2716">
        <f>SUM(D5:D16)</f>
        <v>7</v>
      </c>
      <c r="E17" s="2564"/>
      <c r="F17" s="2564"/>
      <c r="G17" s="2564"/>
      <c r="H17" s="2564"/>
      <c r="I17" s="2564"/>
      <c r="J17" s="2847"/>
    </row>
    <row r="18" spans="1:36" ht="30" customHeight="1" thickBot="1">
      <c r="A18" s="2717" t="s">
        <v>1741</v>
      </c>
      <c r="B18" s="2718"/>
      <c r="C18" s="2719">
        <f>ROUND(C17/SUM(C17:D17),2)</f>
        <v>0.3</v>
      </c>
      <c r="D18" s="2719">
        <f>1-C18</f>
        <v>0.7</v>
      </c>
      <c r="E18" s="3304" t="s">
        <v>2826</v>
      </c>
      <c r="F18" s="3305"/>
      <c r="G18" s="3305"/>
      <c r="H18" s="3305"/>
      <c r="I18" s="3305"/>
      <c r="J18" s="2847"/>
    </row>
    <row r="19" spans="1:36" ht="15">
      <c r="A19" s="2720" t="s">
        <v>1742</v>
      </c>
      <c r="B19" s="2721" t="s">
        <v>1743</v>
      </c>
      <c r="C19" s="2722">
        <f ca="1">SUMIF(INDIRECT("'"&amp;C4&amp;"'"&amp;"!A:A"),结果表!B19,INDIRECT("'"&amp;C4&amp;"'"&amp;"!B:B"))</f>
        <v>1960</v>
      </c>
      <c r="D19" s="2723">
        <f ca="1">SUMIF(INDIRECT("'"&amp;D4&amp;"'"&amp;"!A:A"),结果表!B19,INDIRECT("'"&amp;D4&amp;"'"&amp;"!B:B"))</f>
        <v>1019</v>
      </c>
      <c r="E19" s="2720" t="s">
        <v>1744</v>
      </c>
      <c r="F19" s="2721" t="s">
        <v>1743</v>
      </c>
      <c r="G19" s="2724">
        <f ca="1">ROUND(C19*$C$18+D19*$D$18,0)</f>
        <v>1301</v>
      </c>
      <c r="H19" s="2725" t="str">
        <f>'数据-取费表'!B3</f>
        <v>万元</v>
      </c>
      <c r="I19" s="2773"/>
      <c r="J19" s="2848"/>
    </row>
    <row r="20" spans="1:36" ht="15">
      <c r="A20" s="2726"/>
      <c r="B20" s="1694" t="s">
        <v>1745</v>
      </c>
      <c r="C20" s="1919">
        <f ca="1">SUMIF(INDIRECT("'"&amp;C4&amp;"'"&amp;"!A:A"),结果表!B20,INDIRECT("'"&amp;C4&amp;"'"&amp;"!B:B"))</f>
        <v>102129</v>
      </c>
      <c r="D20" s="1922">
        <f ca="1">SUMIF(INDIRECT("'"&amp;D4&amp;"'"&amp;"!A:A"),结果表!B20,INDIRECT("'"&amp;D4&amp;"'"&amp;"!B:B"))</f>
        <v>53117</v>
      </c>
      <c r="E20" s="2726"/>
      <c r="F20" s="1694" t="s">
        <v>1745</v>
      </c>
      <c r="G20" s="2093">
        <f ca="1">ROUND(C20*$C$18+D20*$D$18,0)</f>
        <v>67821</v>
      </c>
      <c r="H20" s="2727" t="s">
        <v>1746</v>
      </c>
      <c r="I20" s="2564"/>
      <c r="J20" s="2847"/>
    </row>
    <row r="21" spans="1:36" ht="15" customHeight="1" thickBot="1">
      <c r="A21" s="2728"/>
      <c r="B21" s="2729"/>
      <c r="C21" s="2729"/>
      <c r="D21" s="2730"/>
      <c r="E21" s="2728"/>
      <c r="F21" s="2729"/>
      <c r="G21" s="2731"/>
      <c r="H21" s="2732"/>
      <c r="I21" s="2564"/>
      <c r="J21" s="2847"/>
    </row>
    <row r="22" spans="1:36" ht="15" thickBot="1">
      <c r="A22" s="2733" t="s">
        <v>1747</v>
      </c>
      <c r="B22" s="2734"/>
      <c r="C22" s="2648"/>
      <c r="D22" s="2735">
        <f ca="1">IF(C19&lt;D19,D19/C19-1,C19/D19-1)</f>
        <v>0.92345436702649653</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297" t="s">
        <v>1748</v>
      </c>
      <c r="B24" s="2721" t="s">
        <v>1743</v>
      </c>
      <c r="C24" s="2724">
        <f>D30</f>
        <v>0</v>
      </c>
      <c r="D24" s="2676"/>
      <c r="E24" s="947"/>
      <c r="F24" s="947"/>
      <c r="G24" s="947"/>
      <c r="H24" s="947"/>
      <c r="I24" s="947"/>
      <c r="J24" s="2847"/>
    </row>
    <row r="25" spans="1:36" ht="21.75" customHeight="1">
      <c r="A25" s="3318"/>
      <c r="B25" s="1694" t="s">
        <v>1745</v>
      </c>
      <c r="C25" s="2736">
        <f>IF(B30=0,0,C30)</f>
        <v>0</v>
      </c>
      <c r="D25" s="2737"/>
      <c r="E25" s="947"/>
      <c r="F25" s="947"/>
      <c r="G25" s="947"/>
      <c r="H25" s="947"/>
      <c r="I25" s="947"/>
      <c r="J25" s="2847"/>
    </row>
    <row r="26" spans="1:36" ht="13.5" customHeight="1">
      <c r="A26" s="2738" t="s">
        <v>1749</v>
      </c>
      <c r="B26" s="2739" t="s">
        <v>1750</v>
      </c>
      <c r="C26" s="2739" t="s">
        <v>1751</v>
      </c>
      <c r="D26" s="2740" t="s">
        <v>1752</v>
      </c>
      <c r="E26" s="947"/>
      <c r="F26" s="947"/>
      <c r="G26" s="947"/>
      <c r="H26" s="947"/>
      <c r="I26" s="947"/>
      <c r="J26" s="2847"/>
    </row>
    <row r="27" spans="1:36" ht="14.25">
      <c r="A27" s="2741" t="s">
        <v>2968</v>
      </c>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1753</v>
      </c>
      <c r="B30" s="2775"/>
      <c r="C30" s="2775"/>
      <c r="D30" s="2775"/>
      <c r="E30" s="2742" t="s">
        <v>2830</v>
      </c>
      <c r="F30" s="2564"/>
      <c r="G30" s="2564"/>
      <c r="H30" s="2564"/>
      <c r="I30" s="2564"/>
      <c r="J30" s="2847"/>
    </row>
    <row r="31" spans="1:36" s="2840" customFormat="1" ht="26.45" customHeight="1" thickTop="1" thickBot="1">
      <c r="A31" s="2835"/>
      <c r="B31" s="2836"/>
      <c r="C31" s="2836"/>
      <c r="D31" s="2836"/>
      <c r="E31" s="2836"/>
      <c r="F31" s="2836"/>
      <c r="G31" s="2836"/>
      <c r="H31" s="2836"/>
      <c r="I31" s="2837" t="s">
        <v>2831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1754</v>
      </c>
      <c r="B32" s="2829" t="str">
        <f>'数据-取费表'!B4</f>
        <v>总价</v>
      </c>
      <c r="C32" s="2830">
        <f ca="1">IF(B32="总价",G19-C24,G20-C25)</f>
        <v>1301</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1755</v>
      </c>
      <c r="B33" s="255"/>
      <c r="C33" s="2744"/>
      <c r="D33" s="2745"/>
      <c r="E33" s="2746" t="s">
        <v>1756</v>
      </c>
      <c r="F33" s="2747" t="str">
        <f>IF(B32="楼面单价","取值（单价）","取值（总价）")</f>
        <v>取值（总价）</v>
      </c>
      <c r="G33" s="947"/>
      <c r="H33" s="947"/>
      <c r="I33" s="947"/>
      <c r="J33" s="2847"/>
    </row>
    <row r="34" spans="1:17" ht="15">
      <c r="A34" s="1466"/>
      <c r="B34" s="2748" t="s">
        <v>1757</v>
      </c>
      <c r="C34" s="2749">
        <f ca="1">IF(D33="自定义",F34,C32-C35)</f>
        <v>1412</v>
      </c>
      <c r="D34" s="2750">
        <f ca="1">IF(D33="自定义",ROUND(C34/C32,3),1-D35)</f>
        <v>1.085</v>
      </c>
      <c r="E34" s="1435" t="s">
        <v>1758</v>
      </c>
      <c r="F34" s="2751">
        <v>2000</v>
      </c>
      <c r="G34" s="947"/>
      <c r="H34" s="947"/>
      <c r="I34" s="947"/>
      <c r="J34" s="2847"/>
    </row>
    <row r="35" spans="1:17" ht="15.75" thickBot="1">
      <c r="A35" s="1467"/>
      <c r="B35" s="2752" t="s">
        <v>1759</v>
      </c>
      <c r="C35" s="2753">
        <f ca="1">IF(D33="自定义",F35,ROUND(C32*D35,0))</f>
        <v>-111</v>
      </c>
      <c r="D35" s="2754">
        <f ca="1">IF(D33="自定义",ROUND(C35/C32,3),IF(D33="成本法成本比率",成本法!C56,IF(D33="收益法收益比率",收益法!J38,收益法!J41)))</f>
        <v>-8.5000000000000006E-2</v>
      </c>
      <c r="E35" s="2755" t="s">
        <v>1760</v>
      </c>
      <c r="F35" s="2756">
        <v>4460</v>
      </c>
      <c r="G35" s="947"/>
      <c r="H35" s="947"/>
      <c r="I35" s="947"/>
      <c r="J35" s="2847"/>
    </row>
    <row r="36" spans="1:17" ht="15.75" thickBot="1">
      <c r="A36" s="3297" t="s">
        <v>1761</v>
      </c>
      <c r="B36" s="1468" t="s">
        <v>1762</v>
      </c>
      <c r="C36" s="2757">
        <v>0</v>
      </c>
      <c r="D36" s="2758" t="s">
        <v>2969</v>
      </c>
      <c r="E36" s="1680"/>
      <c r="F36" s="1680"/>
      <c r="G36" s="947"/>
      <c r="H36" s="947"/>
      <c r="I36" s="947"/>
      <c r="J36" s="2847"/>
    </row>
    <row r="37" spans="1:17" ht="15.75" thickBot="1">
      <c r="A37" s="3298"/>
      <c r="B37" s="2094" t="s">
        <v>1763</v>
      </c>
      <c r="C37" s="2759">
        <v>0</v>
      </c>
      <c r="D37" s="1311"/>
      <c r="E37" s="1311"/>
      <c r="F37" s="1680"/>
      <c r="G37" s="1311"/>
      <c r="H37" s="1311"/>
      <c r="I37" s="1311"/>
      <c r="J37" s="2851"/>
    </row>
    <row r="38" spans="1:17" ht="15.75" thickBot="1">
      <c r="A38" s="3299"/>
      <c r="B38" s="1469" t="s">
        <v>1764</v>
      </c>
      <c r="C38" s="2760">
        <v>0</v>
      </c>
      <c r="D38" s="2761" t="s">
        <v>1765</v>
      </c>
      <c r="E38" s="1311"/>
      <c r="F38" s="1680"/>
      <c r="G38" s="1311"/>
      <c r="H38" s="1311"/>
      <c r="I38" s="1311"/>
      <c r="J38" s="2851"/>
    </row>
    <row r="39" spans="1:17" ht="15">
      <c r="A39" s="2726" t="s">
        <v>1766</v>
      </c>
      <c r="B39" s="2762" t="s">
        <v>1750</v>
      </c>
      <c r="C39" s="2763" t="s">
        <v>1751</v>
      </c>
      <c r="D39" s="2763" t="s">
        <v>1767</v>
      </c>
      <c r="E39" s="2764" t="s">
        <v>1752</v>
      </c>
      <c r="F39" s="1680"/>
      <c r="G39" s="1311"/>
      <c r="H39" s="1311"/>
      <c r="I39" s="1311"/>
      <c r="J39" s="2851"/>
    </row>
    <row r="40" spans="1:17" ht="14.25">
      <c r="A40" s="2765" t="s">
        <v>1768</v>
      </c>
      <c r="B40" s="2766"/>
      <c r="C40" s="2767"/>
      <c r="D40" s="2767"/>
      <c r="E40" s="2768"/>
      <c r="F40" s="1680"/>
      <c r="G40" s="1311"/>
      <c r="H40" s="1311"/>
      <c r="I40" s="1311"/>
      <c r="J40" s="2851"/>
    </row>
    <row r="41" spans="1:17" ht="14.25">
      <c r="A41" s="2765" t="s">
        <v>1769</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1770</v>
      </c>
      <c r="B44" s="1472"/>
      <c r="C44" s="1472"/>
      <c r="D44" s="1473"/>
      <c r="E44" s="1473"/>
      <c r="F44" s="1474"/>
      <c r="G44" s="1474"/>
      <c r="H44" s="1474"/>
      <c r="I44" s="2841" t="s">
        <v>2825</v>
      </c>
      <c r="J44" s="2853"/>
      <c r="K44" s="1475" t="s">
        <v>1771</v>
      </c>
      <c r="L44" s="1476"/>
      <c r="M44" s="1476"/>
      <c r="N44" s="1476"/>
      <c r="O44" s="1476"/>
      <c r="P44" s="1476"/>
      <c r="Q44" s="1308"/>
    </row>
    <row r="45" spans="1:17" ht="14.25" customHeight="1" thickBot="1">
      <c r="A45" s="3301" t="s">
        <v>1772</v>
      </c>
      <c r="B45" s="3302"/>
      <c r="C45" s="3261"/>
      <c r="D45" s="246">
        <f ca="1">ROUND(I102*F45,0)</f>
        <v>1301</v>
      </c>
      <c r="E45" s="1542" t="s">
        <v>1773</v>
      </c>
      <c r="F45" s="2562">
        <v>1</v>
      </c>
      <c r="G45" s="2563" t="s">
        <v>1774</v>
      </c>
      <c r="H45" s="947"/>
      <c r="I45" s="947"/>
      <c r="J45" s="2847"/>
      <c r="K45" s="3359" t="s">
        <v>2755</v>
      </c>
      <c r="L45" s="3359"/>
      <c r="M45" s="3359"/>
      <c r="N45" s="3359"/>
      <c r="O45" s="3359"/>
      <c r="P45" s="3359"/>
      <c r="Q45" s="1308"/>
    </row>
    <row r="46" spans="1:17" ht="14.25" customHeight="1">
      <c r="A46" s="3290" t="s">
        <v>1776</v>
      </c>
      <c r="B46" s="3291"/>
      <c r="C46" s="3291"/>
      <c r="D46" s="3291"/>
      <c r="E46" s="3291"/>
      <c r="F46" s="3291"/>
      <c r="G46" s="3292"/>
      <c r="H46" s="2979"/>
      <c r="I46" s="947"/>
      <c r="J46" s="2847"/>
      <c r="K46" s="2537">
        <v>1</v>
      </c>
      <c r="L46" s="3360" t="s">
        <v>2756</v>
      </c>
      <c r="M46" s="3360"/>
      <c r="N46" s="3361" t="str">
        <f>项目基本情况!B1</f>
        <v>北京市房地产抵押价值预评估</v>
      </c>
      <c r="O46" s="3361"/>
      <c r="P46" s="3361"/>
      <c r="Q46" s="1308"/>
    </row>
    <row r="47" spans="1:17" ht="12" customHeight="1">
      <c r="A47" s="38" t="s">
        <v>1778</v>
      </c>
      <c r="B47" s="39"/>
      <c r="C47" s="40"/>
      <c r="D47" s="1099" t="s">
        <v>1779</v>
      </c>
      <c r="E47" s="235" t="s">
        <v>1780</v>
      </c>
      <c r="F47" s="41" t="s">
        <v>1781</v>
      </c>
      <c r="G47" s="2565" t="s">
        <v>1782</v>
      </c>
      <c r="H47" s="2979"/>
      <c r="I47" s="947"/>
      <c r="J47" s="2847"/>
      <c r="K47" s="2537">
        <v>2</v>
      </c>
      <c r="L47" s="3360" t="s">
        <v>2757</v>
      </c>
      <c r="M47" s="3360"/>
      <c r="N47" s="3362">
        <f>'数据-取费表'!B2</f>
        <v>44195</v>
      </c>
      <c r="O47" s="3362"/>
      <c r="P47" s="3362"/>
      <c r="Q47" s="1308"/>
    </row>
    <row r="48" spans="1:17" ht="25.5">
      <c r="A48" s="3300" t="s">
        <v>1784</v>
      </c>
      <c r="B48" s="3254"/>
      <c r="C48" s="3254"/>
      <c r="D48" s="12">
        <f ca="1">IF(H48="情况1",0,IF(H48="情况2",D52,IF(H48="情况3",D53,IF(H48="情况4",D54))))</f>
        <v>1</v>
      </c>
      <c r="E48" s="2092" t="str">
        <f>IF(H48="情况4","(销售额-原购置价)×税（费）率","销售额×税（费）率")</f>
        <v>(销售额-原购置价)×税（费）率</v>
      </c>
      <c r="F48" s="2566">
        <f>IF(H48="情况1","免征",'数据-取费表'!E29)</f>
        <v>5.6000000000000001E-2</v>
      </c>
      <c r="G48" s="2567" t="s">
        <v>1785</v>
      </c>
      <c r="H48" s="2568" t="s">
        <v>2970</v>
      </c>
      <c r="I48" s="2979"/>
      <c r="J48" s="2854"/>
      <c r="K48" s="2537">
        <v>3</v>
      </c>
      <c r="L48" s="3360" t="s">
        <v>2758</v>
      </c>
      <c r="M48" s="3360"/>
      <c r="N48" s="3361">
        <f ca="1">I102</f>
        <v>1301</v>
      </c>
      <c r="O48" s="3361"/>
      <c r="P48" s="3361"/>
      <c r="Q48" s="1308"/>
    </row>
    <row r="49" spans="1:17" ht="25.5" customHeight="1">
      <c r="A49" s="2091" t="s">
        <v>1788</v>
      </c>
      <c r="B49" s="3293" t="s">
        <v>1789</v>
      </c>
      <c r="C49" s="3293"/>
      <c r="D49" s="2569">
        <v>0</v>
      </c>
      <c r="E49" s="261" t="s">
        <v>1790</v>
      </c>
      <c r="F49" s="2570" t="s">
        <v>48</v>
      </c>
      <c r="G49" s="3354"/>
      <c r="H49" s="2571" t="s">
        <v>2832</v>
      </c>
      <c r="I49" s="2572"/>
      <c r="J49" s="2855"/>
      <c r="K49" s="2537">
        <v>4</v>
      </c>
      <c r="L49" s="3360" t="str">
        <f>IF(项目基本情况!F5="房地产抵押价值","房地产抵押价值","抵押担保权已注销时的房地产抵押价值")</f>
        <v>房地产抵押价值</v>
      </c>
      <c r="M49" s="3360"/>
      <c r="N49" s="3361">
        <f ca="1">IF(项目基本情况!F5="房地产抵押价值",I110,I112)</f>
        <v>1301</v>
      </c>
      <c r="O49" s="3361"/>
      <c r="P49" s="3361"/>
      <c r="Q49" s="1308"/>
    </row>
    <row r="50" spans="1:17" ht="25.5" customHeight="1">
      <c r="A50" s="2081"/>
      <c r="B50" s="3293" t="s">
        <v>1791</v>
      </c>
      <c r="C50" s="3293"/>
      <c r="D50" s="2573"/>
      <c r="E50" s="269"/>
      <c r="F50" s="2570"/>
      <c r="G50" s="3355"/>
      <c r="H50" s="2574" t="s">
        <v>2751</v>
      </c>
      <c r="I50" s="2572"/>
      <c r="J50" s="2855"/>
      <c r="K50" s="3360" t="s">
        <v>2759</v>
      </c>
      <c r="L50" s="3360"/>
      <c r="M50" s="3360"/>
      <c r="N50" s="3360"/>
      <c r="O50" s="3360"/>
      <c r="P50" s="3360"/>
      <c r="Q50" s="1308"/>
    </row>
    <row r="51" spans="1:17" ht="20.45" customHeight="1">
      <c r="A51" s="2575"/>
      <c r="B51" s="3293" t="s">
        <v>1793</v>
      </c>
      <c r="C51" s="3293"/>
      <c r="D51" s="1099"/>
      <c r="E51" s="264"/>
      <c r="F51" s="2570"/>
      <c r="G51" s="3356"/>
      <c r="H51" s="2574" t="s">
        <v>2752</v>
      </c>
      <c r="I51" s="2572"/>
      <c r="J51" s="2855"/>
      <c r="K51" s="2538" t="s">
        <v>2760</v>
      </c>
      <c r="L51" s="3360" t="s">
        <v>2761</v>
      </c>
      <c r="M51" s="3360"/>
      <c r="N51" s="2538" t="s">
        <v>2762</v>
      </c>
      <c r="O51" s="2538" t="s">
        <v>2763</v>
      </c>
      <c r="P51" s="2538" t="s">
        <v>2764</v>
      </c>
      <c r="Q51" s="1308"/>
    </row>
    <row r="52" spans="1:17" ht="24" customHeight="1">
      <c r="A52" s="2082" t="s">
        <v>1799</v>
      </c>
      <c r="B52" s="3293" t="s">
        <v>1800</v>
      </c>
      <c r="C52" s="3293"/>
      <c r="D52" s="1099">
        <f ca="1">ROUND(D45*'数据-取费表'!E29/(1+'数据-取费表'!F30),0)</f>
        <v>69</v>
      </c>
      <c r="E52" s="2092" t="s">
        <v>1801</v>
      </c>
      <c r="F52" s="2576">
        <f>'数据-取费表'!E29</f>
        <v>5.6000000000000001E-2</v>
      </c>
      <c r="G52" s="2577"/>
      <c r="H52" s="947"/>
      <c r="I52" s="2980"/>
      <c r="J52" s="2855"/>
      <c r="K52" s="2537">
        <v>1</v>
      </c>
      <c r="L52" s="3327" t="s">
        <v>2765</v>
      </c>
      <c r="M52" s="3327"/>
      <c r="N52" s="2539">
        <f ca="1">D48</f>
        <v>1</v>
      </c>
      <c r="O52" s="2537" t="str">
        <f>E48</f>
        <v>(销售额-原购置价)×税（费）率</v>
      </c>
      <c r="P52" s="2540">
        <f>F48</f>
        <v>5.6000000000000001E-2</v>
      </c>
      <c r="Q52" s="1308"/>
    </row>
    <row r="53" spans="1:17" ht="12" customHeight="1">
      <c r="A53" s="2082" t="s">
        <v>1803</v>
      </c>
      <c r="B53" s="3255" t="s">
        <v>2844</v>
      </c>
      <c r="C53" s="3294"/>
      <c r="D53" s="1099">
        <f ca="1">ROUND(D45*'数据-取费表'!E29/(1+'数据-取费表'!F30),0)</f>
        <v>69</v>
      </c>
      <c r="E53" s="2092" t="s">
        <v>1801</v>
      </c>
      <c r="F53" s="2576">
        <f>'数据-取费表'!E29</f>
        <v>5.6000000000000001E-2</v>
      </c>
      <c r="G53" s="2577"/>
      <c r="H53" s="947"/>
      <c r="I53" s="2980"/>
      <c r="J53" s="2855"/>
      <c r="K53" s="2537">
        <v>2</v>
      </c>
      <c r="L53" s="3327" t="s">
        <v>2766</v>
      </c>
      <c r="M53" s="3327"/>
      <c r="N53" s="2539">
        <f t="shared" ref="N53:P54" ca="1" si="1">D55</f>
        <v>1</v>
      </c>
      <c r="O53" s="2537" t="str">
        <f t="shared" si="1"/>
        <v>销售额×税（费）率</v>
      </c>
      <c r="P53" s="2540">
        <f t="shared" si="1"/>
        <v>5.0000000000000001E-4</v>
      </c>
      <c r="Q53" s="1308"/>
    </row>
    <row r="54" spans="1:17" ht="12" customHeight="1">
      <c r="A54" s="2082" t="s">
        <v>1805</v>
      </c>
      <c r="B54" s="3255" t="s">
        <v>2845</v>
      </c>
      <c r="C54" s="3294"/>
      <c r="D54" s="1099">
        <f ca="1">C68</f>
        <v>1</v>
      </c>
      <c r="E54" s="264" t="s">
        <v>1806</v>
      </c>
      <c r="F54" s="2576">
        <f>'数据-取费表'!E29</f>
        <v>5.6000000000000001E-2</v>
      </c>
      <c r="G54" s="2577"/>
      <c r="H54" s="2981"/>
      <c r="I54" s="2980"/>
      <c r="J54" s="2855"/>
      <c r="K54" s="2537">
        <v>3</v>
      </c>
      <c r="L54" s="3327" t="s">
        <v>2767</v>
      </c>
      <c r="M54" s="3327"/>
      <c r="N54" s="2539">
        <f t="shared" ca="1" si="1"/>
        <v>0</v>
      </c>
      <c r="O54" s="2537" t="str">
        <f t="shared" si="1"/>
        <v>增值额×税（费）率</v>
      </c>
      <c r="P54" s="2541" t="str">
        <f t="shared" si="1"/>
        <v>——</v>
      </c>
      <c r="Q54" s="1308"/>
    </row>
    <row r="55" spans="1:17" ht="24" customHeight="1">
      <c r="A55" s="3253" t="s">
        <v>1808</v>
      </c>
      <c r="B55" s="3254"/>
      <c r="C55" s="3254"/>
      <c r="D55" s="12">
        <f ca="1">IF(H55="个人住宅",0,ROUND(D45*I55,0))</f>
        <v>1</v>
      </c>
      <c r="E55" s="2092" t="s">
        <v>1809</v>
      </c>
      <c r="F55" s="2576">
        <f>IF(H55="正常",I55,"免征")</f>
        <v>5.0000000000000001E-4</v>
      </c>
      <c r="G55" s="2577"/>
      <c r="H55" s="2568" t="s">
        <v>2892</v>
      </c>
      <c r="I55" s="74">
        <f>'数据-取费表'!E37</f>
        <v>5.0000000000000001E-4</v>
      </c>
      <c r="J55" s="2855"/>
      <c r="K55" s="2537" t="str">
        <f>IF(H59="非个人房产","",4)</f>
        <v/>
      </c>
      <c r="L55" s="3327" t="str">
        <f>IF(H59="非个人房产","——","个人所得税")</f>
        <v>——</v>
      </c>
      <c r="M55" s="3327"/>
      <c r="N55" s="2542" t="str">
        <f>D59</f>
        <v>——</v>
      </c>
      <c r="O55" s="2543" t="str">
        <f>E59</f>
        <v>——</v>
      </c>
      <c r="P55" s="2544" t="str">
        <f>F59</f>
        <v>——</v>
      </c>
      <c r="Q55" s="1308"/>
    </row>
    <row r="56" spans="1:17" ht="24.75">
      <c r="A56" s="3253" t="s">
        <v>1811</v>
      </c>
      <c r="B56" s="3254"/>
      <c r="C56" s="3254"/>
      <c r="D56" s="12">
        <f ca="1">IF(H56="个人住宅",D57,D58)</f>
        <v>0</v>
      </c>
      <c r="E56" s="2092" t="s">
        <v>1812</v>
      </c>
      <c r="F56" s="2576" t="str">
        <f>IF(H56="正常",F58,"免征")</f>
        <v>——</v>
      </c>
      <c r="G56" s="2578" t="s">
        <v>1813</v>
      </c>
      <c r="H56" s="2579" t="s">
        <v>2892</v>
      </c>
      <c r="I56" s="2982"/>
      <c r="J56" s="2855"/>
      <c r="K56" s="2537" t="str">
        <f>IF(项目基本情况!I6="上海银行",IF(K55="",4,K55+1),"")</f>
        <v/>
      </c>
      <c r="L56" s="3341" t="str">
        <f>IF(项目基本情况!I6="上海银行","其他处置费用","")</f>
        <v/>
      </c>
      <c r="M56" s="3342"/>
      <c r="N56" s="2539" t="str">
        <f>IF(项目基本情况!I6="上海银行",N69,"")</f>
        <v/>
      </c>
      <c r="O56" s="3341" t="str">
        <f>IF(项目基本情况!I6="上海银行","包含处置中涉及的律师、诉讼、拍卖、评估等费用","")</f>
        <v/>
      </c>
      <c r="P56" s="3353"/>
      <c r="Q56" s="1308"/>
    </row>
    <row r="57" spans="1:17" ht="12.75">
      <c r="A57" s="2082" t="s">
        <v>1788</v>
      </c>
      <c r="B57" s="3255" t="s">
        <v>1814</v>
      </c>
      <c r="C57" s="3294"/>
      <c r="D57" s="2569">
        <v>0</v>
      </c>
      <c r="E57" s="261" t="s">
        <v>1790</v>
      </c>
      <c r="F57" s="235"/>
      <c r="G57" s="2577"/>
      <c r="H57" s="2982"/>
      <c r="I57" s="2982"/>
      <c r="J57" s="2855"/>
      <c r="K57" s="3327">
        <f>IF(AND(K55="",K56=""),4,IF(项目基本情况!I6="上海银行",K56+1,K55+1))</f>
        <v>4</v>
      </c>
      <c r="L57" s="3327" t="s">
        <v>2768</v>
      </c>
      <c r="M57" s="2545" t="s">
        <v>2769</v>
      </c>
      <c r="N57" s="2546"/>
      <c r="O57" s="2547">
        <f ca="1">SUMIF(N52:N56,"&lt;9e307")</f>
        <v>2</v>
      </c>
      <c r="P57" s="2548"/>
      <c r="Q57" s="1306">
        <f ca="1">O57/N49</f>
        <v>1.5372790161414297E-3</v>
      </c>
    </row>
    <row r="58" spans="1:17" ht="24.75">
      <c r="A58" s="2082" t="s">
        <v>1799</v>
      </c>
      <c r="B58" s="3255" t="s">
        <v>1817</v>
      </c>
      <c r="C58" s="3293"/>
      <c r="D58" s="12">
        <f ca="1">IF(H58="转让取得",C81,C97)</f>
        <v>0</v>
      </c>
      <c r="E58" s="2092" t="s">
        <v>1812</v>
      </c>
      <c r="F58" s="235" t="s">
        <v>48</v>
      </c>
      <c r="G58" s="2577"/>
      <c r="H58" s="2579" t="s">
        <v>2971</v>
      </c>
      <c r="I58" s="2982"/>
      <c r="J58" s="2855"/>
      <c r="K58" s="3327"/>
      <c r="L58" s="3327"/>
      <c r="M58" s="2545" t="s">
        <v>2770</v>
      </c>
      <c r="N58" s="2549"/>
      <c r="O58" s="2550" t="str">
        <f ca="1">IF(H19="元",NUMBERSTRING(INT(O57),2)&amp;"元整",NUMBERSTRING(INT(O57*10000),2)&amp;"元整")</f>
        <v>贰万元整</v>
      </c>
      <c r="P58" s="2551"/>
      <c r="Q58" s="1308"/>
    </row>
    <row r="59" spans="1:17" ht="24.75" thickBot="1">
      <c r="A59" s="3277" t="s">
        <v>1820</v>
      </c>
      <c r="B59" s="3278"/>
      <c r="C59" s="3278"/>
      <c r="D59" s="2580"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1" t="str">
        <f>IF(OR(H59="非个人房产",H59="个人住宅（满五唯一有凭证）"),"——",IF(H59="个人其他（有凭证）",20%,1%))</f>
        <v>——</v>
      </c>
      <c r="G59" s="2825" t="s">
        <v>2823</v>
      </c>
      <c r="H59" s="2096" t="s">
        <v>2833</v>
      </c>
      <c r="I59" s="2884" t="s">
        <v>2834</v>
      </c>
      <c r="J59" s="2855"/>
      <c r="K59" s="3325">
        <f>K57+1</f>
        <v>5</v>
      </c>
      <c r="L59" s="3327" t="s">
        <v>2771</v>
      </c>
      <c r="M59" s="2537" t="s">
        <v>2769</v>
      </c>
      <c r="N59" s="2552"/>
      <c r="O59" s="2553">
        <f ca="1">N49-O57</f>
        <v>1299</v>
      </c>
      <c r="P59" s="2554"/>
      <c r="Q59" s="1308"/>
    </row>
    <row r="60" spans="1:17" ht="12" customHeight="1">
      <c r="A60" s="1457"/>
      <c r="B60" s="1461"/>
      <c r="C60" s="1461"/>
      <c r="D60" s="1461"/>
      <c r="E60" s="812"/>
      <c r="F60" s="2983"/>
      <c r="G60" s="2983"/>
      <c r="H60" s="2984"/>
      <c r="I60" s="31"/>
      <c r="K60" s="3326"/>
      <c r="L60" s="3327"/>
      <c r="M60" s="2545" t="s">
        <v>2770</v>
      </c>
      <c r="N60" s="2549"/>
      <c r="O60" s="2550" t="str">
        <f ca="1">IF(H19="元",NUMBERSTRING(INT(O59),2)&amp;"元整",NUMBERSTRING(INT(O59*10000),2)&amp;"元整")</f>
        <v>壹仟贰佰玖拾玖万元整</v>
      </c>
      <c r="P60" s="2551"/>
      <c r="Q60" s="1308"/>
    </row>
    <row r="61" spans="1:17" ht="13.5" thickBot="1">
      <c r="A61" s="3303" t="s">
        <v>1822</v>
      </c>
      <c r="B61" s="3303"/>
      <c r="C61" s="3303"/>
      <c r="D61" s="3303"/>
      <c r="E61" s="3303"/>
      <c r="F61" s="2983"/>
      <c r="G61" s="2983"/>
      <c r="H61" s="2985"/>
      <c r="I61" s="31"/>
      <c r="K61" s="2537">
        <f>K59+1</f>
        <v>6</v>
      </c>
      <c r="L61" s="3327" t="s">
        <v>2772</v>
      </c>
      <c r="M61" s="3327"/>
      <c r="N61" s="2555"/>
      <c r="O61" s="2556">
        <f ca="1">IF(H19="元",ROUND(O59/项目基本情况!C12,0),ROUND(O59*10000/项目基本情况!C12,0))</f>
        <v>67695</v>
      </c>
      <c r="P61" s="2557"/>
      <c r="Q61" s="1308"/>
    </row>
    <row r="62" spans="1:17" ht="12.75">
      <c r="A62" s="3315" t="s">
        <v>1824</v>
      </c>
      <c r="B62" s="3316"/>
      <c r="C62" s="1607"/>
      <c r="D62" s="1607" t="s">
        <v>1825</v>
      </c>
      <c r="E62" s="45" t="s">
        <v>1826</v>
      </c>
      <c r="F62" s="2983"/>
      <c r="G62" s="2983"/>
      <c r="H62" s="2985"/>
      <c r="I62" s="31"/>
      <c r="K62" s="2558"/>
      <c r="L62" s="2558"/>
      <c r="M62" s="2558"/>
      <c r="N62" s="2558"/>
      <c r="O62" s="2558"/>
      <c r="P62" s="2558"/>
      <c r="Q62" s="1308"/>
    </row>
    <row r="63" spans="1:17" ht="12.75">
      <c r="A63" s="46">
        <v>1</v>
      </c>
      <c r="B63" s="47" t="s">
        <v>1827</v>
      </c>
      <c r="C63" s="2786">
        <f ca="1">ROUND((C64+C65)/(1+'数据-取费表'!F30),0)</f>
        <v>1239</v>
      </c>
      <c r="D63" s="47"/>
      <c r="E63" s="48"/>
      <c r="F63" s="2983"/>
      <c r="G63" s="2983"/>
      <c r="H63" s="2985"/>
      <c r="I63" s="31"/>
      <c r="K63" s="3343" t="s">
        <v>2773</v>
      </c>
      <c r="L63" s="2559" t="s">
        <v>2774</v>
      </c>
      <c r="M63" s="2559">
        <f ca="1">IF(N49&gt;10000,N49*0.5%,IF(AND(N49&gt;1000,N49&lt;=10000),N49*1%,IF(AND(N49&gt;100,N49&lt;=1000),N49*3%,IF(AND(N49&gt;10,N49&lt;=100),N49*5%,N49*8%))))</f>
        <v>13.01</v>
      </c>
      <c r="N63" s="2560">
        <f ca="1">ROUND(M63,1)</f>
        <v>13</v>
      </c>
      <c r="O63" s="2558"/>
      <c r="P63" s="2558"/>
      <c r="Q63" s="1308"/>
    </row>
    <row r="64" spans="1:17" ht="12.75">
      <c r="A64" s="49" t="s">
        <v>71</v>
      </c>
      <c r="B64" s="50" t="s">
        <v>1830</v>
      </c>
      <c r="C64" s="2787">
        <f ca="1">D45</f>
        <v>1301</v>
      </c>
      <c r="D64" s="50" t="s">
        <v>41</v>
      </c>
      <c r="E64" s="52"/>
      <c r="F64" s="2983"/>
      <c r="G64" s="2983"/>
      <c r="H64" s="2985"/>
      <c r="I64" s="31"/>
      <c r="K64" s="3343"/>
      <c r="L64" s="2559" t="s">
        <v>2775</v>
      </c>
      <c r="M64" s="2559">
        <f ca="1">IF(N49&gt;2000,N49*0.5%,IF(AND(N49&gt;1000,N49&lt;=2000),N49*0.6%,IF(AND(N49&gt;500,N49&lt;=1000),N49*0.7%,IF(AND(N49&gt;200,N49&lt;=500),N49*0.8%,IF(AND(N49&gt;100,N49&lt;=200),N49*0.9%,IF(AND(N49&gt;50,N49&lt;=100),N49*1%,IF(AND(N49&gt;20,N49&lt;=50),N49*1.5%,IF(AND(N49&gt;10,N49&lt;=20),N49*2%,IF(AND(N49&gt;1,N49&lt;=10),N49*2.5%)))))))))</f>
        <v>7.806</v>
      </c>
      <c r="N64" s="2560">
        <f t="shared" ref="N64:N65" ca="1" si="2">ROUND(M64,1)</f>
        <v>7.8</v>
      </c>
      <c r="O64" s="2558" t="s">
        <v>2776</v>
      </c>
      <c r="P64" s="2558"/>
      <c r="Q64" s="1308"/>
    </row>
    <row r="65" spans="1:36" ht="12.75">
      <c r="A65" s="49" t="s">
        <v>72</v>
      </c>
      <c r="B65" s="50" t="s">
        <v>1833</v>
      </c>
      <c r="C65" s="2788"/>
      <c r="D65" s="50"/>
      <c r="E65" s="52"/>
      <c r="F65" s="2983"/>
      <c r="G65" s="2983"/>
      <c r="H65" s="2985"/>
      <c r="I65" s="31"/>
      <c r="K65" s="3343"/>
      <c r="L65" s="2559" t="s">
        <v>2777</v>
      </c>
      <c r="M65" s="2559">
        <f ca="1">IF(N49&gt;1000,N49*0.1%,IF(AND(N49&gt;500,N49&lt;=1000),N49*0.5%,IF(AND(N49&gt;50,N49&lt;=500),N49*1%,IF(AND(N49&gt;1,N49&lt;=50),N49*1.5%))))</f>
        <v>1.3009999999999999</v>
      </c>
      <c r="N65" s="2560">
        <f t="shared" ca="1" si="2"/>
        <v>1.3</v>
      </c>
      <c r="O65" s="2558" t="s">
        <v>2776</v>
      </c>
      <c r="P65" s="2558"/>
      <c r="Q65" s="1308"/>
    </row>
    <row r="66" spans="1:36" ht="12.75">
      <c r="A66" s="53" t="s">
        <v>47</v>
      </c>
      <c r="B66" s="54" t="s">
        <v>1835</v>
      </c>
      <c r="C66" s="2789">
        <v>1212.3802000000001</v>
      </c>
      <c r="D66" s="54" t="s">
        <v>41</v>
      </c>
      <c r="E66" s="1316" t="s">
        <v>1836</v>
      </c>
      <c r="F66" s="2983"/>
      <c r="G66" s="2983"/>
      <c r="H66" s="2985"/>
      <c r="I66" s="31"/>
      <c r="K66" s="3343"/>
      <c r="L66" s="2559" t="s">
        <v>2778</v>
      </c>
      <c r="M66" s="2559">
        <f ca="1">N49*0.5%</f>
        <v>6.5049999999999999</v>
      </c>
      <c r="N66" s="2560">
        <f ca="1">IF(M66&gt;0.5,0.5,ROUND(M66,0))</f>
        <v>0.5</v>
      </c>
      <c r="O66" s="2558" t="s">
        <v>2779</v>
      </c>
      <c r="P66" s="2558"/>
      <c r="Q66" s="1308"/>
    </row>
    <row r="67" spans="1:36" ht="12.75">
      <c r="A67" s="53" t="s">
        <v>42</v>
      </c>
      <c r="B67" s="54" t="s">
        <v>1839</v>
      </c>
      <c r="C67" s="2790">
        <f ca="1">C63-C66</f>
        <v>26.619799999999941</v>
      </c>
      <c r="D67" s="50" t="s">
        <v>41</v>
      </c>
      <c r="E67" s="52"/>
      <c r="F67" s="2983"/>
      <c r="G67" s="2983"/>
      <c r="H67" s="2985"/>
      <c r="I67" s="31"/>
      <c r="K67" s="3343"/>
      <c r="L67" s="2559" t="s">
        <v>2780</v>
      </c>
      <c r="M67" s="2559">
        <f ca="1">IF(N49&gt;=10000,(8.25+(N49-10000)*0.01%),IF(AND(N49&gt;=8000,N49&lt;10000),(7.85+(N49-8000)*0.02%),IF(AND(N49&gt;=5000,N49&lt;8000),(6.65+(N49-5000)*0.04%),IF(AND(N49&gt;=2000,N49&lt;5000),(4.25+(PN49-2000)*0.08%),IF(AND(N49&gt;=1000,N49&lt;2000),(2.75+(N49-1000)*0.15%),IF(AND(N49&gt;=100,N49&lt;1000),(0.5+(N49-100)*0.25%),IF(AND(N49&gt;0,N49&lt;100),N49*0.5%)))))))</f>
        <v>3.2015000000000002</v>
      </c>
      <c r="N67" s="2560">
        <f ca="1">ROUND(M67*0.9,1)</f>
        <v>2.9</v>
      </c>
      <c r="O67" s="2558"/>
      <c r="P67" s="2558"/>
      <c r="Q67" s="1308"/>
    </row>
    <row r="68" spans="1:36" ht="13.5" thickBot="1">
      <c r="A68" s="55" t="s">
        <v>46</v>
      </c>
      <c r="B68" s="56" t="s">
        <v>1841</v>
      </c>
      <c r="C68" s="2791">
        <f ca="1">IF(C67&lt;=0,0,ROUND(C67*D68,0))</f>
        <v>1</v>
      </c>
      <c r="D68" s="2244">
        <f>'数据-取费表'!E29</f>
        <v>5.6000000000000001E-2</v>
      </c>
      <c r="E68" s="57"/>
      <c r="F68" s="2983"/>
      <c r="G68" s="2983"/>
      <c r="H68" s="2985"/>
      <c r="I68" s="31"/>
      <c r="K68" s="3343"/>
      <c r="L68" s="2559" t="s">
        <v>2781</v>
      </c>
      <c r="M68" s="2559">
        <f ca="1">IF(N49&gt;10000,N49*0.5%,IF(AND(N49&gt;5000,N49&lt;=10000),N49*1%,IF(AND(N49&gt;1000,N49&lt;=5000),N49*2%,IF(AND(N49&gt;200,N49&lt;=1000),N49*3%,N49*5%))))</f>
        <v>26.02</v>
      </c>
      <c r="N68" s="2560">
        <f ca="1">ROUND(M68,1)</f>
        <v>26</v>
      </c>
      <c r="O68" s="2558"/>
      <c r="P68" s="2558"/>
      <c r="Q68" s="1308"/>
    </row>
    <row r="69" spans="1:36" s="1465" customFormat="1" ht="7.5" customHeight="1">
      <c r="A69" s="1477"/>
      <c r="B69" s="1478"/>
      <c r="C69" s="1479"/>
      <c r="D69" s="1480"/>
      <c r="E69" s="1481"/>
      <c r="F69" s="812"/>
      <c r="G69" s="812"/>
      <c r="H69" s="1470"/>
      <c r="I69" s="1461"/>
      <c r="J69" s="2843"/>
      <c r="K69" s="3343"/>
      <c r="L69" s="2559" t="s">
        <v>54</v>
      </c>
      <c r="M69" s="2559"/>
      <c r="N69" s="2560">
        <f ca="1">ROUND(SUM(N63:N68),0)</f>
        <v>52</v>
      </c>
      <c r="O69" s="2561">
        <f ca="1">N69/N49</f>
        <v>3.9969254419677171E-2</v>
      </c>
      <c r="P69" s="2558"/>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9" t="s">
        <v>1844</v>
      </c>
      <c r="B70" s="3320"/>
      <c r="C70" s="3320"/>
      <c r="D70" s="3320"/>
      <c r="E70" s="3320"/>
      <c r="F70" s="3320"/>
      <c r="G70" s="3320"/>
      <c r="H70" s="3320"/>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5" t="s">
        <v>1824</v>
      </c>
      <c r="B71" s="3316"/>
      <c r="C71" s="1607"/>
      <c r="D71" s="1607" t="s">
        <v>1825</v>
      </c>
      <c r="E71" s="58" t="s">
        <v>1826</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1845</v>
      </c>
      <c r="C72" s="2790">
        <f ca="1">ROUND(D45/(1+'数据-取费表'!F30),0)</f>
        <v>1239</v>
      </c>
      <c r="D72" s="50" t="s">
        <v>41</v>
      </c>
      <c r="E72" s="12" t="s">
        <v>1846</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1847</v>
      </c>
      <c r="C73" s="2790">
        <f ca="1">C74+C78</f>
        <v>2044</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1848</v>
      </c>
      <c r="C74" s="50">
        <f>ROUND(IF(G77="2016年5月1日后购买",C75/(1+'数据-取费表'!F30)+C76+C77,C75+C76+C77),0)</f>
        <v>2037</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1849</v>
      </c>
      <c r="C75" s="2270">
        <f>C66</f>
        <v>1212.3802000000001</v>
      </c>
      <c r="D75" s="50" t="s">
        <v>41</v>
      </c>
      <c r="E75" s="64" t="s">
        <v>1850</v>
      </c>
      <c r="F75" s="2794" t="s">
        <v>2975</v>
      </c>
      <c r="G75" s="64" t="s">
        <v>1852</v>
      </c>
      <c r="H75" s="2795">
        <v>13</v>
      </c>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1853</v>
      </c>
      <c r="C76" s="50">
        <f>IF(F75="购房发票",ROUND(C75*H75*D76,0),0)</f>
        <v>788</v>
      </c>
      <c r="D76" s="2796">
        <v>0.05</v>
      </c>
      <c r="E76" s="3255" t="s">
        <v>1854</v>
      </c>
      <c r="F76" s="3293"/>
      <c r="G76" s="3293"/>
      <c r="H76" s="3307"/>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1855</v>
      </c>
      <c r="C77" s="50">
        <f>ROUND(IF(G77="个人住宅",0,IF(G77="2016年5月1日前购买",C75*D77,C75*D77/(1+'数据-取费表'!F30))),0)</f>
        <v>37</v>
      </c>
      <c r="D77" s="2797">
        <f>'数据-取费表'!E36+'数据-取费表'!E37</f>
        <v>3.0499999999999999E-2</v>
      </c>
      <c r="E77" s="12" t="s">
        <v>1856</v>
      </c>
      <c r="F77" s="2095"/>
      <c r="G77" s="1486" t="s">
        <v>2972</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1858</v>
      </c>
      <c r="C78" s="2798">
        <f ca="1">ROUND(D45*D78/(1+'数据-取费表'!F30),0)</f>
        <v>7</v>
      </c>
      <c r="D78" s="2799">
        <f>'数据-取费表'!E31</f>
        <v>6.000000000000001E-3</v>
      </c>
      <c r="E78" s="3287" t="s">
        <v>1859</v>
      </c>
      <c r="F78" s="3288"/>
      <c r="G78" s="3288"/>
      <c r="H78" s="3289"/>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1860</v>
      </c>
      <c r="C79" s="2790">
        <f ca="1">C72-C73</f>
        <v>-805</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1861</v>
      </c>
      <c r="C80" s="2800">
        <f ca="1">IF(C79&lt;=0,0,C79/C73)</f>
        <v>0</v>
      </c>
      <c r="D80" s="50"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1862</v>
      </c>
      <c r="C81" s="2801">
        <f ca="1">ROUND(IF(C79&lt;=0,0,IF(C80&gt;=200%,C79*60%-C73*35%,IF(C80&gt;=100%,C79*50%-C73*15%,IF(C80&gt;=50%,C79*40%-C73*5%,IF(C80&lt;50%,C79*30%,0))))),0)</f>
        <v>0</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9" t="s">
        <v>1863</v>
      </c>
      <c r="B83" s="3320"/>
      <c r="C83" s="3320"/>
      <c r="D83" s="3320"/>
      <c r="E83" s="3320"/>
      <c r="F83" s="3320"/>
      <c r="G83" s="3320"/>
      <c r="H83" s="3320"/>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5" t="s">
        <v>1824</v>
      </c>
      <c r="B84" s="3316"/>
      <c r="C84" s="1607"/>
      <c r="D84" s="1607" t="s">
        <v>1825</v>
      </c>
      <c r="E84" s="58" t="s">
        <v>1826</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1845</v>
      </c>
      <c r="C85" s="2790">
        <f ca="1">ROUND(D45/(1+'数据-取费表'!F30),0)</f>
        <v>1239</v>
      </c>
      <c r="D85" s="50" t="s">
        <v>41</v>
      </c>
      <c r="E85" s="2088" t="s">
        <v>1846</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1847</v>
      </c>
      <c r="C86" s="2790">
        <f ca="1">IF(H88="仅含出让金",C87+C90+C91+C92+C93+C94,C87+C91+C92+C93+C94)</f>
        <v>7</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1864</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1865</v>
      </c>
      <c r="C88" s="2803"/>
      <c r="D88" s="2799"/>
      <c r="E88" s="74" t="s">
        <v>1866</v>
      </c>
      <c r="F88" s="2086"/>
      <c r="G88" s="75" t="s">
        <v>1867</v>
      </c>
      <c r="H88" s="1488"/>
      <c r="I88" s="9"/>
      <c r="J88" s="2858"/>
      <c r="K88" s="2974"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1855</v>
      </c>
      <c r="C89" s="2798">
        <f>ROUND(C88*D89,0)</f>
        <v>0</v>
      </c>
      <c r="D89" s="2799">
        <f>'数据-取费表'!E36+'数据-取费表'!E37</f>
        <v>3.0499999999999999E-2</v>
      </c>
      <c r="E89" s="74" t="s">
        <v>1868</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1869</v>
      </c>
      <c r="C90" s="2803"/>
      <c r="D90" s="2799"/>
      <c r="E90" s="74" t="str">
        <f>IF(H88="-","土地取得成本中已包含该笔费用"," ")</f>
        <v xml:space="preserve"> </v>
      </c>
      <c r="F90" s="2086"/>
      <c r="G90" s="3352" t="s">
        <v>2744</v>
      </c>
      <c r="H90" s="3352"/>
      <c r="I90" s="9"/>
      <c r="J90" s="2858"/>
      <c r="K90" s="2974"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1870</v>
      </c>
      <c r="C91" s="2798">
        <f>IF(H91="——",成本法!C33,I91)</f>
        <v>0</v>
      </c>
      <c r="D91" s="2799"/>
      <c r="E91" s="3287" t="s">
        <v>1871</v>
      </c>
      <c r="F91" s="3288"/>
      <c r="G91" s="3288"/>
      <c r="H91" s="1489" t="s">
        <v>1872</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1873</v>
      </c>
      <c r="C92" s="2798">
        <f>ROUND((C87+C90+C91)*D92,0)</f>
        <v>0</v>
      </c>
      <c r="D92" s="2842">
        <v>0.1</v>
      </c>
      <c r="E92" s="3287" t="s">
        <v>1874</v>
      </c>
      <c r="F92" s="3288"/>
      <c r="G92" s="3288"/>
      <c r="H92" s="3289"/>
      <c r="I92" s="9"/>
      <c r="J92" s="2858"/>
      <c r="K92" s="2975"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1858</v>
      </c>
      <c r="C93" s="2798">
        <f ca="1">ROUND(D45*D93/(1+'数据-取费表'!F30),0)</f>
        <v>7</v>
      </c>
      <c r="D93" s="2799">
        <f>'数据-取费表'!E31</f>
        <v>6.000000000000001E-3</v>
      </c>
      <c r="E93" s="3287" t="s">
        <v>1859</v>
      </c>
      <c r="F93" s="3288"/>
      <c r="G93" s="3288"/>
      <c r="H93" s="3289"/>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1875</v>
      </c>
      <c r="C94" s="2798">
        <f>ROUND((C87+C90+C91)*D94,0)</f>
        <v>0</v>
      </c>
      <c r="D94" s="2799">
        <v>0.2</v>
      </c>
      <c r="E94" s="3287" t="s">
        <v>1876</v>
      </c>
      <c r="F94" s="3288"/>
      <c r="G94" s="3288"/>
      <c r="H94" s="3289"/>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1860</v>
      </c>
      <c r="C95" s="2790">
        <f ca="1">ROUND(C85-C86,0)</f>
        <v>1232</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1861</v>
      </c>
      <c r="C96" s="2800">
        <f ca="1">IF(C95&lt;=0,0,C95/C86)</f>
        <v>176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1862</v>
      </c>
      <c r="C97" s="2801">
        <f ca="1">ROUND(IF(C95&lt;=0,0,IF(C96&gt;=200%,C95*60%-C86*35%,IF(C96&gt;=100%,C95*50%-C86*15%,IF(C96&gt;=50%,C95*40%-C86*5%,IF(C96&lt;50%,C95*30%,0))))),0)</f>
        <v>737</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1877</v>
      </c>
      <c r="B98" s="1461"/>
      <c r="C98" s="1461"/>
      <c r="D98" s="1461"/>
      <c r="E98" s="812"/>
      <c r="F98" s="812"/>
      <c r="G98" s="812"/>
      <c r="H98" s="1470"/>
      <c r="I98" s="1461"/>
    </row>
    <row r="99" spans="1:36" ht="15.75">
      <c r="A99" s="3338" t="s">
        <v>1878</v>
      </c>
      <c r="B99" s="3339"/>
      <c r="C99" s="3339"/>
      <c r="D99" s="3340"/>
      <c r="E99" s="1461"/>
      <c r="F99" s="3347" t="s">
        <v>1879</v>
      </c>
      <c r="G99" s="3348"/>
      <c r="H99" s="3348"/>
      <c r="I99" s="3349"/>
      <c r="J99" s="2861"/>
    </row>
    <row r="100" spans="1:36" ht="15">
      <c r="A100" s="3350" t="s">
        <v>1880</v>
      </c>
      <c r="B100" s="3351"/>
      <c r="C100" s="1307" t="str">
        <f>C4</f>
        <v>成本法</v>
      </c>
      <c r="D100" s="2809" t="str">
        <f>D4</f>
        <v>比较法-商业</v>
      </c>
      <c r="E100" s="1461"/>
      <c r="F100" s="3258" t="s">
        <v>2787</v>
      </c>
      <c r="G100" s="3259"/>
      <c r="H100" s="3258" t="s">
        <v>2788</v>
      </c>
      <c r="I100" s="3257"/>
      <c r="J100" s="2862"/>
    </row>
    <row r="101" spans="1:36" ht="12.75">
      <c r="A101" s="3330" t="s">
        <v>2820</v>
      </c>
      <c r="B101" s="2309" t="str">
        <f>IF(H19="元","总价（元）","总价（万元）")</f>
        <v>总价（万元）</v>
      </c>
      <c r="C101" s="1307">
        <f ca="1">C19</f>
        <v>1960</v>
      </c>
      <c r="D101" s="2809">
        <f ca="1">D19</f>
        <v>1019</v>
      </c>
      <c r="E101" s="1461"/>
      <c r="F101" s="3258" t="str">
        <f>项目基本情况!I1</f>
        <v>北京市房地产</v>
      </c>
      <c r="G101" s="3259"/>
      <c r="H101" s="3256">
        <f>项目基本情况!C12</f>
        <v>191.89</v>
      </c>
      <c r="I101" s="3257"/>
      <c r="J101" s="2862"/>
    </row>
    <row r="102" spans="1:36" ht="12.75">
      <c r="A102" s="3330"/>
      <c r="B102" s="2309" t="s">
        <v>2821</v>
      </c>
      <c r="C102" s="2810">
        <f ca="1">C20</f>
        <v>102129</v>
      </c>
      <c r="D102" s="2811">
        <f ca="1">D20</f>
        <v>53117</v>
      </c>
      <c r="E102" s="1461"/>
      <c r="F102" s="3268" t="s">
        <v>2817</v>
      </c>
      <c r="G102" s="3269"/>
      <c r="H102" s="2819" t="str">
        <f>C106</f>
        <v>总价（万元）</v>
      </c>
      <c r="I102" s="2820">
        <f ca="1">H121</f>
        <v>1301</v>
      </c>
      <c r="J102" s="2862"/>
    </row>
    <row r="103" spans="1:36" ht="12.75">
      <c r="A103" s="3330" t="s">
        <v>2822</v>
      </c>
      <c r="B103" s="2247" t="str">
        <f>B101</f>
        <v>总价（万元）</v>
      </c>
      <c r="C103" s="2814">
        <f ca="1">H121</f>
        <v>1301</v>
      </c>
      <c r="D103" s="2812"/>
      <c r="E103" s="1461"/>
      <c r="F103" s="3268"/>
      <c r="G103" s="3269"/>
      <c r="H103" s="2819" t="s">
        <v>2790</v>
      </c>
      <c r="I103" s="52">
        <f ca="1">I121</f>
        <v>67799</v>
      </c>
      <c r="J103" s="2846"/>
    </row>
    <row r="104" spans="1:36" ht="13.5" thickBot="1">
      <c r="A104" s="3331"/>
      <c r="B104" s="2816" t="s">
        <v>2821</v>
      </c>
      <c r="C104" s="2817">
        <f ca="1">I121</f>
        <v>67799</v>
      </c>
      <c r="D104" s="2818"/>
      <c r="E104" s="1461"/>
      <c r="F104" s="3268"/>
      <c r="G104" s="3269"/>
      <c r="H104" s="3332"/>
      <c r="I104" s="3333"/>
      <c r="J104" s="2863"/>
    </row>
    <row r="105" spans="1:36" ht="15">
      <c r="A105" s="3338" t="s">
        <v>1881</v>
      </c>
      <c r="B105" s="3339"/>
      <c r="C105" s="3339"/>
      <c r="D105" s="3340"/>
      <c r="E105" s="1461"/>
      <c r="F105" s="3336" t="s">
        <v>2791</v>
      </c>
      <c r="G105" s="3337"/>
      <c r="H105" s="2821" t="str">
        <f>C108</f>
        <v>总额（万元）</v>
      </c>
      <c r="I105" s="2820">
        <f>SUMIF(I106:I108,"&lt;9E307")</f>
        <v>0</v>
      </c>
      <c r="J105" s="2862"/>
    </row>
    <row r="106" spans="1:36" ht="14.25">
      <c r="A106" s="3268" t="s">
        <v>2814</v>
      </c>
      <c r="B106" s="3269"/>
      <c r="C106" s="2819" t="str">
        <f>B101</f>
        <v>总价（万元）</v>
      </c>
      <c r="D106" s="2820">
        <f ca="1">H121</f>
        <v>1301</v>
      </c>
      <c r="E106" s="1461"/>
      <c r="F106" s="3270" t="s">
        <v>2792</v>
      </c>
      <c r="G106" s="3271"/>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68"/>
      <c r="B107" s="3269"/>
      <c r="C107" s="2819" t="s">
        <v>2815</v>
      </c>
      <c r="D107" s="52">
        <f ca="1">I121</f>
        <v>67799</v>
      </c>
      <c r="E107" s="1461"/>
      <c r="F107" s="3270" t="s">
        <v>2793</v>
      </c>
      <c r="G107" s="3271"/>
      <c r="H107" s="2821" t="str">
        <f>C110</f>
        <v>总额（万元）</v>
      </c>
      <c r="I107" s="52">
        <f>C37</f>
        <v>0</v>
      </c>
      <c r="J107" s="2846"/>
    </row>
    <row r="108" spans="1:36" ht="12.75">
      <c r="A108" s="3275" t="s">
        <v>2791</v>
      </c>
      <c r="B108" s="3276"/>
      <c r="C108" s="2821" t="str">
        <f>IF(H19="元","总额（元）","总额（万元）")</f>
        <v>总额（万元）</v>
      </c>
      <c r="D108" s="2820">
        <f>IF(D36="正常操作",I106+I107+I108,I107+I108)</f>
        <v>0</v>
      </c>
      <c r="E108" s="1461"/>
      <c r="F108" s="3270" t="s">
        <v>2818</v>
      </c>
      <c r="G108" s="3271"/>
      <c r="H108" s="2821" t="str">
        <f>C111</f>
        <v>总额（万元）</v>
      </c>
      <c r="I108" s="52">
        <f>C38</f>
        <v>0</v>
      </c>
      <c r="J108" s="2846"/>
    </row>
    <row r="109" spans="1:36" ht="12.75">
      <c r="A109" s="3270" t="s">
        <v>2792</v>
      </c>
      <c r="B109" s="3271"/>
      <c r="C109" s="2821" t="str">
        <f>C108</f>
        <v>总额（万元）</v>
      </c>
      <c r="D109" s="52">
        <f>IF(D36="同一抵押权人同一抵押物续贷",C36&amp;"（未扣减，详见特别提示）",C36)</f>
        <v>0</v>
      </c>
      <c r="E109" s="1461"/>
      <c r="F109" s="3268"/>
      <c r="G109" s="3269"/>
      <c r="H109" s="3334"/>
      <c r="I109" s="3335"/>
      <c r="J109" s="2864"/>
    </row>
    <row r="110" spans="1:36" ht="28.5" customHeight="1">
      <c r="A110" s="3270" t="s">
        <v>2816</v>
      </c>
      <c r="B110" s="3271"/>
      <c r="C110" s="2821" t="str">
        <f>C108</f>
        <v>总额（万元）</v>
      </c>
      <c r="D110" s="52">
        <f>C37</f>
        <v>0</v>
      </c>
      <c r="E110" s="1461"/>
      <c r="F110" s="3260" t="str">
        <f>IF(项目基本情况!F5="已注销","——","3.房地产抵押价值")</f>
        <v>3.房地产抵押价值</v>
      </c>
      <c r="G110" s="3261"/>
      <c r="H110" s="2807" t="str">
        <f>C112</f>
        <v>总价（万元）</v>
      </c>
      <c r="I110" s="2820">
        <f ca="1">IF(F110="——","——",I102-I105)</f>
        <v>1301</v>
      </c>
      <c r="J110" s="2862"/>
    </row>
    <row r="111" spans="1:36" ht="12.75">
      <c r="A111" s="3270" t="s">
        <v>2795</v>
      </c>
      <c r="B111" s="3271"/>
      <c r="C111" s="2821" t="str">
        <f>C108</f>
        <v>总额（万元）</v>
      </c>
      <c r="D111" s="52">
        <f>C38</f>
        <v>0</v>
      </c>
      <c r="E111" s="1461"/>
      <c r="F111" s="3363"/>
      <c r="G111" s="3364"/>
      <c r="H111" s="2819" t="s">
        <v>2790</v>
      </c>
      <c r="I111" s="2823">
        <f ca="1">D113</f>
        <v>67799</v>
      </c>
      <c r="J111" s="2865"/>
    </row>
    <row r="112" spans="1:36" ht="26.25" customHeight="1">
      <c r="A112" s="3268" t="str">
        <f>IF(项目基本情况!F5="已注销","——","3.房地产抵押价值")</f>
        <v>3.房地产抵押价值</v>
      </c>
      <c r="B112" s="3269"/>
      <c r="C112" s="2819" t="str">
        <f>B101</f>
        <v>总价（万元）</v>
      </c>
      <c r="D112" s="2820">
        <f ca="1">IF(A112="——","——",D106-D108)</f>
        <v>1301</v>
      </c>
      <c r="E112" s="1461"/>
      <c r="F112" s="3260" t="str">
        <f>IF(项目基本情况!F5="已注销及未注销","4.抵押担保权已注销时的房地产抵押价值",IF(项目基本情况!F5="已注销","3.抵押担保权已注销时的房地产抵押价值","——"))</f>
        <v>——</v>
      </c>
      <c r="G112" s="3261"/>
      <c r="H112" s="2807" t="str">
        <f>C114</f>
        <v>总价（万元）</v>
      </c>
      <c r="I112" s="2820" t="str">
        <f>IF(F112="——","——",I102-I107-I108)</f>
        <v>——</v>
      </c>
      <c r="J112" s="2862"/>
    </row>
    <row r="113" spans="1:16" ht="12.75">
      <c r="A113" s="3268"/>
      <c r="B113" s="3269"/>
      <c r="C113" s="2819" t="s">
        <v>2783</v>
      </c>
      <c r="D113" s="52">
        <f ca="1">ROUND(IF(D112=D106,D107,IF(H19="元",D112/项目基本情况!C12,D112*10000/项目基本情况!C12)),0)</f>
        <v>67799</v>
      </c>
      <c r="E113" s="1461"/>
      <c r="F113" s="3363"/>
      <c r="G113" s="3364"/>
      <c r="H113" s="2819" t="s">
        <v>2819</v>
      </c>
      <c r="I113" s="52" t="str">
        <f>D115</f>
        <v>——</v>
      </c>
      <c r="J113" s="2846"/>
    </row>
    <row r="114" spans="1:16" ht="12.75">
      <c r="A114" s="3268" t="str">
        <f>IF(项目基本情况!F5="已注销及未注销","4.抵押担保权已注销时的房地产抵押价值",IF(项目基本情况!F5="已注销","3.抵押担保权已注销时的房地产抵押价值","——"))</f>
        <v>——</v>
      </c>
      <c r="B114" s="3269"/>
      <c r="C114" s="2819" t="str">
        <f>B101</f>
        <v>总价（万元）</v>
      </c>
      <c r="D114" s="2820" t="str">
        <f>IF(A114="——","——",D106-D110-D111)</f>
        <v>——</v>
      </c>
      <c r="E114" s="1461"/>
      <c r="F114" s="3260" t="str">
        <f>IF(项目基本情况!G5="抵押净值",IF(OR(项目基本情况!F5="已注销",项目基本情况!F5="房地产抵押价值"),"4.抵押净值","5.抵押净值"),"——")</f>
        <v>4.抵押净值</v>
      </c>
      <c r="G114" s="3261"/>
      <c r="H114" s="2819" t="str">
        <f>C116</f>
        <v>总价（万元）</v>
      </c>
      <c r="I114" s="2820">
        <f ca="1">IF(F114="——","——",O59)</f>
        <v>1299</v>
      </c>
      <c r="J114" s="2862"/>
    </row>
    <row r="115" spans="1:16" ht="13.5" thickBot="1">
      <c r="A115" s="3268"/>
      <c r="B115" s="3269"/>
      <c r="C115" s="2819" t="s">
        <v>2783</v>
      </c>
      <c r="D115" s="52" t="str">
        <f>IF(A114="——","——",ROUND(IF(D114=D106,D107,IF(H19="元",D114/项目基本情况!C12,D114*10000/项目基本情况!C12)),0))</f>
        <v>——</v>
      </c>
      <c r="E115" s="1461"/>
      <c r="F115" s="3262"/>
      <c r="G115" s="3263"/>
      <c r="H115" s="2824" t="s">
        <v>2783</v>
      </c>
      <c r="I115" s="2808">
        <f ca="1">D117</f>
        <v>67695</v>
      </c>
      <c r="J115" s="2846"/>
    </row>
    <row r="116" spans="1:16" ht="15.75">
      <c r="A116" s="3268" t="str">
        <f>IF(项目基本情况!G5="抵押净值",IF(OR(项目基本情况!F5="已注销",项目基本情况!F5="房地产抵押价值"),"4.抵押净值","5.抵押净值"),"——")</f>
        <v>4.抵押净值</v>
      </c>
      <c r="B116" s="3269"/>
      <c r="C116" s="2819" t="str">
        <f>B101</f>
        <v>总价（万元）</v>
      </c>
      <c r="D116" s="2820">
        <f ca="1">IF(A116="——","——",O59)</f>
        <v>1299</v>
      </c>
      <c r="E116" s="1461"/>
      <c r="F116" s="3358"/>
      <c r="G116" s="3358"/>
      <c r="H116" s="3322"/>
      <c r="I116" s="3322"/>
      <c r="J116" s="2866"/>
      <c r="O116" s="32"/>
      <c r="P116" s="32"/>
    </row>
    <row r="117" spans="1:16" ht="13.5" thickBot="1">
      <c r="A117" s="3273"/>
      <c r="B117" s="3274"/>
      <c r="C117" s="2824" t="s">
        <v>2783</v>
      </c>
      <c r="D117" s="2808">
        <f ca="1">IF(D116=D112,D113,IF(A116="——","——",O61))</f>
        <v>67695</v>
      </c>
      <c r="E117" s="1461"/>
      <c r="F117" s="3252" t="str">
        <f>IF(B32="总价","（以上估价结果中单价为总价除以建筑面积得出）","（以上估价结果中总价为楼面单价乘以建筑面积得出）")</f>
        <v>（以上估价结果中单价为总价除以建筑面积得出）</v>
      </c>
      <c r="G117" s="3252"/>
      <c r="H117" s="3252"/>
      <c r="I117" s="3252"/>
      <c r="J117" s="2867"/>
      <c r="O117" s="32"/>
      <c r="P117" s="32"/>
    </row>
    <row r="118" spans="1:16" ht="15">
      <c r="A118" s="3323" t="s">
        <v>1882</v>
      </c>
      <c r="B118" s="3324"/>
      <c r="C118" s="3324"/>
      <c r="D118" s="3324"/>
      <c r="E118" s="3324"/>
      <c r="F118" s="3324"/>
      <c r="G118" s="3324"/>
      <c r="H118" s="3324"/>
      <c r="I118" s="3324"/>
      <c r="J118" s="2868"/>
    </row>
    <row r="119" spans="1:16" ht="12.75">
      <c r="A119" s="3253" t="s">
        <v>2801</v>
      </c>
      <c r="B119" s="3279" t="s">
        <v>2811</v>
      </c>
      <c r="C119" s="3279" t="s">
        <v>2812</v>
      </c>
      <c r="D119" s="3345" t="s">
        <v>2803</v>
      </c>
      <c r="E119" s="3346"/>
      <c r="F119" s="3254" t="s">
        <v>2813</v>
      </c>
      <c r="G119" s="3254"/>
      <c r="H119" s="3254" t="s">
        <v>2804</v>
      </c>
      <c r="I119" s="3344"/>
      <c r="J119" s="2846"/>
    </row>
    <row r="120" spans="1:16" ht="12.75">
      <c r="A120" s="3253"/>
      <c r="B120" s="3280"/>
      <c r="C120" s="3280"/>
      <c r="D120" s="2092" t="s">
        <v>2805</v>
      </c>
      <c r="E120" s="2092" t="s">
        <v>2810</v>
      </c>
      <c r="F120" s="2092" t="s">
        <v>2805</v>
      </c>
      <c r="G120" s="2092" t="s">
        <v>2806</v>
      </c>
      <c r="H120" s="2092" t="s">
        <v>2805</v>
      </c>
      <c r="I120" s="52" t="s">
        <v>2806</v>
      </c>
      <c r="J120" s="2846"/>
    </row>
    <row r="121" spans="1:16" ht="12.75">
      <c r="A121" s="2082" t="str">
        <f>项目基本情况!I1</f>
        <v>北京市房地产</v>
      </c>
      <c r="B121" s="2092">
        <f>项目基本情况!C12</f>
        <v>191.89</v>
      </c>
      <c r="C121" s="2092">
        <f>项目基本情况!C13</f>
        <v>0</v>
      </c>
      <c r="D121" s="2092">
        <f ca="1">ROUND(IF(B32="总价",C34,IF('数据-取费表'!B3="万元",E121*B121/10000,E121*B121)),0)</f>
        <v>1412</v>
      </c>
      <c r="E121" s="2092">
        <f ca="1">ROUND(IF(B32="楼面单价",C34,IF(H19="元",D121/B121,D121*10000/B121)),0)</f>
        <v>73584</v>
      </c>
      <c r="F121" s="2092">
        <f ca="1">ROUND(IF(B32="总价",C35,IF('数据-取费表'!B3="万元",G121*B121/10000,G121*B121)),0)</f>
        <v>-111</v>
      </c>
      <c r="G121" s="2092">
        <f ca="1">ROUND(IF(B32="楼面单价",C35,IF(H19="元",F121/B121,F121*10000/B121)),0)</f>
        <v>-5785</v>
      </c>
      <c r="H121" s="2092">
        <f ca="1">ROUND(IF(B32="总价",C32,IF('数据-取费表'!B3="万元",I121*B121/10000,I121*B121)),0)</f>
        <v>1301</v>
      </c>
      <c r="I121" s="52">
        <f ca="1">ROUND(IF(B32="楼面单价",C32,IF(H19="元",H121/B121,H121*10000/B121)),0)</f>
        <v>67799</v>
      </c>
      <c r="J121" s="2846"/>
    </row>
    <row r="122" spans="1:16" ht="12.75">
      <c r="A122" s="3253" t="s">
        <v>2807</v>
      </c>
      <c r="B122" s="3254"/>
      <c r="C122" s="3254"/>
      <c r="D122" s="3281" t="str">
        <f ca="1">IF(H19="元",NUMBERSTRING(INT(D121),2)&amp;"元整",NUMBERSTRING(INT(D121*10000),2)&amp;"元整")</f>
        <v>壹仟肆佰壹拾贰万元整</v>
      </c>
      <c r="E122" s="3328"/>
      <c r="F122" s="3281" t="e">
        <f ca="1">IF(H19="元",NUMBERSTRING(INT(F121),2)&amp;"元整",NUMBERSTRING(INT(F121*10000),2)&amp;"元整")</f>
        <v>#NUM!</v>
      </c>
      <c r="G122" s="3328"/>
      <c r="H122" s="3281" t="str">
        <f ca="1">IF(H19="元",NUMBERSTRING(INT(H121),2)&amp;"元整",NUMBERSTRING(INT(H121*10000),2)&amp;"元整")</f>
        <v>壹仟叁佰零壹万元整</v>
      </c>
      <c r="I122" s="3282"/>
      <c r="J122" s="2869"/>
    </row>
    <row r="123" spans="1:16" ht="12.75">
      <c r="A123" s="3258" t="str">
        <f>IF(项目基本情况!D5="房地产市场价值","——",MID(A108,3,LEN(A108)-2))</f>
        <v>估价师所知悉的法定优先受偿款</v>
      </c>
      <c r="B123" s="3264"/>
      <c r="C123" s="3259"/>
      <c r="D123" s="3256">
        <f>I105</f>
        <v>0</v>
      </c>
      <c r="E123" s="3264"/>
      <c r="F123" s="3264"/>
      <c r="G123" s="3264"/>
      <c r="H123" s="3264"/>
      <c r="I123" s="3257"/>
      <c r="J123" s="2862"/>
    </row>
    <row r="124" spans="1:16" ht="12.75">
      <c r="A124" s="3329" t="s">
        <v>2807</v>
      </c>
      <c r="B124" s="3293"/>
      <c r="C124" s="3294"/>
      <c r="D124" s="3265">
        <f>H109</f>
        <v>0</v>
      </c>
      <c r="E124" s="3266"/>
      <c r="F124" s="3266"/>
      <c r="G124" s="3266"/>
      <c r="H124" s="3266"/>
      <c r="I124" s="3267"/>
      <c r="J124" s="2870"/>
    </row>
    <row r="125" spans="1:16" ht="12.75">
      <c r="A125" s="3268" t="str">
        <f>IF(项目基本情况!D5="房地产市场价值","——",MID(A112,3,LEN(A112)-2))</f>
        <v>房地产抵押价值</v>
      </c>
      <c r="B125" s="3269"/>
      <c r="C125" s="3269"/>
      <c r="D125" s="3256">
        <f ca="1">I110</f>
        <v>1301</v>
      </c>
      <c r="E125" s="3264"/>
      <c r="F125" s="3264"/>
      <c r="G125" s="3264"/>
      <c r="H125" s="3264"/>
      <c r="I125" s="3257"/>
      <c r="J125" s="2862"/>
    </row>
    <row r="126" spans="1:16" ht="12.75">
      <c r="A126" s="3253" t="s">
        <v>2807</v>
      </c>
      <c r="B126" s="3254"/>
      <c r="C126" s="3254"/>
      <c r="D126" s="3265">
        <f ca="1">I111</f>
        <v>67799</v>
      </c>
      <c r="E126" s="3266"/>
      <c r="F126" s="3266"/>
      <c r="G126" s="3266"/>
      <c r="H126" s="3266"/>
      <c r="I126" s="3267"/>
      <c r="J126" s="2870"/>
    </row>
    <row r="127" spans="1:16" ht="13.5" thickBot="1">
      <c r="A127" s="3268" t="str">
        <f>IF(项目基本情况!D5="房地产市场价值","——",MID(A114,3,LEN(A114)-2))</f>
        <v/>
      </c>
      <c r="B127" s="3269"/>
      <c r="C127" s="3269"/>
      <c r="D127" s="3301" t="str">
        <f>I112</f>
        <v>——</v>
      </c>
      <c r="E127" s="3302"/>
      <c r="F127" s="3302"/>
      <c r="G127" s="3302"/>
      <c r="H127" s="3302"/>
      <c r="I127" s="3357"/>
      <c r="J127" s="2862"/>
    </row>
    <row r="128" spans="1:16" ht="14.25" thickTop="1" thickBot="1">
      <c r="A128" s="3253" t="s">
        <v>2807</v>
      </c>
      <c r="B128" s="3254"/>
      <c r="C128" s="3255"/>
      <c r="D128" s="3321" t="str">
        <f>I113</f>
        <v>——</v>
      </c>
      <c r="E128" s="3321"/>
      <c r="F128" s="3321"/>
      <c r="G128" s="3321"/>
      <c r="H128" s="3321"/>
      <c r="I128" s="3321"/>
      <c r="J128" s="2870"/>
    </row>
    <row r="129" spans="1:10" ht="14.25" thickTop="1" thickBot="1">
      <c r="A129" s="3268" t="str">
        <f>IF(项目基本情况!D5="房地产市场价值","——",MID(F114,3,LEN(F114)-2))</f>
        <v>抵押净值</v>
      </c>
      <c r="B129" s="3269"/>
      <c r="C129" s="3256"/>
      <c r="D129" s="3272">
        <f ca="1">I114</f>
        <v>1299</v>
      </c>
      <c r="E129" s="3272"/>
      <c r="F129" s="3272"/>
      <c r="G129" s="3272"/>
      <c r="H129" s="3272"/>
      <c r="I129" s="3272"/>
      <c r="J129" s="2862"/>
    </row>
    <row r="130" spans="1:10" ht="14.25" thickTop="1" thickBot="1">
      <c r="A130" s="3277" t="s">
        <v>2807</v>
      </c>
      <c r="B130" s="3278"/>
      <c r="C130" s="3278"/>
      <c r="D130" s="3283">
        <f>H116</f>
        <v>0</v>
      </c>
      <c r="E130" s="3284"/>
      <c r="F130" s="3284"/>
      <c r="G130" s="3284"/>
      <c r="H130" s="3284"/>
      <c r="I130" s="3285"/>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251" t="str">
        <f>IF(B32="总价","（以上估价结果中楼面单价为总价除以建筑面积得出）","（以上估价结果中总价为楼面单价乘以建筑面积得出）")</f>
        <v>（以上估价结果中楼面单价为总价除以建筑面积得出）</v>
      </c>
      <c r="B132" s="3251"/>
      <c r="C132" s="3251"/>
      <c r="D132" s="3251"/>
      <c r="E132" s="3251"/>
      <c r="F132" s="3251"/>
      <c r="G132" s="3251"/>
      <c r="H132" s="3251"/>
      <c r="I132" s="3251"/>
      <c r="J132" s="2864"/>
    </row>
    <row r="133" spans="1:10" ht="21.75" customHeight="1">
      <c r="A133" s="1491" t="s">
        <v>1883</v>
      </c>
      <c r="B133" s="1492"/>
      <c r="C133" s="1493" t="s">
        <v>1884</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1885</v>
      </c>
      <c r="G139" s="1505"/>
      <c r="H139" s="1505"/>
      <c r="I139" s="1506" t="s">
        <v>1886</v>
      </c>
      <c r="J139" s="2874"/>
    </row>
    <row r="140" spans="1:10" ht="21.75" customHeight="1">
      <c r="A140" s="659"/>
      <c r="B140" s="1507" t="s">
        <v>1887</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1888</v>
      </c>
      <c r="J142" s="2874"/>
    </row>
    <row r="143" spans="1:10" ht="21.75" customHeight="1">
      <c r="A143" s="659"/>
      <c r="B143" s="1507" t="s">
        <v>1889</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1888</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1890</v>
      </c>
      <c r="B1" s="1461"/>
      <c r="C1" s="1461"/>
      <c r="D1" s="1461"/>
      <c r="E1" s="1461"/>
      <c r="F1" s="1461"/>
      <c r="G1" s="1461"/>
      <c r="H1" s="1461"/>
      <c r="I1" s="1461"/>
    </row>
    <row r="2" spans="1:15" ht="21.75" customHeight="1">
      <c r="A2" s="3389" t="s">
        <v>1891</v>
      </c>
      <c r="B2" s="3389"/>
      <c r="C2" s="3389"/>
      <c r="D2" s="3389"/>
      <c r="E2" s="3389"/>
      <c r="F2" s="3389"/>
      <c r="G2" s="3389"/>
      <c r="H2" s="3389"/>
      <c r="I2" s="3389"/>
      <c r="J2" s="2875"/>
    </row>
    <row r="3" spans="1:15" ht="12.75">
      <c r="A3" s="3309" t="s">
        <v>1719</v>
      </c>
      <c r="B3" s="3310"/>
      <c r="C3" s="3310"/>
      <c r="D3" s="3310"/>
      <c r="E3" s="3310"/>
      <c r="F3" s="3310"/>
      <c r="G3" s="3310"/>
      <c r="H3" s="3310"/>
      <c r="I3" s="3310"/>
      <c r="J3" s="2845"/>
    </row>
    <row r="4" spans="1:15" ht="14.25">
      <c r="A4" s="2713" t="s">
        <v>1720</v>
      </c>
      <c r="B4" s="2713" t="s">
        <v>1721</v>
      </c>
      <c r="C4" s="2714"/>
      <c r="D4" s="2714"/>
      <c r="E4" s="3255" t="s">
        <v>1892</v>
      </c>
      <c r="F4" s="3293"/>
      <c r="G4" s="3293"/>
      <c r="H4" s="3293"/>
      <c r="I4" s="3294"/>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86" t="s">
        <v>1723</v>
      </c>
      <c r="B5" s="3286">
        <v>25</v>
      </c>
      <c r="C5" s="3295"/>
      <c r="D5" s="3308"/>
      <c r="E5" s="12" t="s">
        <v>1724</v>
      </c>
      <c r="F5" s="2089"/>
      <c r="G5" s="2089"/>
      <c r="H5" s="2089"/>
      <c r="I5" s="2084"/>
      <c r="J5" s="2846"/>
    </row>
    <row r="6" spans="1:15" ht="12.75">
      <c r="A6" s="3286"/>
      <c r="B6" s="3286"/>
      <c r="C6" s="3311"/>
      <c r="D6" s="3308"/>
      <c r="E6" s="12" t="s">
        <v>1725</v>
      </c>
      <c r="F6" s="2089"/>
      <c r="G6" s="2089"/>
      <c r="H6" s="2089"/>
      <c r="I6" s="2084"/>
      <c r="J6" s="2846"/>
    </row>
    <row r="7" spans="1:15" ht="12.75">
      <c r="A7" s="3286"/>
      <c r="B7" s="3286"/>
      <c r="C7" s="3296"/>
      <c r="D7" s="3308"/>
      <c r="E7" s="12" t="s">
        <v>1726</v>
      </c>
      <c r="F7" s="2089"/>
      <c r="G7" s="2089"/>
      <c r="H7" s="2089"/>
      <c r="I7" s="2084"/>
      <c r="J7" s="2846"/>
    </row>
    <row r="8" spans="1:15" ht="12.75">
      <c r="A8" s="3286" t="s">
        <v>1727</v>
      </c>
      <c r="B8" s="3286">
        <v>15</v>
      </c>
      <c r="C8" s="3295"/>
      <c r="D8" s="3308"/>
      <c r="E8" s="12" t="s">
        <v>1728</v>
      </c>
      <c r="F8" s="2089"/>
      <c r="G8" s="2089"/>
      <c r="H8" s="2089"/>
      <c r="I8" s="2084"/>
      <c r="J8" s="2846"/>
    </row>
    <row r="9" spans="1:15" ht="12.75">
      <c r="A9" s="3286"/>
      <c r="B9" s="3286"/>
      <c r="C9" s="3296"/>
      <c r="D9" s="3308"/>
      <c r="E9" s="12" t="s">
        <v>1729</v>
      </c>
      <c r="F9" s="2089"/>
      <c r="G9" s="2089"/>
      <c r="H9" s="2089"/>
      <c r="I9" s="2084"/>
      <c r="J9" s="2846"/>
    </row>
    <row r="10" spans="1:15" ht="12.75">
      <c r="A10" s="3286" t="s">
        <v>1730</v>
      </c>
      <c r="B10" s="3286">
        <v>15</v>
      </c>
      <c r="C10" s="3295"/>
      <c r="D10" s="3308"/>
      <c r="E10" s="12" t="s">
        <v>1731</v>
      </c>
      <c r="F10" s="2089"/>
      <c r="G10" s="2089"/>
      <c r="H10" s="2089"/>
      <c r="I10" s="2084"/>
      <c r="J10" s="2846"/>
    </row>
    <row r="11" spans="1:15" ht="12.75">
      <c r="A11" s="3286"/>
      <c r="B11" s="3286"/>
      <c r="C11" s="3296"/>
      <c r="D11" s="3308"/>
      <c r="E11" s="12" t="s">
        <v>1732</v>
      </c>
      <c r="F11" s="2089"/>
      <c r="G11" s="2089"/>
      <c r="H11" s="2089"/>
      <c r="I11" s="2084"/>
      <c r="J11" s="2846"/>
    </row>
    <row r="12" spans="1:15" ht="12.75">
      <c r="A12" s="3286" t="s">
        <v>1733</v>
      </c>
      <c r="B12" s="3286">
        <v>15</v>
      </c>
      <c r="C12" s="3295"/>
      <c r="D12" s="3308"/>
      <c r="E12" s="12" t="s">
        <v>1734</v>
      </c>
      <c r="F12" s="2089"/>
      <c r="G12" s="2089"/>
      <c r="H12" s="2089"/>
      <c r="I12" s="2084"/>
      <c r="J12" s="2846"/>
    </row>
    <row r="13" spans="1:15" ht="12.75">
      <c r="A13" s="3286"/>
      <c r="B13" s="3286"/>
      <c r="C13" s="3296"/>
      <c r="D13" s="3308"/>
      <c r="E13" s="12" t="s">
        <v>1735</v>
      </c>
      <c r="F13" s="2089"/>
      <c r="G13" s="2089"/>
      <c r="H13" s="2089"/>
      <c r="I13" s="2084"/>
      <c r="J13" s="2846"/>
    </row>
    <row r="14" spans="1:15" ht="12.75">
      <c r="A14" s="3286" t="s">
        <v>1736</v>
      </c>
      <c r="B14" s="3286">
        <v>30</v>
      </c>
      <c r="C14" s="3295"/>
      <c r="D14" s="3308"/>
      <c r="E14" s="12" t="s">
        <v>1737</v>
      </c>
      <c r="F14" s="2089"/>
      <c r="G14" s="2089"/>
      <c r="H14" s="2089"/>
      <c r="I14" s="2084"/>
      <c r="J14" s="2846"/>
    </row>
    <row r="15" spans="1:15" ht="12.75">
      <c r="A15" s="3286"/>
      <c r="B15" s="3286"/>
      <c r="C15" s="3311"/>
      <c r="D15" s="3308"/>
      <c r="E15" s="12" t="s">
        <v>1738</v>
      </c>
      <c r="F15" s="2089"/>
      <c r="G15" s="2089"/>
      <c r="H15" s="2089"/>
      <c r="I15" s="2084"/>
      <c r="J15" s="2846"/>
    </row>
    <row r="16" spans="1:15" ht="12.75">
      <c r="A16" s="3286"/>
      <c r="B16" s="3286"/>
      <c r="C16" s="3296"/>
      <c r="D16" s="3308"/>
      <c r="E16" s="12" t="s">
        <v>1739</v>
      </c>
      <c r="F16" s="2089"/>
      <c r="G16" s="2089"/>
      <c r="H16" s="2089"/>
      <c r="I16" s="2084"/>
      <c r="J16" s="2846"/>
    </row>
    <row r="17" spans="1:36" ht="15">
      <c r="A17" s="2715" t="s">
        <v>1740</v>
      </c>
      <c r="B17" s="2094"/>
      <c r="C17" s="2716">
        <f>SUM(C5:C16)</f>
        <v>0</v>
      </c>
      <c r="D17" s="2716">
        <f>SUM(D5:D16)</f>
        <v>0</v>
      </c>
      <c r="E17" s="2564"/>
      <c r="F17" s="2564"/>
      <c r="G17" s="2564"/>
      <c r="H17" s="2564"/>
      <c r="I17" s="2564"/>
      <c r="J17" s="2847"/>
    </row>
    <row r="18" spans="1:36" ht="32.450000000000003" customHeight="1" thickBot="1">
      <c r="A18" s="2717" t="s">
        <v>1741</v>
      </c>
      <c r="B18" s="2718"/>
      <c r="C18" s="2719" t="e">
        <f>ROUND(C17/SUM(C17:D17),2)</f>
        <v>#DIV/0!</v>
      </c>
      <c r="D18" s="2719" t="e">
        <f>1-C18</f>
        <v>#DIV/0!</v>
      </c>
      <c r="E18" s="3304" t="s">
        <v>2826</v>
      </c>
      <c r="F18" s="3305"/>
      <c r="G18" s="3305"/>
      <c r="H18" s="3305"/>
      <c r="I18" s="3305"/>
      <c r="J18" s="2847"/>
    </row>
    <row r="19" spans="1:36" ht="15">
      <c r="A19" s="2720" t="s">
        <v>1742</v>
      </c>
      <c r="B19" s="2721" t="s">
        <v>1743</v>
      </c>
      <c r="C19" s="2722" t="e">
        <f ca="1">SUMIF(INDIRECT("'"&amp;C4&amp;"'"&amp;"!A:A"),'结果表 (1修多)'!B19,INDIRECT("'"&amp;C4&amp;"'"&amp;"!B:B"))</f>
        <v>#REF!</v>
      </c>
      <c r="D19" s="2723" t="e">
        <f ca="1">SUMIF(INDIRECT("'"&amp;D4&amp;"'"&amp;"!A:A"),'结果表 (1修多)'!B19,INDIRECT("'"&amp;D4&amp;"'"&amp;"!B:B"))</f>
        <v>#REF!</v>
      </c>
      <c r="E19" s="2720" t="s">
        <v>1744</v>
      </c>
      <c r="F19" s="2721" t="s">
        <v>1743</v>
      </c>
      <c r="G19" s="2724" t="e">
        <f ca="1">ROUND(C19*$C$18+D19*$D$18,0)</f>
        <v>#REF!</v>
      </c>
      <c r="H19" s="2725" t="str">
        <f>'数据-取费表'!B3</f>
        <v>万元</v>
      </c>
      <c r="I19" s="2564"/>
      <c r="J19" s="2847"/>
    </row>
    <row r="20" spans="1:36" ht="15">
      <c r="A20" s="2726"/>
      <c r="B20" s="1694" t="s">
        <v>1745</v>
      </c>
      <c r="C20" s="1919" t="e">
        <f ca="1">SUMIF(INDIRECT("'"&amp;C4&amp;"'"&amp;"!A:A"),'结果表 (1修多)'!B20,INDIRECT("'"&amp;C4&amp;"'"&amp;"!B:B"))</f>
        <v>#REF!</v>
      </c>
      <c r="D20" s="1922" t="e">
        <f ca="1">SUMIF(INDIRECT("'"&amp;D4&amp;"'"&amp;"!A:A"),'结果表 (1修多)'!B20,INDIRECT("'"&amp;D4&amp;"'"&amp;"!B:B"))</f>
        <v>#REF!</v>
      </c>
      <c r="E20" s="2726"/>
      <c r="F20" s="1694" t="s">
        <v>1745</v>
      </c>
      <c r="G20" s="2093" t="e">
        <f ca="1">ROUND(C20*$C$18+D20*$D$18,0)</f>
        <v>#REF!</v>
      </c>
      <c r="H20" s="2727" t="s">
        <v>1746</v>
      </c>
      <c r="I20" s="2564"/>
      <c r="J20" s="2847"/>
    </row>
    <row r="21" spans="1:36" ht="15" customHeight="1" thickBot="1">
      <c r="A21" s="2728"/>
      <c r="B21" s="2729"/>
      <c r="C21" s="2729"/>
      <c r="D21" s="2730"/>
      <c r="E21" s="2728"/>
      <c r="F21" s="2729"/>
      <c r="G21" s="2731"/>
      <c r="H21" s="2732"/>
      <c r="I21" s="2564"/>
      <c r="J21" s="2847"/>
    </row>
    <row r="22" spans="1:36" ht="15" thickBot="1">
      <c r="A22" s="2733" t="s">
        <v>1747</v>
      </c>
      <c r="B22" s="2734"/>
      <c r="C22" s="2648"/>
      <c r="D22" s="2735" t="e">
        <f ca="1">IF(C19&lt;D19,D19/C19-1,C19/D19-1)</f>
        <v>#REF!</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297" t="s">
        <v>1748</v>
      </c>
      <c r="B24" s="2721" t="s">
        <v>1743</v>
      </c>
      <c r="C24" s="2724">
        <f>D30</f>
        <v>0</v>
      </c>
      <c r="D24" s="2676"/>
      <c r="E24" s="947"/>
      <c r="F24" s="947"/>
      <c r="G24" s="947"/>
      <c r="H24" s="947"/>
      <c r="I24" s="947"/>
      <c r="J24" s="2847"/>
    </row>
    <row r="25" spans="1:36" ht="21.75" customHeight="1">
      <c r="A25" s="3318"/>
      <c r="B25" s="1694" t="s">
        <v>1745</v>
      </c>
      <c r="C25" s="2736">
        <f>IF(B30=0,0,C30)</f>
        <v>0</v>
      </c>
      <c r="D25" s="2737"/>
      <c r="E25" s="947"/>
      <c r="F25" s="947"/>
      <c r="G25" s="947"/>
      <c r="H25" s="947"/>
      <c r="I25" s="947"/>
      <c r="J25" s="2847"/>
    </row>
    <row r="26" spans="1:36" ht="13.5" customHeight="1">
      <c r="A26" s="2738" t="s">
        <v>1749</v>
      </c>
      <c r="B26" s="2739" t="s">
        <v>1750</v>
      </c>
      <c r="C26" s="2739" t="s">
        <v>1751</v>
      </c>
      <c r="D26" s="2740" t="s">
        <v>1752</v>
      </c>
      <c r="E26" s="947"/>
      <c r="F26" s="947"/>
      <c r="G26" s="947"/>
      <c r="H26" s="947"/>
      <c r="I26" s="947"/>
      <c r="J26" s="2847"/>
    </row>
    <row r="27" spans="1:36" ht="14.25">
      <c r="A27" s="2741" t="s">
        <v>1893</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1894</v>
      </c>
      <c r="B30" s="2775"/>
      <c r="C30" s="2775"/>
      <c r="D30" s="2775"/>
      <c r="E30" s="2742" t="s">
        <v>2830</v>
      </c>
      <c r="F30" s="2564"/>
      <c r="G30" s="2564"/>
      <c r="H30" s="2564"/>
      <c r="I30" s="2564"/>
      <c r="J30" s="2847"/>
    </row>
    <row r="31" spans="1:36" s="2840" customFormat="1" ht="27.6" customHeight="1" thickTop="1" thickBot="1">
      <c r="A31" s="2835"/>
      <c r="B31" s="2836"/>
      <c r="C31" s="2836"/>
      <c r="D31" s="2836"/>
      <c r="E31" s="2836"/>
      <c r="F31" s="2836"/>
      <c r="G31" s="2836"/>
      <c r="H31" s="2836"/>
      <c r="I31" s="2837" t="s">
        <v>2831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66" t="s">
        <v>1895</v>
      </c>
      <c r="B32" s="3366"/>
      <c r="C32" s="3366"/>
      <c r="D32" s="3366"/>
      <c r="E32" s="3366"/>
      <c r="F32" s="3366"/>
      <c r="G32" s="3366"/>
      <c r="H32" s="3366"/>
      <c r="I32" s="3366"/>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1896</v>
      </c>
      <c r="C33" s="2777">
        <f>典型户型修正!R27</f>
        <v>0</v>
      </c>
      <c r="D33" s="2564" t="s">
        <v>1897</v>
      </c>
      <c r="E33" s="947"/>
      <c r="F33" s="947"/>
      <c r="G33" s="947"/>
      <c r="H33" s="947"/>
      <c r="I33" s="947"/>
      <c r="J33" s="2847"/>
    </row>
    <row r="34" spans="1:16" ht="15">
      <c r="A34" s="1512" t="s">
        <v>1898</v>
      </c>
      <c r="B34" s="2778" t="s">
        <v>1899</v>
      </c>
      <c r="C34" s="2779">
        <f>典型户型修正!B2</f>
        <v>0</v>
      </c>
      <c r="D34" s="2780" t="str">
        <f>IF('数据-取费表'!B3="万元","万元","元")</f>
        <v>万元</v>
      </c>
      <c r="E34" s="947"/>
      <c r="F34" s="947"/>
      <c r="G34" s="947"/>
      <c r="H34" s="947"/>
      <c r="I34" s="947"/>
      <c r="J34" s="2847"/>
    </row>
    <row r="35" spans="1:16" ht="15.75" thickBot="1">
      <c r="A35" s="1513"/>
      <c r="B35" s="2781" t="s">
        <v>1900</v>
      </c>
      <c r="C35" s="2730">
        <f>典型户型修正!B3</f>
        <v>0</v>
      </c>
      <c r="D35" s="2564" t="s">
        <v>1901</v>
      </c>
      <c r="E35" s="947"/>
      <c r="F35" s="947"/>
      <c r="G35" s="947"/>
      <c r="H35" s="947"/>
      <c r="I35" s="947"/>
      <c r="J35" s="2847"/>
    </row>
    <row r="36" spans="1:16" ht="15">
      <c r="A36" s="1514"/>
      <c r="B36" s="1468" t="s">
        <v>1902</v>
      </c>
      <c r="C36" s="2782">
        <f>IF('数据-取费表'!B3="万元",典型户型修正!V25,典型户型修正!U25)</f>
        <v>0</v>
      </c>
      <c r="D36" s="2564" t="str">
        <f>D34</f>
        <v>万元</v>
      </c>
      <c r="E36" s="947"/>
      <c r="F36" s="947"/>
      <c r="G36" s="947"/>
      <c r="H36" s="947"/>
      <c r="I36" s="947"/>
      <c r="J36" s="2847"/>
    </row>
    <row r="37" spans="1:16" ht="15.75" thickBot="1">
      <c r="A37" s="1467"/>
      <c r="B37" s="1469" t="s">
        <v>1903</v>
      </c>
      <c r="C37" s="2783">
        <f>IF('数据-取费表'!B3="万元",典型户型修正!Y25,典型户型修正!X25)</f>
        <v>0</v>
      </c>
      <c r="D37" s="2564" t="str">
        <f>D34</f>
        <v>万元</v>
      </c>
      <c r="E37" s="947"/>
      <c r="F37" s="947"/>
      <c r="G37" s="947"/>
      <c r="H37" s="947"/>
      <c r="I37" s="947"/>
      <c r="J37" s="2847"/>
    </row>
    <row r="38" spans="1:16" ht="15.75" thickBot="1">
      <c r="A38" s="3297" t="s">
        <v>1904</v>
      </c>
      <c r="B38" s="1468" t="s">
        <v>1905</v>
      </c>
      <c r="C38" s="2757"/>
      <c r="D38" s="2758"/>
      <c r="E38" s="1680"/>
      <c r="F38" s="1680"/>
      <c r="G38" s="947"/>
      <c r="H38" s="947"/>
      <c r="I38" s="947"/>
      <c r="J38" s="2847"/>
    </row>
    <row r="39" spans="1:16" ht="15.75" thickBot="1">
      <c r="A39" s="3298"/>
      <c r="B39" s="2094" t="s">
        <v>1906</v>
      </c>
      <c r="C39" s="2759"/>
      <c r="D39" s="1311"/>
      <c r="E39" s="1311"/>
      <c r="F39" s="1680"/>
      <c r="G39" s="1311"/>
      <c r="H39" s="1311"/>
      <c r="I39" s="1311"/>
      <c r="J39" s="2851"/>
    </row>
    <row r="40" spans="1:16" ht="15.75" thickBot="1">
      <c r="A40" s="3299"/>
      <c r="B40" s="1469" t="s">
        <v>1907</v>
      </c>
      <c r="C40" s="2760"/>
      <c r="D40" s="2761" t="s">
        <v>1908</v>
      </c>
      <c r="E40" s="1311"/>
      <c r="F40" s="1680"/>
      <c r="G40" s="1311"/>
      <c r="H40" s="1311"/>
      <c r="I40" s="1311"/>
      <c r="J40" s="2851"/>
    </row>
    <row r="41" spans="1:16" ht="15">
      <c r="A41" s="2726" t="s">
        <v>1909</v>
      </c>
      <c r="B41" s="2762" t="s">
        <v>1910</v>
      </c>
      <c r="C41" s="2763" t="s">
        <v>1911</v>
      </c>
      <c r="D41" s="2763" t="s">
        <v>1912</v>
      </c>
      <c r="E41" s="2764" t="s">
        <v>1913</v>
      </c>
      <c r="F41" s="1680"/>
      <c r="G41" s="1311"/>
      <c r="H41" s="1311"/>
      <c r="I41" s="1311"/>
      <c r="J41" s="2851"/>
    </row>
    <row r="42" spans="1:16" ht="14.25">
      <c r="A42" s="2765" t="s">
        <v>1914</v>
      </c>
      <c r="B42" s="2766"/>
      <c r="C42" s="2767"/>
      <c r="D42" s="2767"/>
      <c r="E42" s="2768"/>
      <c r="F42" s="1680"/>
      <c r="G42" s="1311"/>
      <c r="H42" s="1311"/>
      <c r="I42" s="1311"/>
      <c r="J42" s="2851"/>
    </row>
    <row r="43" spans="1:16" ht="14.25">
      <c r="A43" s="2765" t="s">
        <v>1915</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1916</v>
      </c>
      <c r="B46" s="1472"/>
      <c r="C46" s="1472"/>
      <c r="D46" s="2784"/>
      <c r="E46" s="2784"/>
      <c r="F46" s="2784"/>
      <c r="G46" s="2784"/>
      <c r="H46" s="2784"/>
      <c r="I46" s="2841" t="s">
        <v>2825</v>
      </c>
      <c r="J46" s="2877"/>
      <c r="K46" s="1475" t="s">
        <v>1771</v>
      </c>
      <c r="L46" s="1476"/>
      <c r="M46" s="1476"/>
      <c r="N46" s="1476"/>
      <c r="O46" s="1476"/>
      <c r="P46" s="1476"/>
    </row>
    <row r="47" spans="1:16" ht="14.25" customHeight="1" thickBot="1">
      <c r="A47" s="3301" t="s">
        <v>1917</v>
      </c>
      <c r="B47" s="3302"/>
      <c r="C47" s="3261"/>
      <c r="D47" s="246">
        <f>ROUND(I104*F47,0)</f>
        <v>0</v>
      </c>
      <c r="E47" s="1542" t="s">
        <v>1918</v>
      </c>
      <c r="F47" s="2562">
        <v>1</v>
      </c>
      <c r="G47" s="2563" t="s">
        <v>1919</v>
      </c>
      <c r="H47" s="947"/>
      <c r="I47" s="947"/>
      <c r="J47" s="2847"/>
      <c r="K47" s="3391" t="s">
        <v>1775</v>
      </c>
      <c r="L47" s="3391"/>
      <c r="M47" s="3391"/>
      <c r="N47" s="3391"/>
      <c r="O47" s="3391"/>
      <c r="P47" s="3391"/>
    </row>
    <row r="48" spans="1:16" ht="14.25" customHeight="1">
      <c r="A48" s="3290" t="s">
        <v>1776</v>
      </c>
      <c r="B48" s="3291"/>
      <c r="C48" s="3291"/>
      <c r="D48" s="3291"/>
      <c r="E48" s="3291"/>
      <c r="F48" s="3291"/>
      <c r="G48" s="3292"/>
      <c r="H48" s="2979"/>
      <c r="I48" s="947"/>
      <c r="J48" s="2847"/>
      <c r="K48" s="2514">
        <v>1</v>
      </c>
      <c r="L48" s="3386" t="s">
        <v>1777</v>
      </c>
      <c r="M48" s="3386"/>
      <c r="N48" s="3392"/>
      <c r="O48" s="3392"/>
      <c r="P48" s="3392"/>
    </row>
    <row r="49" spans="1:17" ht="12" customHeight="1">
      <c r="A49" s="38" t="s">
        <v>1778</v>
      </c>
      <c r="B49" s="39"/>
      <c r="C49" s="40"/>
      <c r="D49" s="1099" t="s">
        <v>1779</v>
      </c>
      <c r="E49" s="235" t="s">
        <v>1780</v>
      </c>
      <c r="F49" s="41" t="s">
        <v>1781</v>
      </c>
      <c r="G49" s="2565" t="s">
        <v>1782</v>
      </c>
      <c r="H49" s="2979"/>
      <c r="I49" s="947"/>
      <c r="J49" s="2847"/>
      <c r="K49" s="2514">
        <v>2</v>
      </c>
      <c r="L49" s="3386" t="s">
        <v>1783</v>
      </c>
      <c r="M49" s="3386"/>
      <c r="N49" s="3393">
        <f>'数据-取费表'!B2</f>
        <v>44195</v>
      </c>
      <c r="O49" s="3393"/>
      <c r="P49" s="3393"/>
    </row>
    <row r="50" spans="1:17" ht="25.5">
      <c r="A50" s="3300" t="s">
        <v>1784</v>
      </c>
      <c r="B50" s="3254"/>
      <c r="C50" s="3254"/>
      <c r="D50" s="12">
        <f>IF(H50="情况1",0,IF(H50="情况2",D54,IF(H50="情况3",D55,IF(H50="情况4",D56))))</f>
        <v>0</v>
      </c>
      <c r="E50" s="2092" t="str">
        <f>IF(H50="情况4","(销售额-原购置价)×税（费）率","销售额×税（费）率")</f>
        <v>销售额×税（费）率</v>
      </c>
      <c r="F50" s="2566">
        <f>IF(H50="情况1","免征",'数据-取费表'!E29)</f>
        <v>5.6000000000000001E-2</v>
      </c>
      <c r="G50" s="2567" t="s">
        <v>1785</v>
      </c>
      <c r="H50" s="2568" t="s">
        <v>1786</v>
      </c>
      <c r="I50" s="2979"/>
      <c r="J50" s="2854"/>
      <c r="K50" s="2514">
        <v>3</v>
      </c>
      <c r="L50" s="3386" t="s">
        <v>1787</v>
      </c>
      <c r="M50" s="3386"/>
      <c r="N50" s="3387">
        <f>I104</f>
        <v>0</v>
      </c>
      <c r="O50" s="3387"/>
      <c r="P50" s="3387"/>
    </row>
    <row r="51" spans="1:17" ht="25.5" customHeight="1">
      <c r="A51" s="2091" t="s">
        <v>1788</v>
      </c>
      <c r="B51" s="3293" t="s">
        <v>1789</v>
      </c>
      <c r="C51" s="3293"/>
      <c r="D51" s="2569">
        <v>0</v>
      </c>
      <c r="E51" s="261" t="s">
        <v>1790</v>
      </c>
      <c r="F51" s="2570" t="s">
        <v>48</v>
      </c>
      <c r="G51" s="3354"/>
      <c r="H51" s="2571" t="s">
        <v>2750</v>
      </c>
      <c r="I51" s="2572"/>
      <c r="J51" s="2855"/>
      <c r="K51" s="2514">
        <v>4</v>
      </c>
      <c r="L51" s="3386" t="str">
        <f>IF(项目基本情况!F5="房地产抵押价值","房地产抵押价值","抵押担保权已注销时的房地产抵押价值")</f>
        <v>房地产抵押价值</v>
      </c>
      <c r="M51" s="3386"/>
      <c r="N51" s="3387">
        <f>IF(项目基本情况!F5="房地产抵押价值",I112,I114)</f>
        <v>0</v>
      </c>
      <c r="O51" s="3387"/>
      <c r="P51" s="3387"/>
    </row>
    <row r="52" spans="1:17" ht="25.5" customHeight="1">
      <c r="A52" s="2081"/>
      <c r="B52" s="3293" t="s">
        <v>1791</v>
      </c>
      <c r="C52" s="3293"/>
      <c r="D52" s="2573"/>
      <c r="E52" s="269"/>
      <c r="F52" s="2570"/>
      <c r="G52" s="3355"/>
      <c r="H52" s="2574" t="s">
        <v>2751</v>
      </c>
      <c r="I52" s="2572"/>
      <c r="J52" s="2855"/>
      <c r="K52" s="3386" t="s">
        <v>1792</v>
      </c>
      <c r="L52" s="3386"/>
      <c r="M52" s="3386"/>
      <c r="N52" s="3386"/>
      <c r="O52" s="3386"/>
      <c r="P52" s="3386"/>
    </row>
    <row r="53" spans="1:17" ht="20.45" customHeight="1">
      <c r="A53" s="2575"/>
      <c r="B53" s="3293" t="s">
        <v>1793</v>
      </c>
      <c r="C53" s="3293"/>
      <c r="D53" s="1099"/>
      <c r="E53" s="264"/>
      <c r="F53" s="2570"/>
      <c r="G53" s="3356"/>
      <c r="H53" s="2574" t="s">
        <v>2752</v>
      </c>
      <c r="I53" s="2572"/>
      <c r="J53" s="2855"/>
      <c r="K53" s="2515" t="s">
        <v>1794</v>
      </c>
      <c r="L53" s="3386" t="s">
        <v>1795</v>
      </c>
      <c r="M53" s="3386"/>
      <c r="N53" s="2515" t="s">
        <v>1796</v>
      </c>
      <c r="O53" s="2515" t="s">
        <v>1797</v>
      </c>
      <c r="P53" s="2515" t="s">
        <v>1798</v>
      </c>
    </row>
    <row r="54" spans="1:17" ht="24" customHeight="1">
      <c r="A54" s="2082" t="s">
        <v>1799</v>
      </c>
      <c r="B54" s="3293" t="s">
        <v>1800</v>
      </c>
      <c r="C54" s="3293"/>
      <c r="D54" s="1099">
        <f>ROUND(D47*'数据-取费表'!E29/(1+'数据-取费表'!F30),0)</f>
        <v>0</v>
      </c>
      <c r="E54" s="2092" t="s">
        <v>1801</v>
      </c>
      <c r="F54" s="2576">
        <f>'数据-取费表'!E29</f>
        <v>5.6000000000000001E-2</v>
      </c>
      <c r="G54" s="2577"/>
      <c r="H54" s="947"/>
      <c r="I54" s="2980"/>
      <c r="J54" s="2855"/>
      <c r="K54" s="2514">
        <v>1</v>
      </c>
      <c r="L54" s="3382" t="s">
        <v>1802</v>
      </c>
      <c r="M54" s="3382"/>
      <c r="N54" s="2516">
        <f>D50</f>
        <v>0</v>
      </c>
      <c r="O54" s="2514" t="str">
        <f>E50</f>
        <v>销售额×税（费）率</v>
      </c>
      <c r="P54" s="2517">
        <f>F50</f>
        <v>5.6000000000000001E-2</v>
      </c>
    </row>
    <row r="55" spans="1:17" ht="12" customHeight="1">
      <c r="A55" s="2082" t="s">
        <v>1803</v>
      </c>
      <c r="B55" s="3255" t="s">
        <v>2844</v>
      </c>
      <c r="C55" s="3294"/>
      <c r="D55" s="1099">
        <f>ROUND(D47*'数据-取费表'!E29/(1+'数据-取费表'!F30),0)</f>
        <v>0</v>
      </c>
      <c r="E55" s="2092" t="s">
        <v>1801</v>
      </c>
      <c r="F55" s="2576">
        <f>'数据-取费表'!E29</f>
        <v>5.6000000000000001E-2</v>
      </c>
      <c r="G55" s="2577"/>
      <c r="H55" s="947"/>
      <c r="I55" s="2980"/>
      <c r="J55" s="2855"/>
      <c r="K55" s="2514">
        <v>2</v>
      </c>
      <c r="L55" s="3382" t="s">
        <v>1804</v>
      </c>
      <c r="M55" s="3382"/>
      <c r="N55" s="2516">
        <f t="shared" ref="N55:P56" si="1">D57</f>
        <v>0</v>
      </c>
      <c r="O55" s="2514" t="str">
        <f t="shared" si="1"/>
        <v>销售额×税（费）率</v>
      </c>
      <c r="P55" s="2517">
        <f t="shared" si="1"/>
        <v>5.0000000000000001E-4</v>
      </c>
    </row>
    <row r="56" spans="1:17" ht="12" customHeight="1">
      <c r="A56" s="2082" t="s">
        <v>1805</v>
      </c>
      <c r="B56" s="3255" t="s">
        <v>2845</v>
      </c>
      <c r="C56" s="3294"/>
      <c r="D56" s="1099">
        <f>C70</f>
        <v>0</v>
      </c>
      <c r="E56" s="264" t="s">
        <v>1806</v>
      </c>
      <c r="F56" s="2576">
        <f>'数据-取费表'!E29</f>
        <v>5.6000000000000001E-2</v>
      </c>
      <c r="G56" s="2577"/>
      <c r="H56" s="2981"/>
      <c r="I56" s="2980"/>
      <c r="J56" s="2855"/>
      <c r="K56" s="2514">
        <v>3</v>
      </c>
      <c r="L56" s="3382" t="s">
        <v>1807</v>
      </c>
      <c r="M56" s="3382"/>
      <c r="N56" s="2516">
        <f t="shared" si="1"/>
        <v>0</v>
      </c>
      <c r="O56" s="2514" t="str">
        <f t="shared" si="1"/>
        <v>增值额×税（费）率</v>
      </c>
      <c r="P56" s="2518" t="str">
        <f t="shared" si="1"/>
        <v>——</v>
      </c>
    </row>
    <row r="57" spans="1:17" ht="24" customHeight="1">
      <c r="A57" s="3253" t="s">
        <v>1808</v>
      </c>
      <c r="B57" s="3254"/>
      <c r="C57" s="3254"/>
      <c r="D57" s="12">
        <f>IF(H57="个人住宅",0,ROUND(D47*I57,0))</f>
        <v>0</v>
      </c>
      <c r="E57" s="2092" t="s">
        <v>1809</v>
      </c>
      <c r="F57" s="2576">
        <f>IF(H57="正常",I57,"免征")</f>
        <v>5.0000000000000001E-4</v>
      </c>
      <c r="G57" s="2577"/>
      <c r="H57" s="2568" t="s">
        <v>1810</v>
      </c>
      <c r="I57" s="74">
        <f>'数据-取费表'!E37</f>
        <v>5.0000000000000001E-4</v>
      </c>
      <c r="J57" s="2855"/>
      <c r="K57" s="2514">
        <f>IF(H61="非个人房产","",4)</f>
        <v>4</v>
      </c>
      <c r="L57" s="3382" t="str">
        <f>IF(H61="非个人房产","——","个人所得税")</f>
        <v>个人所得税</v>
      </c>
      <c r="M57" s="3382"/>
      <c r="N57" s="2519">
        <f>D61</f>
        <v>0</v>
      </c>
      <c r="O57" s="2520" t="str">
        <f>E61</f>
        <v>销售额×税（费）率</v>
      </c>
      <c r="P57" s="2521">
        <f>F61</f>
        <v>0.01</v>
      </c>
    </row>
    <row r="58" spans="1:17" ht="24.75">
      <c r="A58" s="3253" t="s">
        <v>1811</v>
      </c>
      <c r="B58" s="3254"/>
      <c r="C58" s="3254"/>
      <c r="D58" s="12">
        <f>IF(H58="个人住宅",D59,D60)</f>
        <v>0</v>
      </c>
      <c r="E58" s="2092" t="s">
        <v>1812</v>
      </c>
      <c r="F58" s="2576" t="str">
        <f>IF(H58="正常",F60,"免征")</f>
        <v>——</v>
      </c>
      <c r="G58" s="2578" t="s">
        <v>1813</v>
      </c>
      <c r="H58" s="2579" t="s">
        <v>1810</v>
      </c>
      <c r="I58" s="2982"/>
      <c r="J58" s="2855"/>
      <c r="K58" s="2514" t="str">
        <f>IF(项目基本情况!I6="上海银行",IF(K57="",4,K57+1),"")</f>
        <v/>
      </c>
      <c r="L58" s="3384" t="str">
        <f>IF(项目基本情况!I6="上海银行","其他处置费用","")</f>
        <v/>
      </c>
      <c r="M58" s="3385"/>
      <c r="N58" s="2516" t="str">
        <f>IF(项目基本情况!I6="上海银行",N71,"")</f>
        <v/>
      </c>
      <c r="O58" s="3384" t="str">
        <f>IF(项目基本情况!I6="上海银行","包含处置中涉及的律师、诉讼、拍卖、评估等费用","")</f>
        <v/>
      </c>
      <c r="P58" s="3388"/>
    </row>
    <row r="59" spans="1:17" ht="12.75">
      <c r="A59" s="2082" t="s">
        <v>1788</v>
      </c>
      <c r="B59" s="3255" t="s">
        <v>1814</v>
      </c>
      <c r="C59" s="3294"/>
      <c r="D59" s="2569">
        <v>0</v>
      </c>
      <c r="E59" s="261" t="s">
        <v>1790</v>
      </c>
      <c r="F59" s="235"/>
      <c r="G59" s="2577"/>
      <c r="H59" s="2982"/>
      <c r="I59" s="2982"/>
      <c r="J59" s="2855"/>
      <c r="K59" s="3382">
        <f>IF(AND(K57="",K58=""),4,IF(项目基本情况!I6="上海银行",K58+1,K57+1))</f>
        <v>5</v>
      </c>
      <c r="L59" s="3382" t="s">
        <v>1815</v>
      </c>
      <c r="M59" s="2522" t="s">
        <v>1816</v>
      </c>
      <c r="N59" s="2523"/>
      <c r="O59" s="2524">
        <f>SUMIF(N54:N58,"&lt;9e307")</f>
        <v>0</v>
      </c>
      <c r="P59" s="2525"/>
      <c r="Q59" s="1306" t="e">
        <f>O59/N51</f>
        <v>#DIV/0!</v>
      </c>
    </row>
    <row r="60" spans="1:17" ht="24.75">
      <c r="A60" s="2082" t="s">
        <v>1799</v>
      </c>
      <c r="B60" s="3255" t="s">
        <v>1817</v>
      </c>
      <c r="C60" s="3293"/>
      <c r="D60" s="12">
        <f>IF(H60="转让取得",C83,C99)</f>
        <v>0</v>
      </c>
      <c r="E60" s="2092" t="s">
        <v>1812</v>
      </c>
      <c r="F60" s="235" t="s">
        <v>48</v>
      </c>
      <c r="G60" s="2577"/>
      <c r="H60" s="2579" t="s">
        <v>1818</v>
      </c>
      <c r="I60" s="2982"/>
      <c r="J60" s="2855"/>
      <c r="K60" s="3382"/>
      <c r="L60" s="3382"/>
      <c r="M60" s="2522" t="s">
        <v>1819</v>
      </c>
      <c r="N60" s="2526"/>
      <c r="O60" s="2527" t="str">
        <f>IF(H19="元",NUMBERSTRING(INT(O59),2)&amp;"元整",NUMBERSTRING(INT(O59*10000),2)&amp;"元整")</f>
        <v>零元整</v>
      </c>
      <c r="P60" s="2528"/>
    </row>
    <row r="61" spans="1:17" ht="26.25" thickBot="1">
      <c r="A61" s="3277" t="s">
        <v>1820</v>
      </c>
      <c r="B61" s="3278"/>
      <c r="C61" s="3278"/>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2823</v>
      </c>
      <c r="H61" s="2096" t="s">
        <v>2749</v>
      </c>
      <c r="I61" s="2883" t="s">
        <v>2835</v>
      </c>
      <c r="J61" s="2855"/>
      <c r="K61" s="3380">
        <f>K59+1</f>
        <v>6</v>
      </c>
      <c r="L61" s="3382" t="s">
        <v>1821</v>
      </c>
      <c r="M61" s="2514" t="s">
        <v>1816</v>
      </c>
      <c r="N61" s="2529"/>
      <c r="O61" s="2530">
        <f>N51-O59</f>
        <v>0</v>
      </c>
      <c r="P61" s="2531"/>
    </row>
    <row r="62" spans="1:17" ht="12" customHeight="1">
      <c r="A62" s="1457"/>
      <c r="B62" s="2564"/>
      <c r="C62" s="2564"/>
      <c r="D62" s="2564"/>
      <c r="E62" s="1457"/>
      <c r="F62" s="2982"/>
      <c r="G62" s="2982"/>
      <c r="H62" s="2977"/>
      <c r="I62" s="947"/>
      <c r="J62" s="2855"/>
      <c r="K62" s="3381"/>
      <c r="L62" s="3382"/>
      <c r="M62" s="2522" t="s">
        <v>1819</v>
      </c>
      <c r="N62" s="2526"/>
      <c r="O62" s="2527" t="str">
        <f>IF(H19="元",NUMBERSTRING(INT(O61),2)&amp;"元整",NUMBERSTRING(INT(O61*10000),2)&amp;"元整")</f>
        <v>零元整</v>
      </c>
      <c r="P62" s="2528"/>
    </row>
    <row r="63" spans="1:17" ht="13.5" thickBot="1">
      <c r="A63" s="3383" t="s">
        <v>1822</v>
      </c>
      <c r="B63" s="3383"/>
      <c r="C63" s="3383"/>
      <c r="D63" s="3383"/>
      <c r="E63" s="3383"/>
      <c r="F63" s="2982"/>
      <c r="G63" s="2982"/>
      <c r="H63" s="2977"/>
      <c r="I63" s="947"/>
      <c r="J63" s="2847"/>
      <c r="K63" s="2514">
        <f>K61+1</f>
        <v>7</v>
      </c>
      <c r="L63" s="3382" t="s">
        <v>1823</v>
      </c>
      <c r="M63" s="3382"/>
      <c r="N63" s="2532"/>
      <c r="O63" s="2533">
        <f>IF(H19="元",ROUND(O61/项目基本情况!C12,0),ROUND(O61*10000/项目基本情况!C12,0))</f>
        <v>0</v>
      </c>
      <c r="P63" s="2534"/>
    </row>
    <row r="64" spans="1:17" ht="12.75">
      <c r="A64" s="3315" t="s">
        <v>1824</v>
      </c>
      <c r="B64" s="3316"/>
      <c r="C64" s="1607"/>
      <c r="D64" s="1607" t="s">
        <v>1825</v>
      </c>
      <c r="E64" s="45" t="s">
        <v>1826</v>
      </c>
      <c r="F64" s="2982"/>
      <c r="G64" s="2982"/>
      <c r="H64" s="2977"/>
      <c r="I64" s="947"/>
      <c r="J64" s="2847"/>
      <c r="K64" s="1308"/>
      <c r="L64" s="1308"/>
      <c r="M64" s="1308"/>
      <c r="N64" s="1308"/>
      <c r="O64" s="1308"/>
    </row>
    <row r="65" spans="1:36" ht="12.75">
      <c r="A65" s="46">
        <v>1</v>
      </c>
      <c r="B65" s="47" t="s">
        <v>1827</v>
      </c>
      <c r="C65" s="2786">
        <f>ROUND((C66+C67)/(1+'数据-取费表'!F30),0)</f>
        <v>0</v>
      </c>
      <c r="D65" s="47"/>
      <c r="E65" s="48"/>
      <c r="F65" s="2982"/>
      <c r="G65" s="2982"/>
      <c r="H65" s="2977"/>
      <c r="I65" s="947"/>
      <c r="J65" s="2847"/>
      <c r="K65" s="3390" t="s">
        <v>1828</v>
      </c>
      <c r="L65" s="1307" t="s">
        <v>1829</v>
      </c>
      <c r="M65" s="1307">
        <f>IF(N51&gt;10000,N51*0.5%,IF(AND(N51&gt;1000,N51&lt;=10000),N51*1%,IF(AND(N51&gt;100,N51&lt;=1000),N51*3%,IF(AND(N51&gt;10,N51&lt;=100),N51*5%,N51*8%))))</f>
        <v>0</v>
      </c>
      <c r="N65" s="235">
        <f>ROUND(M65,1)</f>
        <v>0</v>
      </c>
      <c r="O65" s="2535"/>
    </row>
    <row r="66" spans="1:36" ht="12.75">
      <c r="A66" s="49" t="s">
        <v>71</v>
      </c>
      <c r="B66" s="50" t="s">
        <v>1830</v>
      </c>
      <c r="C66" s="2787">
        <f>D47</f>
        <v>0</v>
      </c>
      <c r="D66" s="50" t="s">
        <v>41</v>
      </c>
      <c r="E66" s="52"/>
      <c r="F66" s="2982"/>
      <c r="G66" s="2982"/>
      <c r="H66" s="2977"/>
      <c r="I66" s="947"/>
      <c r="J66" s="2847"/>
      <c r="K66" s="3390"/>
      <c r="L66" s="1307" t="s">
        <v>1831</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5" t="s">
        <v>1832</v>
      </c>
    </row>
    <row r="67" spans="1:36" ht="12.75">
      <c r="A67" s="49" t="s">
        <v>72</v>
      </c>
      <c r="B67" s="50" t="s">
        <v>1833</v>
      </c>
      <c r="C67" s="2788"/>
      <c r="D67" s="50"/>
      <c r="E67" s="52"/>
      <c r="F67" s="2982"/>
      <c r="G67" s="2982"/>
      <c r="H67" s="2977"/>
      <c r="I67" s="947"/>
      <c r="J67" s="2847"/>
      <c r="K67" s="3390"/>
      <c r="L67" s="1307" t="s">
        <v>1834</v>
      </c>
      <c r="M67" s="1307" t="b">
        <f>IF(N51&gt;1000,N51*0.1%,IF(AND(N51&gt;500,N51&lt;=1000),N51*0.5%,IF(AND(N51&gt;50,N51&lt;=500),N51*1%,IF(AND(N51&gt;1,N51&lt;=50),N51*1.5%))))</f>
        <v>0</v>
      </c>
      <c r="N67" s="235">
        <f t="shared" si="2"/>
        <v>0</v>
      </c>
      <c r="O67" s="2535" t="s">
        <v>1832</v>
      </c>
    </row>
    <row r="68" spans="1:36" ht="12.75">
      <c r="A68" s="53" t="s">
        <v>47</v>
      </c>
      <c r="B68" s="54" t="s">
        <v>1835</v>
      </c>
      <c r="C68" s="2789"/>
      <c r="D68" s="54" t="s">
        <v>41</v>
      </c>
      <c r="E68" s="1316" t="s">
        <v>1836</v>
      </c>
      <c r="F68" s="2982"/>
      <c r="G68" s="2982"/>
      <c r="H68" s="2977"/>
      <c r="I68" s="947"/>
      <c r="J68" s="2847"/>
      <c r="K68" s="3390"/>
      <c r="L68" s="1307" t="s">
        <v>1837</v>
      </c>
      <c r="M68" s="1307">
        <f>N51*0.5%</f>
        <v>0</v>
      </c>
      <c r="N68" s="235">
        <f>IF(M68&gt;0.5,0.5,ROUND(M68,0))</f>
        <v>0</v>
      </c>
      <c r="O68" s="2535" t="s">
        <v>1838</v>
      </c>
    </row>
    <row r="69" spans="1:36" ht="12.75">
      <c r="A69" s="53" t="s">
        <v>42</v>
      </c>
      <c r="B69" s="54" t="s">
        <v>1839</v>
      </c>
      <c r="C69" s="2790">
        <f>C65-C68</f>
        <v>0</v>
      </c>
      <c r="D69" s="50" t="s">
        <v>41</v>
      </c>
      <c r="E69" s="52"/>
      <c r="F69" s="2982"/>
      <c r="G69" s="2982"/>
      <c r="H69" s="2977"/>
      <c r="I69" s="947"/>
      <c r="J69" s="2847"/>
      <c r="K69" s="3390"/>
      <c r="L69" s="1307" t="s">
        <v>1840</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5"/>
    </row>
    <row r="70" spans="1:36" ht="13.5" thickBot="1">
      <c r="A70" s="55" t="s">
        <v>46</v>
      </c>
      <c r="B70" s="56" t="s">
        <v>1841</v>
      </c>
      <c r="C70" s="2791">
        <f>IF(C69&lt;=0,0,ROUND(C69*D70,0))</f>
        <v>0</v>
      </c>
      <c r="D70" s="2244">
        <f>'数据-取费表'!E29</f>
        <v>5.6000000000000001E-2</v>
      </c>
      <c r="E70" s="57"/>
      <c r="F70" s="2982"/>
      <c r="G70" s="2982"/>
      <c r="H70" s="2977"/>
      <c r="I70" s="947"/>
      <c r="J70" s="2847"/>
      <c r="K70" s="3390"/>
      <c r="L70" s="1307" t="s">
        <v>1842</v>
      </c>
      <c r="M70" s="1307">
        <f>IF(N51&gt;10000,N51*0.5%,IF(AND(N51&gt;5000,N51&lt;=10000),N51*1%,IF(AND(N51&gt;1000,N51&lt;=5000),N51*2%,IF(AND(N51&gt;200,N51&lt;=1000),N51*3%,N51*5%))))</f>
        <v>0</v>
      </c>
      <c r="N70" s="235">
        <f>ROUND(M70,1)</f>
        <v>0</v>
      </c>
      <c r="O70" s="2535"/>
    </row>
    <row r="71" spans="1:36" s="1465" customFormat="1" ht="7.5" customHeight="1">
      <c r="A71" s="1477"/>
      <c r="B71" s="1478"/>
      <c r="C71" s="2792"/>
      <c r="D71" s="2287"/>
      <c r="E71" s="1481"/>
      <c r="F71" s="1457"/>
      <c r="G71" s="1457"/>
      <c r="H71" s="1481"/>
      <c r="I71" s="2564"/>
      <c r="J71" s="2847"/>
      <c r="K71" s="3390"/>
      <c r="L71" s="1307" t="s">
        <v>1843</v>
      </c>
      <c r="M71" s="1307"/>
      <c r="N71" s="235">
        <f>ROUND(SUM(N65:N70),0)</f>
        <v>0</v>
      </c>
      <c r="O71" s="2536"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7" t="s">
        <v>1844</v>
      </c>
      <c r="B72" s="3378"/>
      <c r="C72" s="3378"/>
      <c r="D72" s="3378"/>
      <c r="E72" s="3378"/>
      <c r="F72" s="3378"/>
      <c r="G72" s="3378"/>
      <c r="H72" s="3378"/>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5" t="s">
        <v>1824</v>
      </c>
      <c r="B73" s="3316"/>
      <c r="C73" s="1607"/>
      <c r="D73" s="1607" t="s">
        <v>1825</v>
      </c>
      <c r="E73" s="58" t="s">
        <v>1826</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1845</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1847</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1848</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1849</v>
      </c>
      <c r="C77" s="2270"/>
      <c r="D77" s="50" t="s">
        <v>41</v>
      </c>
      <c r="E77" s="64" t="s">
        <v>1850</v>
      </c>
      <c r="F77" s="2794" t="s">
        <v>1851</v>
      </c>
      <c r="G77" s="64" t="s">
        <v>1852</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1853</v>
      </c>
      <c r="C78" s="50">
        <f>IF(F77="购房发票",ROUND(C77*H77*D78,0),0)</f>
        <v>0</v>
      </c>
      <c r="D78" s="2796">
        <v>0.05</v>
      </c>
      <c r="E78" s="3255" t="s">
        <v>1854</v>
      </c>
      <c r="F78" s="3293"/>
      <c r="G78" s="3293"/>
      <c r="H78" s="3307"/>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1855</v>
      </c>
      <c r="C79" s="50">
        <f>ROUND(IF(G79="个人住宅",0,IF(G79="2016年5月1日前购买",C77*D79,C77*D79/(1+'数据-取费表'!F30))),0)</f>
        <v>0</v>
      </c>
      <c r="D79" s="2797">
        <f>'数据-取费表'!E36+'数据-取费表'!E37</f>
        <v>3.0499999999999999E-2</v>
      </c>
      <c r="E79" s="12" t="s">
        <v>1856</v>
      </c>
      <c r="F79" s="2095"/>
      <c r="G79" s="1486" t="s">
        <v>1857</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1858</v>
      </c>
      <c r="C80" s="2798">
        <f>ROUND(D47*D80/(1+'数据-取费表'!F30),0)</f>
        <v>0</v>
      </c>
      <c r="D80" s="2799">
        <f>'数据-取费表'!E31</f>
        <v>6.000000000000001E-3</v>
      </c>
      <c r="E80" s="3287" t="s">
        <v>1859</v>
      </c>
      <c r="F80" s="3288"/>
      <c r="G80" s="3288"/>
      <c r="H80" s="3289"/>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1860</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1861</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1862</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7" t="s">
        <v>1863</v>
      </c>
      <c r="B85" s="3378"/>
      <c r="C85" s="3378"/>
      <c r="D85" s="3378"/>
      <c r="E85" s="3378"/>
      <c r="F85" s="3378"/>
      <c r="G85" s="3378"/>
      <c r="H85" s="3378"/>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5" t="s">
        <v>1824</v>
      </c>
      <c r="B86" s="3316"/>
      <c r="C86" s="1607"/>
      <c r="D86" s="1607" t="s">
        <v>1825</v>
      </c>
      <c r="E86" s="58" t="s">
        <v>1826</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1845</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1847</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1864</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1865</v>
      </c>
      <c r="C90" s="2803"/>
      <c r="D90" s="2799"/>
      <c r="E90" s="74" t="s">
        <v>1866</v>
      </c>
      <c r="F90" s="2086"/>
      <c r="G90" s="75" t="s">
        <v>1867</v>
      </c>
      <c r="H90" s="1488"/>
      <c r="I90" s="608"/>
      <c r="J90" s="2879"/>
      <c r="K90" s="2974"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1855</v>
      </c>
      <c r="C91" s="2798">
        <f>ROUND(C90*D91,0)</f>
        <v>0</v>
      </c>
      <c r="D91" s="2799">
        <f>'数据-取费表'!E36+'数据-取费表'!E37</f>
        <v>3.0499999999999999E-2</v>
      </c>
      <c r="E91" s="74" t="s">
        <v>1868</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1869</v>
      </c>
      <c r="C92" s="2803"/>
      <c r="D92" s="2799"/>
      <c r="E92" s="74" t="str">
        <f>IF(H90="-","土地取得成本中已包含该笔费用"," ")</f>
        <v xml:space="preserve"> </v>
      </c>
      <c r="F92" s="2086"/>
      <c r="G92" s="3352" t="s">
        <v>2745</v>
      </c>
      <c r="H92" s="3379"/>
      <c r="I92" s="608"/>
      <c r="J92" s="2879"/>
      <c r="K92" s="2974"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1870</v>
      </c>
      <c r="C93" s="2798">
        <f>IF(H93="——",成本法!C33,I93)</f>
        <v>0</v>
      </c>
      <c r="D93" s="2799"/>
      <c r="E93" s="3287" t="s">
        <v>1871</v>
      </c>
      <c r="F93" s="3288"/>
      <c r="G93" s="3288"/>
      <c r="H93" s="1489" t="s">
        <v>1872</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1873</v>
      </c>
      <c r="C94" s="2798">
        <f>ROUND((C89+C92+C93)*D94,0)</f>
        <v>0</v>
      </c>
      <c r="D94" s="2799">
        <v>0.1</v>
      </c>
      <c r="E94" s="3287" t="s">
        <v>1874</v>
      </c>
      <c r="F94" s="3288"/>
      <c r="G94" s="3288"/>
      <c r="H94" s="3289"/>
      <c r="I94" s="608"/>
      <c r="J94" s="2879"/>
      <c r="K94" s="2975"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1858</v>
      </c>
      <c r="C95" s="2798">
        <f>ROUND(D47*D95/(1+'数据-取费表'!F30),0)</f>
        <v>0</v>
      </c>
      <c r="D95" s="2799">
        <f>'数据-取费表'!E31</f>
        <v>6.000000000000001E-3</v>
      </c>
      <c r="E95" s="3287" t="s">
        <v>1859</v>
      </c>
      <c r="F95" s="3288"/>
      <c r="G95" s="3288"/>
      <c r="H95" s="3289"/>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1875</v>
      </c>
      <c r="C96" s="2798">
        <f>ROUND((C89+C92+C93)*D96,0)</f>
        <v>0</v>
      </c>
      <c r="D96" s="2799">
        <v>0.2</v>
      </c>
      <c r="E96" s="3287" t="s">
        <v>1876</v>
      </c>
      <c r="F96" s="3288"/>
      <c r="G96" s="3288"/>
      <c r="H96" s="3289"/>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1860</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1861</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1877</v>
      </c>
      <c r="B100" s="1461"/>
      <c r="C100" s="1461"/>
      <c r="D100" s="1461"/>
      <c r="E100" s="812"/>
      <c r="F100" s="812"/>
      <c r="G100" s="812"/>
      <c r="H100" s="1470"/>
      <c r="I100" s="1461"/>
    </row>
    <row r="101" spans="1:36" ht="15">
      <c r="A101" s="3338" t="s">
        <v>1878</v>
      </c>
      <c r="B101" s="3339"/>
      <c r="C101" s="3339"/>
      <c r="D101" s="3340"/>
      <c r="E101" s="1461"/>
      <c r="F101" s="3374" t="s">
        <v>2786</v>
      </c>
      <c r="G101" s="3375"/>
      <c r="H101" s="3375"/>
      <c r="I101" s="3376"/>
      <c r="J101" s="2882"/>
    </row>
    <row r="102" spans="1:36" ht="15">
      <c r="A102" s="3350" t="s">
        <v>1880</v>
      </c>
      <c r="B102" s="3351"/>
      <c r="C102" s="2805">
        <f>C4</f>
        <v>0</v>
      </c>
      <c r="D102" s="2806">
        <f>D4</f>
        <v>0</v>
      </c>
      <c r="E102" s="1461"/>
      <c r="F102" s="3258" t="s">
        <v>2787</v>
      </c>
      <c r="G102" s="3259"/>
      <c r="H102" s="3264" t="s">
        <v>2788</v>
      </c>
      <c r="I102" s="3257"/>
      <c r="J102" s="2862"/>
    </row>
    <row r="103" spans="1:36" ht="12.75">
      <c r="A103" s="3371" t="s">
        <v>2782</v>
      </c>
      <c r="B103" s="2309" t="str">
        <f>IF(H19="元","总价（元）","总价（万元）")</f>
        <v>总价（万元）</v>
      </c>
      <c r="C103" s="1307" t="e">
        <f ca="1">C19</f>
        <v>#REF!</v>
      </c>
      <c r="D103" s="2809" t="e">
        <f ca="1">D19</f>
        <v>#REF!</v>
      </c>
      <c r="E103" s="1461"/>
      <c r="F103" s="3372"/>
      <c r="G103" s="3373"/>
      <c r="H103" s="3256">
        <f>典型户型修正!B25</f>
        <v>191.89</v>
      </c>
      <c r="I103" s="3257"/>
      <c r="J103" s="2862"/>
    </row>
    <row r="104" spans="1:36" ht="12.75">
      <c r="A104" s="3371"/>
      <c r="B104" s="2309" t="s">
        <v>2783</v>
      </c>
      <c r="C104" s="2810" t="e">
        <f ca="1">C20</f>
        <v>#REF!</v>
      </c>
      <c r="D104" s="2811" t="e">
        <f ca="1">D20</f>
        <v>#REF!</v>
      </c>
      <c r="E104" s="1461"/>
      <c r="F104" s="3268" t="s">
        <v>2789</v>
      </c>
      <c r="G104" s="3269"/>
      <c r="H104" s="2819" t="str">
        <f>C110</f>
        <v>总价（万元）</v>
      </c>
      <c r="I104" s="2820">
        <f>H125</f>
        <v>0</v>
      </c>
      <c r="J104" s="2862"/>
    </row>
    <row r="105" spans="1:36" ht="12.75">
      <c r="A105" s="3371" t="s">
        <v>2784</v>
      </c>
      <c r="B105" s="2247" t="str">
        <f>B103</f>
        <v>总价（万元）</v>
      </c>
      <c r="C105" s="12" t="e">
        <f ca="1">ROUND(IF('数据-取费表'!B4="总价",G19,IF(H19="元",G20*'数据-取费表'!E5,G20*'数据-取费表'!E5/10000)),0)</f>
        <v>#REF!</v>
      </c>
      <c r="D105" s="2812"/>
      <c r="E105" s="1461"/>
      <c r="F105" s="3268"/>
      <c r="G105" s="3269"/>
      <c r="H105" s="2819" t="s">
        <v>2790</v>
      </c>
      <c r="I105" s="52">
        <f>I125</f>
        <v>0</v>
      </c>
      <c r="J105" s="2846"/>
    </row>
    <row r="106" spans="1:36" ht="12.75">
      <c r="A106" s="3371"/>
      <c r="B106" s="2309" t="s">
        <v>2783</v>
      </c>
      <c r="C106" s="1481" t="e">
        <f ca="1">ROUND(IF('数据-取费表'!B4="楼面单价",G20,IF(H19="元",G19/'数据-取费表'!E5,G19*10000/'数据-取费表'!E5)),0)</f>
        <v>#REF!</v>
      </c>
      <c r="D106" s="2812"/>
      <c r="E106" s="1461"/>
      <c r="F106" s="3268"/>
      <c r="G106" s="3269"/>
      <c r="H106" s="3332"/>
      <c r="I106" s="3333"/>
      <c r="J106" s="2863"/>
    </row>
    <row r="107" spans="1:36" ht="12.75">
      <c r="A107" s="3365" t="s">
        <v>2785</v>
      </c>
      <c r="B107" s="2813" t="str">
        <f>B103</f>
        <v>总价（万元）</v>
      </c>
      <c r="C107" s="2814">
        <f>H125</f>
        <v>0</v>
      </c>
      <c r="D107" s="2815"/>
      <c r="E107" s="1461"/>
      <c r="F107" s="3336" t="s">
        <v>2791</v>
      </c>
      <c r="G107" s="3337"/>
      <c r="H107" s="2821" t="str">
        <f>C112</f>
        <v>总额（万元）</v>
      </c>
      <c r="I107" s="2820">
        <f>SUMIF(I108:I110,"&lt;9E307")</f>
        <v>0</v>
      </c>
      <c r="J107" s="2862"/>
    </row>
    <row r="108" spans="1:36" ht="15" thickBot="1">
      <c r="A108" s="3331"/>
      <c r="B108" s="2816" t="s">
        <v>2783</v>
      </c>
      <c r="C108" s="2817">
        <f>I125</f>
        <v>0</v>
      </c>
      <c r="D108" s="2818"/>
      <c r="E108" s="1461"/>
      <c r="F108" s="3270" t="s">
        <v>2792</v>
      </c>
      <c r="G108" s="3271"/>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68" t="s">
        <v>1881</v>
      </c>
      <c r="B109" s="3369"/>
      <c r="C109" s="3369"/>
      <c r="D109" s="3370"/>
      <c r="E109" s="1461"/>
      <c r="F109" s="3270" t="s">
        <v>2793</v>
      </c>
      <c r="G109" s="3271"/>
      <c r="H109" s="2821" t="str">
        <f>C114</f>
        <v>总额（万元）</v>
      </c>
      <c r="I109" s="52">
        <f>C39</f>
        <v>0</v>
      </c>
      <c r="J109" s="2846"/>
    </row>
    <row r="110" spans="1:36" ht="12.75">
      <c r="A110" s="3268" t="s">
        <v>2796</v>
      </c>
      <c r="B110" s="3269"/>
      <c r="C110" s="2819" t="str">
        <f>B103</f>
        <v>总价（万元）</v>
      </c>
      <c r="D110" s="2820">
        <f>H125</f>
        <v>0</v>
      </c>
      <c r="E110" s="1461"/>
      <c r="F110" s="3270" t="s">
        <v>2794</v>
      </c>
      <c r="G110" s="3271"/>
      <c r="H110" s="2821" t="str">
        <f>C115</f>
        <v>总额（万元）</v>
      </c>
      <c r="I110" s="52">
        <f>C40</f>
        <v>0</v>
      </c>
      <c r="J110" s="2846"/>
    </row>
    <row r="111" spans="1:36" ht="12.75">
      <c r="A111" s="3268"/>
      <c r="B111" s="3269"/>
      <c r="C111" s="2819" t="s">
        <v>2797</v>
      </c>
      <c r="D111" s="52">
        <f>I125</f>
        <v>0</v>
      </c>
      <c r="E111" s="1461"/>
      <c r="F111" s="3268"/>
      <c r="G111" s="3269"/>
      <c r="H111" s="3334"/>
      <c r="I111" s="3335"/>
      <c r="J111" s="2864"/>
    </row>
    <row r="112" spans="1:36" ht="28.5" customHeight="1">
      <c r="A112" s="3275" t="s">
        <v>2791</v>
      </c>
      <c r="B112" s="3276"/>
      <c r="C112" s="2821" t="str">
        <f>IF(H19="元","总额（元）","总额（万元）")</f>
        <v>总额（万元）</v>
      </c>
      <c r="D112" s="2820">
        <f>IF(D38="正常操作",I108+I109+I110,I109+I110)</f>
        <v>0</v>
      </c>
      <c r="E112" s="1461"/>
      <c r="F112" s="3260" t="str">
        <f>IF(项目基本情况!F5="已注销","——","3.房地产抵押价值")</f>
        <v>3.房地产抵押价值</v>
      </c>
      <c r="G112" s="3261"/>
      <c r="H112" s="1481" t="str">
        <f>C116</f>
        <v>总价（万元）</v>
      </c>
      <c r="I112" s="2820">
        <f>IF(F112="——","——",I104-I107)</f>
        <v>0</v>
      </c>
      <c r="J112" s="2862"/>
    </row>
    <row r="113" spans="1:27" ht="12.75">
      <c r="A113" s="3270" t="s">
        <v>2798</v>
      </c>
      <c r="B113" s="3271"/>
      <c r="C113" s="2821" t="str">
        <f>C112</f>
        <v>总额（万元）</v>
      </c>
      <c r="D113" s="52">
        <f>IF(D38="同一抵押权人同一抵押物续贷",C38&amp;"（未扣减，详见特别提示）",C38)</f>
        <v>0</v>
      </c>
      <c r="E113" s="1461"/>
      <c r="F113" s="3363"/>
      <c r="G113" s="3364"/>
      <c r="H113" s="2819" t="s">
        <v>2790</v>
      </c>
      <c r="I113" s="2823">
        <f>D117</f>
        <v>0</v>
      </c>
      <c r="J113" s="2865"/>
    </row>
    <row r="114" spans="1:27" ht="12.75">
      <c r="A114" s="3270" t="s">
        <v>2799</v>
      </c>
      <c r="B114" s="3271"/>
      <c r="C114" s="2821" t="str">
        <f>C112</f>
        <v>总额（万元）</v>
      </c>
      <c r="D114" s="52">
        <f>C39</f>
        <v>0</v>
      </c>
      <c r="E114" s="1461"/>
      <c r="F114" s="3260" t="str">
        <f>IF(项目基本情况!F5="已注销及未注销","4.抵押担保权已注销时的房地产抵押价值",IF(项目基本情况!F5="已注销","3.抵押担保权已注销时的房地产抵押价值","——"))</f>
        <v>——</v>
      </c>
      <c r="G114" s="3261"/>
      <c r="H114" s="1481" t="str">
        <f>C118</f>
        <v>总价（万元）</v>
      </c>
      <c r="I114" s="2820" t="str">
        <f>IF(F114="——","——",I104-I109-I110)</f>
        <v>——</v>
      </c>
      <c r="J114" s="2862"/>
    </row>
    <row r="115" spans="1:27" ht="12.75">
      <c r="A115" s="3270" t="s">
        <v>2800</v>
      </c>
      <c r="B115" s="3271"/>
      <c r="C115" s="2821" t="str">
        <f>C112</f>
        <v>总额（万元）</v>
      </c>
      <c r="D115" s="52">
        <f>C40</f>
        <v>0</v>
      </c>
      <c r="E115" s="1461"/>
      <c r="F115" s="3363"/>
      <c r="G115" s="3364"/>
      <c r="H115" s="2819" t="s">
        <v>2790</v>
      </c>
      <c r="I115" s="52" t="str">
        <f>D119</f>
        <v>——</v>
      </c>
      <c r="J115" s="2846"/>
    </row>
    <row r="116" spans="1:27" ht="12.75">
      <c r="A116" s="3268" t="str">
        <f>IF(项目基本情况!F5="已注销","——","3.房地产抵押价值")</f>
        <v>3.房地产抵押价值</v>
      </c>
      <c r="B116" s="3269"/>
      <c r="C116" s="2819" t="str">
        <f>B103</f>
        <v>总价（万元）</v>
      </c>
      <c r="D116" s="2820">
        <f>IF(A116="——","——",D110-D112)</f>
        <v>0</v>
      </c>
      <c r="E116" s="1461"/>
      <c r="F116" s="3260" t="str">
        <f>IF(项目基本情况!G5="抵押净值",IF(OR(项目基本情况!F5="已注销",项目基本情况!F5="房地产抵押价值"),"4.抵押净值","5.抵押净值"),"——")</f>
        <v>4.抵押净值</v>
      </c>
      <c r="G116" s="3261"/>
      <c r="H116" s="2819" t="str">
        <f>C120</f>
        <v>总价（万元）</v>
      </c>
      <c r="I116" s="2820">
        <f>IF(F116="——","——",O61)</f>
        <v>0</v>
      </c>
      <c r="J116" s="2862"/>
    </row>
    <row r="117" spans="1:27" ht="13.5" thickBot="1">
      <c r="A117" s="3268"/>
      <c r="B117" s="3269"/>
      <c r="C117" s="2819" t="s">
        <v>2797</v>
      </c>
      <c r="D117" s="52">
        <f>ROUND(IF(D116=D110,D111,IF(H19="元",D116/B125,D116*10000/B125)),0)</f>
        <v>0</v>
      </c>
      <c r="E117" s="1461"/>
      <c r="F117" s="3262"/>
      <c r="G117" s="3263"/>
      <c r="H117" s="2824" t="s">
        <v>2790</v>
      </c>
      <c r="I117" s="2808">
        <f>D121</f>
        <v>0</v>
      </c>
      <c r="J117" s="2846"/>
    </row>
    <row r="118" spans="1:27" ht="15.75">
      <c r="A118" s="3268" t="str">
        <f>IF(项目基本情况!F5="已注销及未注销","4.抵押担保权已注销时的房地产抵押价值",IF(项目基本情况!F5="已注销","3.抵押担保权已注销时的房地产抵押价值","——"))</f>
        <v>——</v>
      </c>
      <c r="B118" s="3269"/>
      <c r="C118" s="2819" t="str">
        <f>B103</f>
        <v>总价（万元）</v>
      </c>
      <c r="D118" s="2820" t="str">
        <f>IF(A118="——","——",D110-D114-D115)</f>
        <v>——</v>
      </c>
      <c r="E118" s="1461"/>
      <c r="F118" s="3358"/>
      <c r="G118" s="3358"/>
      <c r="H118" s="3322"/>
      <c r="I118" s="3322"/>
      <c r="J118" s="2866"/>
      <c r="O118" s="32"/>
      <c r="P118" s="32"/>
    </row>
    <row r="119" spans="1:27" s="1308" customFormat="1" ht="12.75">
      <c r="A119" s="3268"/>
      <c r="B119" s="3269"/>
      <c r="C119" s="2819" t="s">
        <v>2797</v>
      </c>
      <c r="D119" s="52" t="str">
        <f>IF(A118="——","——",IF(H19="元",ROUND(D118/B125,0),ROUND(D118*10000/B125,0)))</f>
        <v>——</v>
      </c>
      <c r="E119" s="1461"/>
      <c r="F119" s="3367" t="str">
        <f>IF(B33="总价","（以上估价结果中楼面单价为总价除以建筑面积得出）","（以上估价结果中总价为楼面单价乘以建筑面积得出）")</f>
        <v>（以上估价结果中总价为楼面单价乘以建筑面积得出）</v>
      </c>
      <c r="G119" s="3367"/>
      <c r="H119" s="3367"/>
      <c r="I119" s="3367"/>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68" t="str">
        <f>IF(项目基本情况!G5="抵押净值",IF(OR(项目基本情况!F5="已注销",项目基本情况!F5="房地产抵押价值"),"4.抵押净值","5.抵押净值"),"——")</f>
        <v>4.抵押净值</v>
      </c>
      <c r="B120" s="3269"/>
      <c r="C120" s="2819" t="str">
        <f>B103</f>
        <v>总价（万元）</v>
      </c>
      <c r="D120" s="2820">
        <f>IF(A120="——","——",O61)</f>
        <v>0</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3"/>
      <c r="B121" s="3274"/>
      <c r="C121" s="2824" t="s">
        <v>2797</v>
      </c>
      <c r="D121" s="2808">
        <f>IF(D120=D110,D111,IF(A120="——","——",O63))</f>
        <v>0</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3" t="s">
        <v>1920</v>
      </c>
      <c r="B122" s="3324"/>
      <c r="C122" s="3324"/>
      <c r="D122" s="3324"/>
      <c r="E122" s="3324"/>
      <c r="F122" s="3324"/>
      <c r="G122" s="3324"/>
      <c r="H122" s="3324"/>
      <c r="I122" s="3324"/>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3" t="s">
        <v>2801</v>
      </c>
      <c r="B123" s="3279" t="s">
        <v>2802</v>
      </c>
      <c r="C123" s="3279" t="s">
        <v>2808</v>
      </c>
      <c r="D123" s="3345" t="s">
        <v>2803</v>
      </c>
      <c r="E123" s="3346"/>
      <c r="F123" s="3254" t="s">
        <v>2809</v>
      </c>
      <c r="G123" s="3254"/>
      <c r="H123" s="3254" t="s">
        <v>2804</v>
      </c>
      <c r="I123" s="3344"/>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3"/>
      <c r="B124" s="3280"/>
      <c r="C124" s="3280"/>
      <c r="D124" s="2092" t="s">
        <v>2805</v>
      </c>
      <c r="E124" s="2092" t="s">
        <v>2810</v>
      </c>
      <c r="F124" s="2092" t="s">
        <v>2805</v>
      </c>
      <c r="G124" s="2092" t="s">
        <v>2806</v>
      </c>
      <c r="H124" s="2092" t="s">
        <v>2805</v>
      </c>
      <c r="I124" s="52" t="s">
        <v>2806</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191.89</v>
      </c>
      <c r="C125" s="1456"/>
      <c r="D125" s="2092">
        <f>C36</f>
        <v>0</v>
      </c>
      <c r="E125" s="2092">
        <f>ROUND(IF(H19="元",D125/B125,D125*10000/B125),0)</f>
        <v>0</v>
      </c>
      <c r="F125" s="2092">
        <f>C37</f>
        <v>0</v>
      </c>
      <c r="G125" s="2092">
        <f>ROUND(IF(H19="元",F125/B125,F125*10000/B125),0)</f>
        <v>0</v>
      </c>
      <c r="H125" s="2092">
        <f>C34</f>
        <v>0</v>
      </c>
      <c r="I125" s="52">
        <f>C35</f>
        <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3" t="s">
        <v>2807</v>
      </c>
      <c r="B126" s="3254"/>
      <c r="C126" s="3254"/>
      <c r="D126" s="3281" t="str">
        <f>IF(H19="元",NUMBERSTRING(INT(D125),2)&amp;"元整",NUMBERSTRING(INT(D125*10000),2)&amp;"元整")</f>
        <v>零元整</v>
      </c>
      <c r="E126" s="3328"/>
      <c r="F126" s="3281" t="str">
        <f>IF(H19="元",NUMBERSTRING(INT(F125),2)&amp;"元整",NUMBERSTRING(INT(F125*10000),2)&amp;"元整")</f>
        <v>零元整</v>
      </c>
      <c r="G126" s="3328"/>
      <c r="H126" s="3281" t="str">
        <f>IF(H19="元",NUMBERSTRING(INT(H125),2)&amp;"元整",NUMBERSTRING(INT(H125*10000),2)&amp;"元整")</f>
        <v>零元整</v>
      </c>
      <c r="I126" s="3282"/>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58" t="str">
        <f>IF(项目基本情况!D5="房地产市场价值","——",MID(A112,3,LEN(A112)-2))</f>
        <v>估价师所知悉的法定优先受偿款</v>
      </c>
      <c r="B127" s="3264"/>
      <c r="C127" s="3259"/>
      <c r="D127" s="3256">
        <f>I107</f>
        <v>0</v>
      </c>
      <c r="E127" s="3264"/>
      <c r="F127" s="3264"/>
      <c r="G127" s="3264"/>
      <c r="H127" s="3264"/>
      <c r="I127" s="3257"/>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9" t="s">
        <v>2807</v>
      </c>
      <c r="B128" s="3293"/>
      <c r="C128" s="3294"/>
      <c r="D128" s="3265">
        <f>H111</f>
        <v>0</v>
      </c>
      <c r="E128" s="3266"/>
      <c r="F128" s="3266"/>
      <c r="G128" s="3266"/>
      <c r="H128" s="3266"/>
      <c r="I128" s="3267"/>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68" t="str">
        <f>IF(项目基本情况!D5="房地产市场价值","——",MID(A116,3,LEN(A116)-2))</f>
        <v>房地产抵押价值</v>
      </c>
      <c r="B129" s="3269"/>
      <c r="C129" s="3269"/>
      <c r="D129" s="3256">
        <f>I112</f>
        <v>0</v>
      </c>
      <c r="E129" s="3264"/>
      <c r="F129" s="3264"/>
      <c r="G129" s="3264"/>
      <c r="H129" s="3264"/>
      <c r="I129" s="3257"/>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3" t="s">
        <v>2807</v>
      </c>
      <c r="B130" s="3254"/>
      <c r="C130" s="3254"/>
      <c r="D130" s="3265">
        <f>I113</f>
        <v>0</v>
      </c>
      <c r="E130" s="3266"/>
      <c r="F130" s="3266"/>
      <c r="G130" s="3266"/>
      <c r="H130" s="3266"/>
      <c r="I130" s="3267"/>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68" t="str">
        <f>IF(项目基本情况!D5="房地产市场价值","——",MID(A118,3,LEN(A118)-2))</f>
        <v/>
      </c>
      <c r="B131" s="3269"/>
      <c r="C131" s="3269"/>
      <c r="D131" s="3301" t="str">
        <f>I114</f>
        <v>——</v>
      </c>
      <c r="E131" s="3302"/>
      <c r="F131" s="3302"/>
      <c r="G131" s="3302"/>
      <c r="H131" s="3302"/>
      <c r="I131" s="3357"/>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3" t="s">
        <v>2807</v>
      </c>
      <c r="B132" s="3254"/>
      <c r="C132" s="3255"/>
      <c r="D132" s="3321" t="str">
        <f>I115</f>
        <v>——</v>
      </c>
      <c r="E132" s="3321"/>
      <c r="F132" s="3321"/>
      <c r="G132" s="3321"/>
      <c r="H132" s="3321"/>
      <c r="I132" s="3321"/>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68" t="str">
        <f>IF(项目基本情况!D5="房地产市场价值","——",MID(F116,3,LEN(F116)-2))</f>
        <v>抵押净值</v>
      </c>
      <c r="B133" s="3269"/>
      <c r="C133" s="3256"/>
      <c r="D133" s="3272">
        <f>I116</f>
        <v>0</v>
      </c>
      <c r="E133" s="3272"/>
      <c r="F133" s="3272"/>
      <c r="G133" s="3272"/>
      <c r="H133" s="3272"/>
      <c r="I133" s="3272"/>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7" t="s">
        <v>2807</v>
      </c>
      <c r="B134" s="3278"/>
      <c r="C134" s="3278"/>
      <c r="D134" s="3283">
        <f>H118</f>
        <v>0</v>
      </c>
      <c r="E134" s="3284"/>
      <c r="F134" s="3284"/>
      <c r="G134" s="3284"/>
      <c r="H134" s="3284"/>
      <c r="I134" s="3285"/>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1" t="str">
        <f>IF(B33="总价","（以上估价结果中楼面单价为总价除以建筑面积得出）","（以上估价结果中总价为楼面单价乘以建筑面积得出）")</f>
        <v>（以上估价结果中总价为楼面单价乘以建筑面积得出）</v>
      </c>
      <c r="B136" s="3251"/>
      <c r="C136" s="3251"/>
      <c r="D136" s="3251"/>
      <c r="E136" s="3251"/>
      <c r="F136" s="3251"/>
      <c r="G136" s="3251"/>
      <c r="H136" s="3251"/>
      <c r="I136" s="3251"/>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1883</v>
      </c>
      <c r="B137" s="1492"/>
      <c r="C137" s="1493" t="s">
        <v>1884</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1885</v>
      </c>
      <c r="G143" s="1505"/>
      <c r="H143" s="1505"/>
      <c r="I143" s="1506" t="s">
        <v>1886</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1887</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1888</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1889</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1888</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39" sqref="C33:C3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1921</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1922</v>
      </c>
      <c r="B2" s="82">
        <f ca="1">IF(D2="——",IF(C2="元",C52,ROUND(C52/10000,0)),IF(C2="元",C52,ROUND(C52/10000,0))-E2)</f>
        <v>1960</v>
      </c>
      <c r="C2" s="79" t="str">
        <f>'数据-取费表'!B3</f>
        <v>万元</v>
      </c>
      <c r="D2" s="1516" t="s">
        <v>1241</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1923</v>
      </c>
      <c r="B3" s="84">
        <f ca="1">ROUND(C52/IF(B1="仅计算典型户型",'数据-取费表'!E5,'数据-取费表'!B5),0)</f>
        <v>102129</v>
      </c>
      <c r="C3" s="79" t="s">
        <v>1924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1925</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1926</v>
      </c>
      <c r="B5" s="89" t="s">
        <v>1927</v>
      </c>
      <c r="C5" s="111">
        <f ca="1">C6+C7+C8</f>
        <v>14012060</v>
      </c>
      <c r="D5" s="111" t="s">
        <v>1928</v>
      </c>
      <c r="E5" s="1166" t="s">
        <v>1929</v>
      </c>
      <c r="F5" s="1166" t="s">
        <v>1930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1931</v>
      </c>
      <c r="B6" s="93" t="s">
        <v>1932</v>
      </c>
      <c r="C6" s="1165">
        <f ca="1">基准地价修正!E29</f>
        <v>13560099</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1933</v>
      </c>
      <c r="B7" s="93" t="s">
        <v>1934</v>
      </c>
      <c r="C7" s="115">
        <f ca="1">ROUND(C6*F7,0)</f>
        <v>413583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1935</v>
      </c>
      <c r="B8" s="93" t="s">
        <v>1936</v>
      </c>
      <c r="C8" s="115">
        <f>IF(G8="已包含在土地购买价格中","0",'数据-取费表'!E13)</f>
        <v>38378</v>
      </c>
      <c r="D8" s="1170"/>
      <c r="E8" s="115"/>
      <c r="F8" s="1169"/>
      <c r="G8" s="1518" t="s">
        <v>2907</v>
      </c>
    </row>
    <row r="9" spans="1:123" s="91" customFormat="1" ht="13.5" customHeight="1">
      <c r="A9" s="993" t="s">
        <v>945</v>
      </c>
      <c r="B9" s="97" t="s">
        <v>1937</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1938</v>
      </c>
      <c r="C10" s="1171">
        <f>ROUND(D10*E10,0)</f>
        <v>38378</v>
      </c>
      <c r="D10" s="1172">
        <f>IF('数据-取费表'!B10&lt;&gt;"住宅",IF(B1="仅计算典型户型",'数据-取费表'!E5,'数据-取费表'!B5),0)</f>
        <v>191.89</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1940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1936</v>
      </c>
      <c r="C14" s="111"/>
      <c r="D14" s="115"/>
      <c r="E14" s="1168"/>
      <c r="F14" s="1168"/>
      <c r="G14" s="95" t="s">
        <v>1942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1943</v>
      </c>
      <c r="C15" s="115"/>
      <c r="D15" s="115"/>
      <c r="E15" s="1168"/>
      <c r="F15" s="1168"/>
      <c r="G15" s="95" t="s">
        <v>1944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1945</v>
      </c>
      <c r="C17" s="1174"/>
      <c r="D17" s="1174"/>
      <c r="E17" s="1174"/>
      <c r="F17" s="1174"/>
      <c r="G17" s="95" t="s">
        <v>1944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1946</v>
      </c>
      <c r="C18" s="115">
        <v>0</v>
      </c>
      <c r="D18" s="115"/>
      <c r="E18" s="1168"/>
      <c r="F18" s="1169">
        <v>3.0499999999999999E-2</v>
      </c>
      <c r="G18" s="95" t="s">
        <v>1947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1948</v>
      </c>
      <c r="B19" s="89" t="s">
        <v>1949</v>
      </c>
      <c r="C19" s="111" t="str">
        <f>IF(G19="已包含在土地取得成本中","0",ROUND(D19*E19,0))</f>
        <v>0</v>
      </c>
      <c r="D19" s="1175">
        <f>IF(B1="仅计算典型户型",'数据-取费表'!E5,'数据-取费表'!B5)</f>
        <v>191.89</v>
      </c>
      <c r="E19" s="111">
        <f>'数据-取费表'!E15</f>
        <v>200</v>
      </c>
      <c r="F19" s="112"/>
      <c r="G19" s="1518" t="s">
        <v>2908</v>
      </c>
    </row>
    <row r="20" spans="1:123" s="91" customFormat="1" ht="13.5" customHeight="1">
      <c r="A20" s="120" t="s">
        <v>1950</v>
      </c>
      <c r="B20" s="89" t="s">
        <v>1951</v>
      </c>
      <c r="C20" s="99">
        <f ca="1">ROUND((C5+C19)*F20,0)</f>
        <v>140121</v>
      </c>
      <c r="D20" s="99"/>
      <c r="E20" s="99"/>
      <c r="F20" s="103">
        <f>'数据-取费表'!E25</f>
        <v>0.01</v>
      </c>
      <c r="G20" s="100" t="s">
        <v>1952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1953</v>
      </c>
      <c r="B21" s="89" t="s">
        <v>1954</v>
      </c>
      <c r="C21" s="101">
        <f>F21</f>
        <v>0.01</v>
      </c>
      <c r="D21" s="102" t="s">
        <v>1955</v>
      </c>
      <c r="E21" s="99"/>
      <c r="F21" s="103">
        <f>'数据-取费表'!E26</f>
        <v>0.01</v>
      </c>
      <c r="G21" s="100" t="s">
        <v>1956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1957</v>
      </c>
      <c r="B22" s="89" t="s">
        <v>1958</v>
      </c>
      <c r="C22" s="121">
        <f ca="1">ROUND(SUM(C23:C25),0)</f>
        <v>1369416</v>
      </c>
      <c r="D22" s="101">
        <f ca="1">C26</f>
        <v>5.0000000000000001E-4</v>
      </c>
      <c r="E22" s="102" t="s">
        <v>1955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1959</v>
      </c>
      <c r="B23" s="93" t="s">
        <v>1960</v>
      </c>
      <c r="C23" s="1125">
        <f ca="1">ROUND(IF('数据-取费表'!B24&lt;=1,C5*F22*'数据-取费表'!B25,C5*(POWER((1+F22),'数据-取费表'!B25)-1)),0)</f>
        <v>1362760</v>
      </c>
      <c r="D23" s="104"/>
      <c r="E23" s="104"/>
      <c r="F23" s="105"/>
      <c r="G23" s="106" t="s">
        <v>1961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1933</v>
      </c>
      <c r="B24" s="93" t="s">
        <v>1962</v>
      </c>
      <c r="C24" s="1125">
        <f ca="1">ROUND(IF('数据-取费表'!B24&lt;=1,C19*F22*('数据-取费表'!B21/2+'数据-取费表'!B23),C19*(POWER((1+F22),('数据-取费表'!B21/2+'数据-取费表'!B23))-1)),0)</f>
        <v>0</v>
      </c>
      <c r="D24" s="104"/>
      <c r="E24" s="104"/>
      <c r="F24" s="105"/>
      <c r="G24" s="106" t="s">
        <v>1963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1935</v>
      </c>
      <c r="B25" s="93" t="s">
        <v>1964</v>
      </c>
      <c r="C25" s="1125">
        <f ca="1">ROUND(IF('数据-取费表'!B24&lt;=1,C20*F22*'数据-取费表'!B25/2,C20*(POWER((1+F22),'数据-取费表'!B25/2)-1)),0)</f>
        <v>6656</v>
      </c>
      <c r="D25" s="104"/>
      <c r="E25" s="107"/>
      <c r="F25" s="105"/>
      <c r="G25" s="108" t="s">
        <v>1965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1966</v>
      </c>
      <c r="B26" s="93" t="s">
        <v>1967</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1968</v>
      </c>
      <c r="B27" s="110" t="s">
        <v>1969</v>
      </c>
      <c r="C27" s="111">
        <f ca="1">C28</f>
        <v>2122827</v>
      </c>
      <c r="D27" s="101">
        <f>C29</f>
        <v>1.5E-3</v>
      </c>
      <c r="E27" s="102" t="s">
        <v>1955</v>
      </c>
      <c r="F27" s="112">
        <f>'数据-取费表'!E28</f>
        <v>0.15</v>
      </c>
      <c r="G27" s="113" t="s">
        <v>1970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1959</v>
      </c>
      <c r="B28" s="114" t="s">
        <v>1971</v>
      </c>
      <c r="C28" s="115">
        <f ca="1">ROUND((C5+C19+C20)*F27*'数据-取费表'!B23/'数据-取费表'!B22,0)</f>
        <v>2122827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1933</v>
      </c>
      <c r="B29" s="114" t="s">
        <v>1972</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1973</v>
      </c>
      <c r="B30" s="89" t="s">
        <v>1974</v>
      </c>
      <c r="C30" s="101">
        <f>ROUND(F30/(1+'数据-取费表'!F30),4)</f>
        <v>5.33E-2</v>
      </c>
      <c r="D30" s="102" t="s">
        <v>1955</v>
      </c>
      <c r="E30" s="107"/>
      <c r="F30" s="103">
        <f>'数据-取费表'!E29</f>
        <v>5.6000000000000001E-2</v>
      </c>
      <c r="G30" s="100" t="s">
        <v>1975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1976</v>
      </c>
      <c r="C31" s="111">
        <f ca="1">ROUND((C5+C19+C20+C22+C27)/(1-C21-D22-D27-C30),0)</f>
        <v>18877099</v>
      </c>
      <c r="D31" s="1175"/>
      <c r="E31" s="111"/>
      <c r="F31" s="1176"/>
      <c r="G31" s="100" t="s">
        <v>1977</v>
      </c>
    </row>
    <row r="32" spans="1:123" s="88" customFormat="1" ht="15.75">
      <c r="A32" s="117" t="s">
        <v>1978</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1979</v>
      </c>
      <c r="B33" s="89" t="s">
        <v>1980</v>
      </c>
      <c r="C33" s="121">
        <f>SUM(C34:C38)</f>
        <v>639953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1959</v>
      </c>
      <c r="B34" s="93" t="s">
        <v>1981</v>
      </c>
      <c r="C34" s="115">
        <f>IF(B1="仅计算典型户型",'数据-取费表'!F18,'数据-取费表'!E18)</f>
        <v>575670</v>
      </c>
      <c r="D34" s="1167"/>
      <c r="E34" s="115"/>
      <c r="F34" s="1178" t="str">
        <f>IF('数据-取费表'!B26=0,"",'数据-取费表'!E20)</f>
        <v/>
      </c>
      <c r="G34" s="95"/>
    </row>
    <row r="35" spans="1:123" ht="13.5" customHeight="1">
      <c r="A35" s="92" t="s">
        <v>1933</v>
      </c>
      <c r="B35" s="93" t="s">
        <v>1982</v>
      </c>
      <c r="C35" s="115">
        <f>ROUND(C34*F35,0)</f>
        <v>17270</v>
      </c>
      <c r="D35" s="115"/>
      <c r="E35" s="115"/>
      <c r="F35" s="1179">
        <f>'数据-取费表'!E21</f>
        <v>0.03</v>
      </c>
      <c r="G35" s="95" t="s">
        <v>1983</v>
      </c>
    </row>
    <row r="36" spans="1:123" ht="24">
      <c r="A36" s="92" t="s">
        <v>1935</v>
      </c>
      <c r="B36" s="93" t="s">
        <v>1984</v>
      </c>
      <c r="C36" s="115">
        <f>ROUND(IF('数据-取费表'!B10="住宅",C34*F36,0),0)</f>
        <v>0</v>
      </c>
      <c r="D36" s="115"/>
      <c r="E36" s="115"/>
      <c r="F36" s="1179">
        <f>'数据-取费表'!E22</f>
        <v>0.05</v>
      </c>
      <c r="G36" s="123" t="s">
        <v>1985</v>
      </c>
    </row>
    <row r="37" spans="1:123" s="122" customFormat="1" ht="13.5" customHeight="1">
      <c r="A37" s="92" t="s">
        <v>1966</v>
      </c>
      <c r="B37" s="93" t="s">
        <v>1986</v>
      </c>
      <c r="C37" s="115">
        <f>ROUND(E37*D37,0)</f>
        <v>38378</v>
      </c>
      <c r="D37" s="1167">
        <f>IF(B1="仅计算典型户型",'数据-取费表'!E5,'数据-取费表'!B5)</f>
        <v>191.89</v>
      </c>
      <c r="E37" s="115">
        <f>'数据-取费表'!E23</f>
        <v>200</v>
      </c>
      <c r="F37" s="1179"/>
      <c r="G37" s="124" t="s">
        <v>1987</v>
      </c>
    </row>
    <row r="38" spans="1:123" ht="13.5" customHeight="1">
      <c r="A38" s="92" t="s">
        <v>1988</v>
      </c>
      <c r="B38" s="93" t="s">
        <v>1989</v>
      </c>
      <c r="C38" s="115">
        <f>ROUND(C34*F38,0)</f>
        <v>8635</v>
      </c>
      <c r="D38" s="115"/>
      <c r="E38" s="115"/>
      <c r="F38" s="1179">
        <f>'数据-取费表'!E24</f>
        <v>1.4999999999999999E-2</v>
      </c>
      <c r="G38" s="95" t="s">
        <v>1983</v>
      </c>
    </row>
    <row r="39" spans="1:123" s="91" customFormat="1" ht="13.5" customHeight="1">
      <c r="A39" s="120" t="s">
        <v>1948</v>
      </c>
      <c r="B39" s="89" t="s">
        <v>1951</v>
      </c>
      <c r="C39" s="99">
        <f>ROUND(C33*F20,0)</f>
        <v>6400</v>
      </c>
      <c r="D39" s="99"/>
      <c r="E39" s="99"/>
      <c r="F39" s="2888">
        <f>F20</f>
        <v>0.01</v>
      </c>
      <c r="G39" s="100" t="s">
        <v>1990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1950</v>
      </c>
      <c r="B40" s="89" t="s">
        <v>1954</v>
      </c>
      <c r="C40" s="1302">
        <f>F21</f>
        <v>0.01</v>
      </c>
      <c r="D40" s="102" t="s">
        <v>1991</v>
      </c>
      <c r="E40" s="99"/>
      <c r="F40" s="2888">
        <f>F21</f>
        <v>0.01</v>
      </c>
      <c r="G40" s="100" t="s">
        <v>1992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1953</v>
      </c>
      <c r="B41" s="89" t="s">
        <v>1958</v>
      </c>
      <c r="C41" s="99">
        <f ca="1">ROUND(SUM(C42:C43),0)</f>
        <v>30702</v>
      </c>
      <c r="D41" s="101">
        <f ca="1">C44</f>
        <v>5.0000000000000001E-4</v>
      </c>
      <c r="E41" s="102" t="s">
        <v>1991</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1959</v>
      </c>
      <c r="B42" s="93" t="s">
        <v>1960</v>
      </c>
      <c r="C42" s="104">
        <f ca="1">ROUND(IF('数据-取费表'!B24&lt;=1,C33*F22*'数据-取费表'!B23/2,C33*(POWER((1+F22),'数据-取费表'!B23/2)-1)),0)</f>
        <v>30398</v>
      </c>
      <c r="D42" s="104"/>
      <c r="E42" s="104"/>
      <c r="F42" s="105"/>
      <c r="G42" s="3394" t="s">
        <v>1993</v>
      </c>
    </row>
    <row r="43" spans="1:123" ht="13.5" customHeight="1">
      <c r="A43" s="92" t="s">
        <v>1933</v>
      </c>
      <c r="B43" s="93" t="s">
        <v>1962</v>
      </c>
      <c r="C43" s="104">
        <f ca="1">ROUND(IF('数据-取费表'!B24&lt;=1,C39*F22*'数据-取费表'!B23/2,C39*(POWER((1+F22),'数据-取费表'!B23/2)-1)),0)</f>
        <v>304</v>
      </c>
      <c r="D43" s="104"/>
      <c r="E43" s="104"/>
      <c r="F43" s="105"/>
      <c r="G43" s="3395"/>
    </row>
    <row r="44" spans="1:123" ht="13.5" customHeight="1">
      <c r="A44" s="92" t="s">
        <v>1935</v>
      </c>
      <c r="B44" s="93" t="s">
        <v>1964</v>
      </c>
      <c r="C44" s="104">
        <f ca="1">ROUND(IF('数据-取费表'!B24&lt;=1,C40*F22*'数据-取费表'!B23/2,C40*(POWER((1+F22),'数据-取费表'!B23/2)-1)),4)</f>
        <v>5.0000000000000001E-4</v>
      </c>
      <c r="D44" s="104"/>
      <c r="E44" s="104"/>
      <c r="F44" s="105"/>
      <c r="G44" s="3396"/>
    </row>
    <row r="45" spans="1:123" s="91" customFormat="1" ht="13.5" customHeight="1">
      <c r="A45" s="120" t="s">
        <v>1957</v>
      </c>
      <c r="B45" s="110" t="s">
        <v>1969</v>
      </c>
      <c r="C45" s="111">
        <f>C46</f>
        <v>96953</v>
      </c>
      <c r="D45" s="101">
        <f>C47</f>
        <v>1.5E-3</v>
      </c>
      <c r="E45" s="102" t="s">
        <v>1991</v>
      </c>
      <c r="F45" s="2889">
        <f>F27</f>
        <v>0.15</v>
      </c>
      <c r="G45" s="113" t="s">
        <v>1994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1959</v>
      </c>
      <c r="B46" s="114" t="s">
        <v>1995</v>
      </c>
      <c r="C46" s="115">
        <f>ROUND((C33+C39)*F27,0)</f>
        <v>96953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1933</v>
      </c>
      <c r="B47" s="114" t="s">
        <v>1996</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1968</v>
      </c>
      <c r="B48" s="89" t="s">
        <v>1997</v>
      </c>
      <c r="C48" s="1302">
        <f>ROUND(F30/(1+'数据-取费表'!F30),4)</f>
        <v>5.33E-2</v>
      </c>
      <c r="D48" s="102" t="s">
        <v>1991</v>
      </c>
      <c r="E48" s="99"/>
      <c r="F48" s="2888">
        <f>F30</f>
        <v>5.6000000000000001E-2</v>
      </c>
      <c r="G48" s="100" t="s">
        <v>1998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1999</v>
      </c>
      <c r="B49" s="89" t="s">
        <v>2000</v>
      </c>
      <c r="C49" s="99">
        <f ca="1">ROUND((C33+C39+C41+C45)/(1-C40-D41-D45-C48),0)</f>
        <v>828082</v>
      </c>
      <c r="D49" s="99"/>
      <c r="E49" s="99"/>
      <c r="F49" s="126"/>
      <c r="G49" s="100" t="s">
        <v>2001</v>
      </c>
    </row>
    <row r="50" spans="1:123" s="122" customFormat="1" ht="24">
      <c r="A50" s="994" t="s">
        <v>2002</v>
      </c>
      <c r="B50" s="89" t="s">
        <v>2003</v>
      </c>
      <c r="C50" s="99"/>
      <c r="D50" s="99"/>
      <c r="E50" s="99"/>
      <c r="F50" s="126">
        <f>IF('数据-取费表'!B26=0,'数据-取费表'!E20,1)</f>
        <v>0.87</v>
      </c>
      <c r="G50" s="113" t="s">
        <v>2004</v>
      </c>
    </row>
    <row r="51" spans="1:123" ht="16.5" customHeight="1">
      <c r="A51" s="994" t="s">
        <v>2005</v>
      </c>
      <c r="B51" s="89" t="s">
        <v>2006</v>
      </c>
      <c r="C51" s="99">
        <f ca="1">ROUND(C49*F50,0)</f>
        <v>720431</v>
      </c>
      <c r="D51" s="99"/>
      <c r="E51" s="99"/>
      <c r="F51" s="126"/>
      <c r="G51" s="100" t="s">
        <v>2007</v>
      </c>
    </row>
    <row r="52" spans="1:123" s="88" customFormat="1" ht="16.5" thickBot="1">
      <c r="A52" s="127" t="s">
        <v>2008</v>
      </c>
      <c r="B52" s="128"/>
      <c r="C52" s="129">
        <f ca="1">C31+C51</f>
        <v>19597530</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2009</v>
      </c>
      <c r="C55" s="133"/>
    </row>
    <row r="56" spans="1:123">
      <c r="B56" s="135" t="s">
        <v>2010</v>
      </c>
      <c r="C56" s="136">
        <f ca="1">ROUND(C51/C52,3)</f>
        <v>3.6999999999999998E-2</v>
      </c>
    </row>
    <row r="57" spans="1:123">
      <c r="B57" s="135" t="s">
        <v>2011</v>
      </c>
      <c r="C57" s="137">
        <f ca="1">1-C56</f>
        <v>0.96299999999999997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477</v>
      </c>
      <c r="C2" s="1401" t="str">
        <f>'数据-取费表'!B3</f>
        <v>万元</v>
      </c>
      <c r="D2" s="924"/>
      <c r="E2" s="924"/>
      <c r="F2" s="924"/>
      <c r="G2" s="924"/>
      <c r="H2" s="924"/>
      <c r="I2" s="924"/>
      <c r="J2" s="924"/>
      <c r="K2" s="924"/>
    </row>
    <row r="3" spans="1:33" s="139" customFormat="1" ht="18" customHeight="1" thickBot="1">
      <c r="A3" s="83" t="s">
        <v>1289</v>
      </c>
      <c r="B3" s="84">
        <f ca="1">ROUND(C32/IF(C1="仅计算典型户型",'数据-取费表'!E5,'数据-取费表'!B5),0)</f>
        <v>24852</v>
      </c>
      <c r="C3" s="1401" t="s">
        <v>1290</v>
      </c>
      <c r="D3" s="924"/>
      <c r="E3" s="924"/>
      <c r="F3" s="924"/>
      <c r="G3" s="924"/>
      <c r="H3" s="924"/>
      <c r="I3" s="924"/>
      <c r="J3" s="924"/>
      <c r="K3" s="924"/>
    </row>
    <row r="4" spans="1:33" s="143" customFormat="1" ht="16.5" customHeight="1">
      <c r="A4" s="140" t="s">
        <v>1291</v>
      </c>
      <c r="B4" s="141"/>
      <c r="C4" s="1123">
        <f>SUM(C8:K8)</f>
        <v>6716149.9999999991</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191.89</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6716149.9999999991</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575670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17270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4989</v>
      </c>
      <c r="D14" s="164">
        <f>IF(C1="仅计算典型户型",'数据-取费表'!E5,'数据-取费表'!B5)</f>
        <v>191.89</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8635</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606564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191.89</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38378</v>
      </c>
      <c r="D20" s="164">
        <f>IF('数据-取费表'!B10&lt;&gt;"住宅",IF(C1="仅计算典型户型",'数据-取费表'!E5,'数据-取费表'!B5),0)</f>
        <v>191.89</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606564</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6066</v>
      </c>
      <c r="D22" s="180"/>
      <c r="E22" s="180"/>
      <c r="F22" s="181">
        <f>'数据-取费表'!E25</f>
        <v>0.01</v>
      </c>
      <c r="G22" s="156" t="s">
        <v>1327</v>
      </c>
      <c r="H22" s="159"/>
      <c r="I22" s="159"/>
      <c r="J22" s="159"/>
      <c r="K22" s="160"/>
      <c r="L22" s="182"/>
      <c r="M22" s="182"/>
      <c r="N22" s="182"/>
    </row>
    <row r="23" spans="1:33" s="166" customFormat="1" ht="13.5" customHeight="1">
      <c r="A23" s="995" t="s">
        <v>1298</v>
      </c>
      <c r="B23" s="177" t="s">
        <v>1328</v>
      </c>
      <c r="C23" s="178">
        <f>ROUND(C4*F23*F11,0)</f>
        <v>8731</v>
      </c>
      <c r="D23" s="180"/>
      <c r="E23" s="180"/>
      <c r="F23" s="181">
        <f>'数据-取费表'!E26</f>
        <v>0.01</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93204</v>
      </c>
      <c r="D28" s="183">
        <f>C29</f>
        <v>0.15440000000000001</v>
      </c>
      <c r="E28" s="189" t="s">
        <v>12</v>
      </c>
      <c r="F28" s="200">
        <f>'数据-取费表'!E28</f>
        <v>0.15</v>
      </c>
      <c r="G28" s="185"/>
      <c r="H28" s="186"/>
      <c r="I28" s="186"/>
      <c r="J28" s="186"/>
      <c r="K28" s="187"/>
    </row>
    <row r="29" spans="1:33" s="204" customFormat="1" ht="13.5" customHeight="1">
      <c r="A29" s="996" t="s">
        <v>1342</v>
      </c>
      <c r="B29" s="202" t="s">
        <v>1343</v>
      </c>
      <c r="C29" s="193">
        <f>ROUND((1+C24)*F28,4)</f>
        <v>0.15440000000000001</v>
      </c>
      <c r="D29" s="193"/>
      <c r="E29" s="194"/>
      <c r="F29" s="203"/>
      <c r="G29" s="147" t="s">
        <v>1344</v>
      </c>
      <c r="H29" s="170"/>
      <c r="I29" s="170"/>
      <c r="J29" s="170"/>
      <c r="K29" s="171"/>
    </row>
    <row r="30" spans="1:33" s="204" customFormat="1" ht="13.5" customHeight="1">
      <c r="A30" s="996" t="s">
        <v>1345</v>
      </c>
      <c r="B30" s="202" t="s">
        <v>1346</v>
      </c>
      <c r="C30" s="205">
        <f>ROUND((C21+C22+C23)*F28,0)</f>
        <v>93204</v>
      </c>
      <c r="D30" s="193"/>
      <c r="E30" s="206"/>
      <c r="F30" s="203"/>
      <c r="G30" s="147"/>
      <c r="H30" s="170"/>
      <c r="I30" s="170"/>
      <c r="J30" s="170"/>
      <c r="K30" s="171"/>
    </row>
    <row r="31" spans="1:33" s="182" customFormat="1" ht="13.5" customHeight="1" thickBot="1">
      <c r="A31" s="1403" t="s">
        <v>1347</v>
      </c>
      <c r="B31" s="177" t="s">
        <v>1348</v>
      </c>
      <c r="C31" s="207">
        <f>ROUND(C4*F31/(1+'数据-取费表'!F30),0)</f>
        <v>358195</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4768793</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3" sqref="F1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2012</v>
      </c>
      <c r="B1" s="222"/>
      <c r="C1" s="611"/>
      <c r="D1" s="1625"/>
      <c r="E1" s="1626"/>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1922</v>
      </c>
      <c r="B2" s="642" t="e">
        <f ca="1">IF(C2="元",IF('数据-取费表'!B29="租赁期内按合同租金",C40+L47+J29,C40+L47),ROUND(IF('数据-取费表'!B29="租赁期内按合同租金",(C40+L47+J29)/10000,(C40+L47)/10000),0))</f>
        <v>#DIV/0!</v>
      </c>
      <c r="C2" s="1519" t="str">
        <f>'数据-取费表'!B3</f>
        <v>万元</v>
      </c>
      <c r="D2" s="927"/>
      <c r="E2" s="928"/>
      <c r="F2" s="928"/>
      <c r="G2" s="953"/>
      <c r="H2" s="929"/>
      <c r="I2" s="929"/>
      <c r="J2" s="929"/>
      <c r="K2" s="930"/>
      <c r="L2" s="929"/>
      <c r="M2" s="929"/>
    </row>
    <row r="3" spans="1:37" ht="18" customHeight="1" thickBot="1">
      <c r="A3" s="226" t="s">
        <v>1923</v>
      </c>
      <c r="B3" s="643" t="e">
        <f ca="1">ROUND(IF('数据-取费表'!B29="租赁期内按合同租金",(C40+L47+J29)/F43,(C40+L47)/F43),0)</f>
        <v>#DIV/0!</v>
      </c>
      <c r="C3" s="1519" t="s">
        <v>2013</v>
      </c>
      <c r="D3" s="927"/>
      <c r="E3" s="928"/>
      <c r="F3" s="928"/>
      <c r="G3" s="953"/>
      <c r="H3" s="227" t="s">
        <v>2014</v>
      </c>
      <c r="I3" s="929"/>
      <c r="J3" s="929"/>
      <c r="K3" s="930"/>
      <c r="L3" s="929"/>
      <c r="M3" s="929"/>
    </row>
    <row r="4" spans="1:37" ht="18" customHeight="1">
      <c r="A4" s="228" t="s">
        <v>2015</v>
      </c>
      <c r="B4" s="229" t="s">
        <v>2016</v>
      </c>
      <c r="C4" s="229" t="s">
        <v>2017</v>
      </c>
      <c r="D4" s="229" t="s">
        <v>2018</v>
      </c>
      <c r="E4" s="230" t="s">
        <v>2019</v>
      </c>
      <c r="F4" s="231"/>
      <c r="G4" s="951"/>
      <c r="H4" s="228" t="s">
        <v>2015</v>
      </c>
      <c r="I4" s="229" t="s">
        <v>2016</v>
      </c>
      <c r="J4" s="229" t="s">
        <v>2017</v>
      </c>
      <c r="K4" s="229" t="s">
        <v>2018</v>
      </c>
      <c r="L4" s="230" t="s">
        <v>2019</v>
      </c>
      <c r="M4" s="231"/>
    </row>
    <row r="5" spans="1:37" ht="18" customHeight="1">
      <c r="A5" s="232">
        <v>1</v>
      </c>
      <c r="B5" s="233" t="s">
        <v>2020</v>
      </c>
      <c r="C5" s="234">
        <f ca="1">C6+C10+C12</f>
        <v>631147</v>
      </c>
      <c r="D5" s="1633" t="s">
        <v>2735</v>
      </c>
      <c r="E5" s="927"/>
      <c r="F5" s="1056"/>
      <c r="G5" s="951"/>
      <c r="H5" s="232">
        <v>1</v>
      </c>
      <c r="I5" s="233" t="s">
        <v>2020</v>
      </c>
      <c r="J5" s="234">
        <f ca="1">J6+J10+J12</f>
        <v>0</v>
      </c>
      <c r="K5" s="1520" t="s">
        <v>2021</v>
      </c>
      <c r="L5" s="927"/>
      <c r="M5" s="1056"/>
    </row>
    <row r="6" spans="1:37" ht="18" customHeight="1">
      <c r="A6" s="1057" t="s">
        <v>2022</v>
      </c>
      <c r="B6" s="1442" t="s">
        <v>2023</v>
      </c>
      <c r="C6" s="234">
        <f>ROUND(F6*F8*F7*(1-F9),0)</f>
        <v>630359</v>
      </c>
      <c r="D6" s="36" t="s">
        <v>2709</v>
      </c>
      <c r="E6" s="235" t="s">
        <v>2024</v>
      </c>
      <c r="F6" s="236">
        <f>'数据-取费表'!B30</f>
        <v>10</v>
      </c>
      <c r="G6" s="951"/>
      <c r="H6" s="1057" t="s">
        <v>2022</v>
      </c>
      <c r="I6" s="1442" t="s">
        <v>2023</v>
      </c>
      <c r="J6" s="234">
        <f>ROUND(M6*M8*M7*(1-M9),0)</f>
        <v>0</v>
      </c>
      <c r="K6" s="36" t="s">
        <v>2709</v>
      </c>
      <c r="L6" s="235" t="s">
        <v>2024</v>
      </c>
      <c r="M6" s="236">
        <f>'数据-取费表'!B37</f>
        <v>0</v>
      </c>
    </row>
    <row r="7" spans="1:37" ht="18" customHeight="1">
      <c r="A7" s="1119"/>
      <c r="B7" s="238"/>
      <c r="C7" s="239"/>
      <c r="D7" s="240"/>
      <c r="E7" s="235" t="s">
        <v>2025</v>
      </c>
      <c r="F7" s="236">
        <f>IF('数据-取费表'!B42="",IF(D1="仅计算典型户型",'数据-取费表'!E5,'数据-取费表'!B5),'数据-取费表'!B42)</f>
        <v>191.89</v>
      </c>
      <c r="G7" s="951"/>
      <c r="H7" s="237"/>
      <c r="I7" s="238"/>
      <c r="J7" s="239"/>
      <c r="K7" s="240"/>
      <c r="L7" s="235" t="s">
        <v>2025</v>
      </c>
      <c r="M7" s="236">
        <f>IF('数据-取费表'!B42="",IF(D1="仅计算典型户型",'数据-取费表'!E5,'数据-取费表'!B5),'数据-取费表'!B42)</f>
        <v>191.89</v>
      </c>
    </row>
    <row r="8" spans="1:37" ht="18" customHeight="1">
      <c r="A8" s="1119"/>
      <c r="B8" s="238"/>
      <c r="C8" s="239"/>
      <c r="D8" s="240"/>
      <c r="E8" s="235" t="s">
        <v>2026</v>
      </c>
      <c r="F8" s="236">
        <f>'数据-取费表'!B43</f>
        <v>365</v>
      </c>
      <c r="G8" s="951"/>
      <c r="H8" s="237"/>
      <c r="I8" s="238"/>
      <c r="J8" s="239"/>
      <c r="K8" s="240"/>
      <c r="L8" s="235" t="s">
        <v>2027</v>
      </c>
      <c r="M8" s="236">
        <f>'数据-取费表'!B43</f>
        <v>365</v>
      </c>
    </row>
    <row r="9" spans="1:37" ht="18" customHeight="1">
      <c r="A9" s="1119"/>
      <c r="B9" s="238"/>
      <c r="C9" s="239"/>
      <c r="D9" s="244"/>
      <c r="E9" s="235" t="s">
        <v>2028</v>
      </c>
      <c r="F9" s="245">
        <f>'数据-取费表'!B33</f>
        <v>0.1</v>
      </c>
      <c r="G9" s="951"/>
      <c r="H9" s="237"/>
      <c r="I9" s="238"/>
      <c r="J9" s="1059"/>
      <c r="K9" s="43"/>
      <c r="L9" s="246" t="s">
        <v>2028</v>
      </c>
      <c r="M9" s="245">
        <f>'数据-取费表'!B39</f>
        <v>0</v>
      </c>
    </row>
    <row r="10" spans="1:37" ht="18" customHeight="1">
      <c r="A10" s="1057" t="s">
        <v>2029</v>
      </c>
      <c r="B10" s="1521" t="s">
        <v>2030</v>
      </c>
      <c r="C10" s="1058">
        <f ca="1">ROUND(IF(F10="押一",C6/12*F11,IF(F10="押二",C6/12*2*F11,IF(F10="押三",C6/12*3*F11,C11*F11))),0)</f>
        <v>788</v>
      </c>
      <c r="D10" s="1522" t="s">
        <v>2715</v>
      </c>
      <c r="E10" s="246" t="s">
        <v>2031</v>
      </c>
      <c r="F10" s="1523" t="s">
        <v>2032</v>
      </c>
      <c r="G10" s="951"/>
      <c r="H10" s="1057" t="s">
        <v>2029</v>
      </c>
      <c r="I10" s="1521" t="s">
        <v>2030</v>
      </c>
      <c r="J10" s="1058">
        <f ca="1">ROUND(IF(M10="押一",J6/12*M11,IF(M10="押二",J6/12*2*M11,IF(M10="押三",J6/12*3*M11,J11*M11))),0)</f>
        <v>0</v>
      </c>
      <c r="K10" s="36" t="s">
        <v>2715</v>
      </c>
      <c r="L10" s="246" t="s">
        <v>2031</v>
      </c>
      <c r="M10" s="1523"/>
    </row>
    <row r="11" spans="1:37" s="257" customFormat="1" ht="18" customHeight="1">
      <c r="A11" s="263"/>
      <c r="B11" s="1524" t="s">
        <v>2033</v>
      </c>
      <c r="C11" s="1091"/>
      <c r="D11" s="240"/>
      <c r="E11" s="246" t="s">
        <v>2034</v>
      </c>
      <c r="F11" s="247">
        <f ca="1">'数据-取费表'!B31</f>
        <v>1.4999999999999999E-2</v>
      </c>
      <c r="G11" s="952"/>
      <c r="H11" s="241"/>
      <c r="I11" s="1524" t="s">
        <v>2035</v>
      </c>
      <c r="J11" s="1091"/>
      <c r="K11" s="240"/>
      <c r="L11" s="246" t="s">
        <v>2034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2036</v>
      </c>
      <c r="B12" s="1525" t="s">
        <v>2037</v>
      </c>
      <c r="C12" s="1097"/>
      <c r="D12" s="1526"/>
      <c r="E12" s="1103"/>
      <c r="F12" s="1098"/>
      <c r="G12" s="951"/>
      <c r="H12" s="1096" t="s">
        <v>2036</v>
      </c>
      <c r="I12" s="1525" t="s">
        <v>2037</v>
      </c>
      <c r="J12" s="1097"/>
      <c r="K12" s="1113"/>
      <c r="L12" s="1103"/>
      <c r="M12" s="1114"/>
    </row>
    <row r="13" spans="1:37" s="257" customFormat="1" ht="18" customHeight="1" thickTop="1">
      <c r="A13" s="1092">
        <v>2</v>
      </c>
      <c r="B13" s="1093" t="s">
        <v>2038</v>
      </c>
      <c r="C13" s="243">
        <f ca="1">ROUND(C29*F13,0)</f>
        <v>720431</v>
      </c>
      <c r="D13" s="1094" t="s">
        <v>2039</v>
      </c>
      <c r="E13" s="1094" t="s">
        <v>2040</v>
      </c>
      <c r="F13" s="1095">
        <f>'数据-取费表'!E20</f>
        <v>0.87</v>
      </c>
      <c r="G13" s="952"/>
      <c r="H13" s="1092">
        <v>2</v>
      </c>
      <c r="I13" s="1093" t="s">
        <v>2038</v>
      </c>
      <c r="J13" s="1059">
        <f ca="1">ROUND(J14*J15,0)</f>
        <v>0</v>
      </c>
      <c r="K13" s="1099" t="s">
        <v>2039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2041</v>
      </c>
      <c r="B14" s="235" t="s">
        <v>2042</v>
      </c>
      <c r="C14" s="254">
        <f>IF(D1="仅计算典型户型",'数据-取费表'!F18,'数据-取费表'!E18)</f>
        <v>575670</v>
      </c>
      <c r="D14" s="1328" t="s">
        <v>2043</v>
      </c>
      <c r="E14" s="1329"/>
      <c r="F14" s="799"/>
      <c r="G14" s="952"/>
      <c r="H14" s="253" t="s">
        <v>2022</v>
      </c>
      <c r="I14" s="235" t="s">
        <v>2044</v>
      </c>
      <c r="J14" s="13">
        <f ca="1">C29</f>
        <v>828082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2045</v>
      </c>
      <c r="B15" s="235" t="s">
        <v>2046</v>
      </c>
      <c r="C15" s="13">
        <f>ROUND(C14*F15,0)</f>
        <v>17270</v>
      </c>
      <c r="D15" s="255" t="s">
        <v>2047</v>
      </c>
      <c r="E15" s="255" t="s">
        <v>2048</v>
      </c>
      <c r="F15" s="256">
        <f>'数据-取费表'!E21</f>
        <v>0.03</v>
      </c>
      <c r="G15" s="951"/>
      <c r="H15" s="1102" t="s">
        <v>2049</v>
      </c>
      <c r="I15" s="1103" t="s">
        <v>2050</v>
      </c>
      <c r="J15" s="1115">
        <f>'数据-取费表'!B40</f>
        <v>0</v>
      </c>
      <c r="K15" s="1116"/>
      <c r="L15" s="1117"/>
      <c r="M15" s="1118"/>
    </row>
    <row r="16" spans="1:37" s="257" customFormat="1" ht="18" customHeight="1" thickTop="1">
      <c r="A16" s="253" t="s">
        <v>2051</v>
      </c>
      <c r="B16" s="235" t="s">
        <v>2052</v>
      </c>
      <c r="C16" s="13">
        <f>ROUND(C14*F16,0)</f>
        <v>0</v>
      </c>
      <c r="D16" s="235" t="s">
        <v>2047</v>
      </c>
      <c r="E16" s="235" t="s">
        <v>2048</v>
      </c>
      <c r="F16" s="258">
        <f>IF('数据-取费表'!B10="住宅",'数据-取费表'!E22,0)</f>
        <v>0</v>
      </c>
      <c r="G16" s="952"/>
      <c r="H16" s="1092" t="s">
        <v>14</v>
      </c>
      <c r="I16" s="1093" t="s">
        <v>2053</v>
      </c>
      <c r="J16" s="243">
        <f ca="1">ROUND(J17+J22+J23+J24,0)</f>
        <v>19377</v>
      </c>
      <c r="K16" s="1099" t="s">
        <v>2054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2055</v>
      </c>
      <c r="B17" s="235" t="s">
        <v>2056</v>
      </c>
      <c r="C17" s="13">
        <f>ROUND(F17*IF(D1="仅计算典型户型",'数据-取费表'!E5,'数据-取费表'!B5),0)</f>
        <v>38378</v>
      </c>
      <c r="D17" s="235" t="s">
        <v>2057</v>
      </c>
      <c r="E17" s="235" t="s">
        <v>2058</v>
      </c>
      <c r="F17" s="15">
        <f>'数据-取费表'!E23</f>
        <v>200</v>
      </c>
      <c r="G17" s="952"/>
      <c r="H17" s="253" t="s">
        <v>2059</v>
      </c>
      <c r="I17" s="235" t="s">
        <v>2060</v>
      </c>
      <c r="J17" s="2827">
        <f ca="1">ROUND(IF(AND(项目基本情况!B7="自然人",项目基本情况!B6="北京市"),J6*M17/(1+'数据-取费表'!F30),J18+J19+J20),0)</f>
        <v>6956</v>
      </c>
      <c r="K17" s="1328" t="s">
        <v>2061</v>
      </c>
      <c r="L17" s="1331" t="s">
        <v>2062</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2063</v>
      </c>
      <c r="B18" s="235" t="s">
        <v>2064</v>
      </c>
      <c r="C18" s="13">
        <f>ROUND(C14*F18,0)</f>
        <v>8635</v>
      </c>
      <c r="D18" s="235" t="s">
        <v>2047</v>
      </c>
      <c r="E18" s="235" t="s">
        <v>2048</v>
      </c>
      <c r="F18" s="258">
        <f>'数据-取费表'!E24</f>
        <v>1.4999999999999999E-2</v>
      </c>
      <c r="G18" s="951"/>
      <c r="H18" s="253" t="s">
        <v>2065</v>
      </c>
      <c r="I18" s="235" t="s">
        <v>2066</v>
      </c>
      <c r="J18" s="13">
        <f>IF(项目基本情况!B7="自然人","——",ROUND(J6*M18/(1+'数据-取费表'!F30),0))</f>
        <v>0</v>
      </c>
      <c r="K18" s="1331" t="s">
        <v>2737</v>
      </c>
      <c r="L18" s="235" t="s">
        <v>2048</v>
      </c>
      <c r="M18" s="258">
        <f>'数据-取费表'!E29</f>
        <v>5.6000000000000001E-2</v>
      </c>
    </row>
    <row r="19" spans="1:37" s="257" customFormat="1" ht="18" customHeight="1">
      <c r="A19" s="253" t="s">
        <v>2059</v>
      </c>
      <c r="B19" s="235" t="s">
        <v>2067</v>
      </c>
      <c r="C19" s="13">
        <f>SUM(C14:C18)</f>
        <v>639953</v>
      </c>
      <c r="D19" s="33" t="s">
        <v>2068</v>
      </c>
      <c r="E19" s="1333"/>
      <c r="F19" s="15"/>
      <c r="G19" s="952"/>
      <c r="H19" s="253" t="s">
        <v>2045</v>
      </c>
      <c r="I19" s="235" t="s">
        <v>2069</v>
      </c>
      <c r="J19" s="13">
        <f ca="1">IF(项目基本情况!B7="自然人","——",IF(K19="按租金收入计税",ROUND(J6*M19/(1+'数据-取费表'!F30),0),ROUND(C29*M19*0.7,0)))</f>
        <v>6956</v>
      </c>
      <c r="K19" s="1436"/>
      <c r="L19" s="235" t="s">
        <v>2048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2029</v>
      </c>
      <c r="B20" s="235" t="s">
        <v>2071</v>
      </c>
      <c r="C20" s="13">
        <f>ROUND(C19*F20,0)</f>
        <v>6400</v>
      </c>
      <c r="D20" s="259" t="s">
        <v>2072</v>
      </c>
      <c r="E20" s="235" t="s">
        <v>2073</v>
      </c>
      <c r="F20" s="258">
        <f>'数据-取费表'!E25</f>
        <v>0.01</v>
      </c>
      <c r="G20" s="952"/>
      <c r="H20" s="253" t="s">
        <v>2051</v>
      </c>
      <c r="I20" s="36" t="s">
        <v>2074</v>
      </c>
      <c r="J20" s="14">
        <f>IF(项目基本情况!B7="自然人","——",ROUND(M20*M21,0))</f>
        <v>0</v>
      </c>
      <c r="K20" s="261" t="s">
        <v>2075</v>
      </c>
      <c r="L20" s="235" t="s">
        <v>2076</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2077</v>
      </c>
      <c r="B21" s="235" t="s">
        <v>2078</v>
      </c>
      <c r="C21" s="597">
        <f>F21</f>
        <v>0.01</v>
      </c>
      <c r="D21" s="259" t="s">
        <v>2079</v>
      </c>
      <c r="E21" s="235" t="s">
        <v>2080</v>
      </c>
      <c r="F21" s="258">
        <f>'数据-取费表'!E26</f>
        <v>0.01</v>
      </c>
      <c r="G21" s="951"/>
      <c r="H21" s="263"/>
      <c r="I21" s="244"/>
      <c r="J21" s="17"/>
      <c r="K21" s="264"/>
      <c r="L21" s="235" t="s">
        <v>2081</v>
      </c>
      <c r="M21" s="236">
        <f>IF(D1="仅计算典型户型",'数据-取费表'!E6,'数据-取费表'!B6)</f>
        <v>0</v>
      </c>
    </row>
    <row r="22" spans="1:37" ht="18" customHeight="1">
      <c r="A22" s="253" t="s">
        <v>2082</v>
      </c>
      <c r="B22" s="235" t="s">
        <v>2083</v>
      </c>
      <c r="C22" s="13"/>
      <c r="D22" s="33" t="str">
        <f>IF(F23&lt;=1,"单利计息。","复利计息。")&amp;"建造成本、管理费用、销售费用产生的利息。"</f>
        <v>复利计息。建造成本、管理费用、销售费用产生的利息。</v>
      </c>
      <c r="E22" s="1333"/>
      <c r="F22" s="15"/>
      <c r="G22" s="951"/>
      <c r="H22" s="253" t="s">
        <v>2049</v>
      </c>
      <c r="I22" s="235" t="s">
        <v>2084</v>
      </c>
      <c r="J22" s="13">
        <f ca="1">ROUND(J14*M22,0)</f>
        <v>12421</v>
      </c>
      <c r="K22" s="1331" t="s">
        <v>2085</v>
      </c>
      <c r="L22" s="235" t="s">
        <v>2048</v>
      </c>
      <c r="M22" s="265">
        <f>'数据-取费表'!B45</f>
        <v>1.4999999999999999E-2</v>
      </c>
    </row>
    <row r="23" spans="1:37" ht="18" customHeight="1">
      <c r="A23" s="253" t="s">
        <v>2065</v>
      </c>
      <c r="B23" s="235" t="s">
        <v>2086</v>
      </c>
      <c r="C23" s="13">
        <f ca="1">IF('数据-取费表'!B24&lt;=1,ROUND(C19*F24*F23/2,0)+ROUND(C20*F24*F23/2,0),ROUND(C19*(POWER((1+F24),F23/2)-1),0)+ROUND(C20*(POWER((1+F24),F23/2)-1),0))</f>
        <v>30702</v>
      </c>
      <c r="D23" s="1432" t="str">
        <f>IF(F23&lt;=1,"(建造成本+管理费用)×利率×(建设周期÷2)","(建造成本+管理费用)×((1+利率)^(建设周期÷2)-1)")</f>
        <v>(建造成本+管理费用)×((1+利率)^(建设周期÷2)-1)</v>
      </c>
      <c r="E23" s="235" t="s">
        <v>2087</v>
      </c>
      <c r="F23" s="262">
        <f>'数据-取费表'!B22</f>
        <v>2</v>
      </c>
      <c r="G23" s="951"/>
      <c r="H23" s="253" t="s">
        <v>2077</v>
      </c>
      <c r="I23" s="235" t="s">
        <v>2088</v>
      </c>
      <c r="J23" s="13">
        <f ca="1">ROUND(J13*M23,0)</f>
        <v>0</v>
      </c>
      <c r="K23" s="1331" t="s">
        <v>2089</v>
      </c>
      <c r="L23" s="235" t="s">
        <v>2090</v>
      </c>
      <c r="M23" s="266">
        <f>'数据-取费表'!B46</f>
        <v>1.5E-3</v>
      </c>
    </row>
    <row r="24" spans="1:37" s="257" customFormat="1" ht="18" customHeight="1" thickBot="1">
      <c r="A24" s="253" t="s">
        <v>2091</v>
      </c>
      <c r="B24" s="235" t="s">
        <v>2092</v>
      </c>
      <c r="C24" s="13">
        <f ca="1">ROUND(IF('数据-取费表'!B24&lt;=1,F21*F24*F23/2,F21*(POWER((1+F24),F23/2)-1)),4)</f>
        <v>5.0000000000000001E-4</v>
      </c>
      <c r="D24" s="1432" t="str">
        <f>IF(F23&lt;=1,"销售费用×利率×(建设周期÷2)","销售费用×((1+利率)^(建设周期÷2)-1)")</f>
        <v>销售费用×((1+利率)^(建设周期÷2)-1)</v>
      </c>
      <c r="E24" s="235" t="s">
        <v>2093</v>
      </c>
      <c r="F24" s="267">
        <f ca="1">'数据-取费表'!E27</f>
        <v>4.7500000000000001E-2</v>
      </c>
      <c r="G24" s="952"/>
      <c r="H24" s="1102" t="s">
        <v>2082</v>
      </c>
      <c r="I24" s="1103" t="s">
        <v>2071</v>
      </c>
      <c r="J24" s="1104">
        <f ca="1">ROUND(J5*M24,0)</f>
        <v>0</v>
      </c>
      <c r="K24" s="1105" t="s">
        <v>2094</v>
      </c>
      <c r="L24" s="1103" t="s">
        <v>2090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2095</v>
      </c>
      <c r="B25" s="235" t="s">
        <v>2096</v>
      </c>
      <c r="C25" s="13"/>
      <c r="D25" s="33" t="s">
        <v>2097</v>
      </c>
      <c r="E25" s="1333"/>
      <c r="F25" s="15"/>
      <c r="G25" s="952"/>
      <c r="H25" s="1092" t="s">
        <v>22</v>
      </c>
      <c r="I25" s="1107" t="s">
        <v>2098</v>
      </c>
      <c r="J25" s="243">
        <f ca="1">J5-J16</f>
        <v>-19377</v>
      </c>
      <c r="K25" s="1108" t="s">
        <v>2099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2041</v>
      </c>
      <c r="B26" s="235" t="s">
        <v>2100</v>
      </c>
      <c r="C26" s="13">
        <f>ROUND((C19+C20)*F26,0)</f>
        <v>96953</v>
      </c>
      <c r="D26" s="259" t="s">
        <v>2101</v>
      </c>
      <c r="E26" s="246" t="s">
        <v>2102</v>
      </c>
      <c r="F26" s="245">
        <f>'数据-取费表'!E28</f>
        <v>0.15</v>
      </c>
      <c r="G26" s="652"/>
      <c r="H26" s="232" t="s">
        <v>23</v>
      </c>
      <c r="I26" s="233" t="s">
        <v>2103</v>
      </c>
      <c r="J26" s="234">
        <f ca="1">IF(J5&lt;&gt;0,ROUND(J25*(1-((1+M28)/(1+M26))^M27)/(M26-M28),0),0)</f>
        <v>0</v>
      </c>
      <c r="K26" s="261" t="s">
        <v>2104</v>
      </c>
      <c r="L26" s="235" t="s">
        <v>2105</v>
      </c>
      <c r="M26" s="245">
        <f>'数据-取费表'!B16</f>
        <v>5.5E-2</v>
      </c>
    </row>
    <row r="27" spans="1:37" ht="18" customHeight="1">
      <c r="A27" s="253" t="s">
        <v>2106</v>
      </c>
      <c r="B27" s="235" t="s">
        <v>2107</v>
      </c>
      <c r="C27" s="13">
        <f>ROUND(F21*F26,4)</f>
        <v>1.5E-3</v>
      </c>
      <c r="D27" s="259" t="s">
        <v>2108</v>
      </c>
      <c r="E27" s="255"/>
      <c r="F27" s="256"/>
      <c r="G27" s="652"/>
      <c r="H27" s="237"/>
      <c r="I27" s="238"/>
      <c r="J27" s="239"/>
      <c r="K27" s="269" t="s">
        <v>2109</v>
      </c>
      <c r="L27" s="235" t="s">
        <v>2110</v>
      </c>
      <c r="M27" s="270" t="str">
        <f>'数据-取费表'!B41</f>
        <v>——</v>
      </c>
    </row>
    <row r="28" spans="1:37" ht="18" customHeight="1">
      <c r="A28" s="253" t="s">
        <v>2111</v>
      </c>
      <c r="B28" s="235" t="s">
        <v>2112</v>
      </c>
      <c r="C28" s="13">
        <f>ROUND(F28/(1+'数据-取费表'!F30),4)</f>
        <v>5.33E-2</v>
      </c>
      <c r="D28" s="259" t="s">
        <v>2113</v>
      </c>
      <c r="E28" s="235" t="s">
        <v>2073</v>
      </c>
      <c r="F28" s="258">
        <f>'数据-取费表'!E29</f>
        <v>5.6000000000000001E-2</v>
      </c>
      <c r="G28" s="652"/>
      <c r="H28" s="241"/>
      <c r="I28" s="242"/>
      <c r="J28" s="243"/>
      <c r="K28" s="264"/>
      <c r="L28" s="235" t="s">
        <v>2114</v>
      </c>
      <c r="M28" s="245">
        <f>'数据-取费表'!B38</f>
        <v>0</v>
      </c>
    </row>
    <row r="29" spans="1:37" ht="18" customHeight="1" thickBot="1">
      <c r="A29" s="1102" t="s">
        <v>2115</v>
      </c>
      <c r="B29" s="1103" t="s">
        <v>2116</v>
      </c>
      <c r="C29" s="1104">
        <f ca="1">ROUND((C19+C20+C23+C26)/(1-F21-C24-C27-C28),0)</f>
        <v>828082</v>
      </c>
      <c r="D29" s="1105"/>
      <c r="E29" s="1103"/>
      <c r="F29" s="1106"/>
      <c r="G29" s="652"/>
      <c r="H29" s="271" t="s">
        <v>24</v>
      </c>
      <c r="I29" s="272" t="s">
        <v>2117</v>
      </c>
      <c r="J29" s="273">
        <f ca="1">ROUND(J26/(1+F40)^F41,0)</f>
        <v>0</v>
      </c>
      <c r="K29" s="274" t="s">
        <v>2118</v>
      </c>
      <c r="L29" s="275"/>
      <c r="M29" s="276">
        <f>IF(D1="仅计算典型户型",'数据-取费表'!E5,'数据-取费表'!B5)</f>
        <v>191.89</v>
      </c>
    </row>
    <row r="30" spans="1:37" ht="18" customHeight="1" thickTop="1">
      <c r="A30" s="1092" t="s">
        <v>14</v>
      </c>
      <c r="B30" s="1093" t="s">
        <v>2119</v>
      </c>
      <c r="C30" s="243">
        <f ca="1">ROUND(C31+C36+C37+C38,0)</f>
        <v>53432</v>
      </c>
      <c r="D30" s="1099" t="s">
        <v>2120</v>
      </c>
      <c r="E30" s="1100"/>
      <c r="F30" s="1101"/>
      <c r="G30" s="652"/>
      <c r="H30" s="931"/>
      <c r="I30" s="932"/>
      <c r="J30" s="933"/>
      <c r="K30" s="934"/>
      <c r="L30" s="935"/>
      <c r="M30" s="936"/>
    </row>
    <row r="31" spans="1:37" ht="18" customHeight="1">
      <c r="A31" s="253" t="s">
        <v>2022</v>
      </c>
      <c r="B31" s="235" t="s">
        <v>2060</v>
      </c>
      <c r="C31" s="2827">
        <f>ROUND(IF(AND(项目基本情况!B7="自然人",项目基本情况!B6="北京市"),C6*F31/(1+'数据-取费表'!F30),C32+C33+C34),0)</f>
        <v>33619</v>
      </c>
      <c r="D31" s="1328" t="s">
        <v>2121</v>
      </c>
      <c r="E31" s="1331" t="s">
        <v>2122</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2041</v>
      </c>
      <c r="B32" s="235" t="s">
        <v>2123</v>
      </c>
      <c r="C32" s="13">
        <f>IF(项目基本情况!B7="自然人","——",ROUND(C6*F32/(1+'数据-取费表'!F30),0))</f>
        <v>33619</v>
      </c>
      <c r="D32" s="1331" t="s">
        <v>2736</v>
      </c>
      <c r="E32" s="235" t="s">
        <v>2073</v>
      </c>
      <c r="F32" s="267">
        <f>'数据-取费表'!E29</f>
        <v>5.6000000000000001E-2</v>
      </c>
      <c r="G32" s="652"/>
      <c r="H32" s="937"/>
      <c r="I32" s="938"/>
      <c r="J32" s="939"/>
      <c r="K32" s="940"/>
      <c r="L32" s="941"/>
      <c r="M32" s="942"/>
    </row>
    <row r="33" spans="1:18" ht="18" customHeight="1">
      <c r="A33" s="253" t="s">
        <v>2045</v>
      </c>
      <c r="B33" s="235" t="s">
        <v>2069</v>
      </c>
      <c r="C33" s="13">
        <f>IF(项目基本情况!B7="自然人","——",IF(D33="按租金收入计税",ROUND(C6*F33/(1+'数据-取费表'!F30),0),IF(D33="按房产原值计税",ROUND(C29*F33*0.7,0),'数据-取费表'!B44)))</f>
        <v>0</v>
      </c>
      <c r="D33" s="1436"/>
      <c r="E33" s="235" t="s">
        <v>2048</v>
      </c>
      <c r="F33" s="258">
        <f>IF(D33="按票据","——",IF(D33="按租金收入计税",'数据-取费表'!E39,'数据-取费表'!E38))</f>
        <v>1.2E-2</v>
      </c>
      <c r="G33" s="652"/>
      <c r="H33" s="943"/>
      <c r="I33" s="278" t="s">
        <v>2125</v>
      </c>
      <c r="J33" s="279"/>
      <c r="K33" s="944"/>
      <c r="L33" s="943"/>
      <c r="M33" s="943"/>
    </row>
    <row r="34" spans="1:18" ht="18" customHeight="1">
      <c r="A34" s="1057" t="s">
        <v>2051</v>
      </c>
      <c r="B34" s="36" t="s">
        <v>2074</v>
      </c>
      <c r="C34" s="14">
        <f>IF(项目基本情况!B7="自然人","——",ROUND(F34*F35,0))</f>
        <v>0</v>
      </c>
      <c r="D34" s="261" t="s">
        <v>2075</v>
      </c>
      <c r="E34" s="235" t="s">
        <v>2076</v>
      </c>
      <c r="F34" s="262">
        <f>'数据-取费表'!E40</f>
        <v>30</v>
      </c>
      <c r="G34" s="652"/>
      <c r="H34" s="931"/>
      <c r="I34" s="280" t="s">
        <v>2126</v>
      </c>
      <c r="J34" s="281">
        <f ca="1">ROUND(C13*J35,0)</f>
        <v>54032</v>
      </c>
      <c r="K34" s="945"/>
      <c r="L34" s="946"/>
      <c r="M34" s="946"/>
    </row>
    <row r="35" spans="1:18" ht="24.6" customHeight="1">
      <c r="A35" s="1061"/>
      <c r="B35" s="244"/>
      <c r="C35" s="17"/>
      <c r="D35" s="264"/>
      <c r="E35" s="235" t="s">
        <v>2081</v>
      </c>
      <c r="F35" s="236">
        <f>IF(D1="仅计算典型户型",'数据-取费表'!E6,'数据-取费表'!B6)</f>
        <v>0</v>
      </c>
      <c r="G35" s="652" t="s">
        <v>2824</v>
      </c>
      <c r="H35" s="931"/>
      <c r="I35" s="282" t="s">
        <v>2127</v>
      </c>
      <c r="J35" s="283">
        <f>'数据-取费表'!B18</f>
        <v>7.4999999999999997E-2</v>
      </c>
      <c r="K35" s="944"/>
      <c r="L35" s="943"/>
      <c r="M35" s="943"/>
    </row>
    <row r="36" spans="1:18" ht="18" customHeight="1">
      <c r="A36" s="1060" t="s">
        <v>2029</v>
      </c>
      <c r="B36" s="235" t="s">
        <v>2128</v>
      </c>
      <c r="C36" s="13">
        <f ca="1">ROUND(C29*F36,0)</f>
        <v>12421</v>
      </c>
      <c r="D36" s="1331" t="s">
        <v>2129</v>
      </c>
      <c r="E36" s="235" t="s">
        <v>2073</v>
      </c>
      <c r="F36" s="265">
        <f>'数据-取费表'!B45</f>
        <v>1.4999999999999999E-2</v>
      </c>
      <c r="G36" s="652"/>
      <c r="H36" s="943"/>
      <c r="I36" s="284" t="s">
        <v>2130</v>
      </c>
      <c r="J36" s="285"/>
      <c r="K36" s="947"/>
      <c r="L36" s="943"/>
      <c r="M36" s="943"/>
    </row>
    <row r="37" spans="1:18" ht="18" customHeight="1">
      <c r="A37" s="253" t="s">
        <v>2077</v>
      </c>
      <c r="B37" s="235" t="s">
        <v>2088</v>
      </c>
      <c r="C37" s="13">
        <f ca="1">ROUND(C13*F37,0)</f>
        <v>1081</v>
      </c>
      <c r="D37" s="1331" t="s">
        <v>2089</v>
      </c>
      <c r="E37" s="235" t="s">
        <v>2090</v>
      </c>
      <c r="F37" s="266">
        <f>'数据-取费表'!B46</f>
        <v>1.5E-3</v>
      </c>
      <c r="G37" s="652"/>
      <c r="H37" s="943"/>
      <c r="I37" s="132" t="s">
        <v>2131</v>
      </c>
      <c r="J37" s="286"/>
      <c r="K37" s="947"/>
      <c r="L37" s="943"/>
      <c r="M37" s="943"/>
    </row>
    <row r="38" spans="1:18" ht="18" customHeight="1" thickBot="1">
      <c r="A38" s="1102" t="s">
        <v>2082</v>
      </c>
      <c r="B38" s="1103" t="s">
        <v>2071</v>
      </c>
      <c r="C38" s="1104">
        <f ca="1">ROUND(C5*F38,0)</f>
        <v>6311</v>
      </c>
      <c r="D38" s="1105" t="s">
        <v>2094</v>
      </c>
      <c r="E38" s="1103" t="s">
        <v>2090</v>
      </c>
      <c r="F38" s="1098">
        <f>'数据-取费表'!B47</f>
        <v>0.01</v>
      </c>
      <c r="G38" s="652"/>
      <c r="H38" s="943"/>
      <c r="I38" s="280" t="s">
        <v>2132</v>
      </c>
      <c r="J38" s="136">
        <f ca="1">ROUND(J34/C39,3)</f>
        <v>9.4E-2</v>
      </c>
      <c r="K38" s="948"/>
      <c r="L38" s="943"/>
      <c r="M38" s="943"/>
    </row>
    <row r="39" spans="1:18" ht="18" customHeight="1" thickTop="1">
      <c r="A39" s="1092" t="s">
        <v>22</v>
      </c>
      <c r="B39" s="1107" t="s">
        <v>2133</v>
      </c>
      <c r="C39" s="243">
        <f ca="1">C5-C30</f>
        <v>577715</v>
      </c>
      <c r="D39" s="1108" t="s">
        <v>2134</v>
      </c>
      <c r="E39" s="1109"/>
      <c r="F39" s="1110"/>
      <c r="G39" s="652"/>
      <c r="H39" s="943"/>
      <c r="I39" s="280" t="s">
        <v>2135</v>
      </c>
      <c r="J39" s="136">
        <f ca="1">1-J38</f>
        <v>0.90600000000000003</v>
      </c>
      <c r="K39" s="948"/>
      <c r="L39" s="943"/>
      <c r="M39" s="943"/>
    </row>
    <row r="40" spans="1:18" s="652" customFormat="1" ht="18" customHeight="1">
      <c r="A40" s="232" t="s">
        <v>23</v>
      </c>
      <c r="B40" s="233" t="s">
        <v>2136</v>
      </c>
      <c r="C40" s="234">
        <f ca="1">ROUND(C39*(1-((1+F42)/(1+F40))^F41)/(F40-F42),0)</f>
        <v>-8453921</v>
      </c>
      <c r="D40" s="261" t="s">
        <v>2104</v>
      </c>
      <c r="E40" s="235" t="s">
        <v>2105</v>
      </c>
      <c r="F40" s="245">
        <f>'数据-取费表'!B16</f>
        <v>5.5E-2</v>
      </c>
      <c r="H40" s="949"/>
      <c r="I40" s="132" t="s">
        <v>2137</v>
      </c>
      <c r="J40" s="133"/>
      <c r="K40" s="948"/>
      <c r="L40" s="949"/>
      <c r="M40" s="949"/>
      <c r="Q40" s="656"/>
    </row>
    <row r="41" spans="1:18" s="652" customFormat="1" ht="18" customHeight="1">
      <c r="A41" s="237"/>
      <c r="B41" s="238"/>
      <c r="C41" s="239"/>
      <c r="D41" s="269" t="s">
        <v>2138</v>
      </c>
      <c r="E41" s="1303" t="s">
        <v>2718</v>
      </c>
      <c r="F41" s="270">
        <f>IF('数据-取费表'!B29="租赁期内按合同租金",'数据-取费表'!B35,IF(E41="收益年期(n)",'数据-取费表'!B34,'数据-取费表'!B13))</f>
        <v>-13</v>
      </c>
      <c r="H41" s="950"/>
      <c r="I41" s="135" t="s">
        <v>2010</v>
      </c>
      <c r="J41" s="136">
        <f ca="1">ROUND(C13/C40,3)</f>
        <v>-8.5000000000000006E-2</v>
      </c>
      <c r="K41" s="947"/>
      <c r="L41" s="950"/>
      <c r="M41" s="950"/>
      <c r="Q41" s="656"/>
    </row>
    <row r="42" spans="1:18" s="652" customFormat="1" ht="18" customHeight="1">
      <c r="A42" s="241"/>
      <c r="B42" s="242"/>
      <c r="C42" s="243"/>
      <c r="D42" s="264"/>
      <c r="E42" s="235" t="s">
        <v>2114</v>
      </c>
      <c r="F42" s="245">
        <f>'数据-取费表'!B32</f>
        <v>0.03</v>
      </c>
      <c r="H42" s="950"/>
      <c r="I42" s="135" t="s">
        <v>2011</v>
      </c>
      <c r="J42" s="137">
        <f ca="1">1-J41</f>
        <v>1.085</v>
      </c>
      <c r="K42" s="947"/>
      <c r="L42" s="950"/>
      <c r="M42" s="950"/>
      <c r="Q42" s="656"/>
    </row>
    <row r="43" spans="1:18" s="652" customFormat="1" ht="18" customHeight="1" thickBot="1">
      <c r="A43" s="271" t="s">
        <v>24</v>
      </c>
      <c r="B43" s="272" t="s">
        <v>2139</v>
      </c>
      <c r="C43" s="273">
        <f ca="1">ROUND(C40/F43,0)</f>
        <v>-44056</v>
      </c>
      <c r="D43" s="274" t="s">
        <v>2140</v>
      </c>
      <c r="E43" s="275" t="s">
        <v>2141</v>
      </c>
      <c r="F43" s="276">
        <f>IF(D1="仅计算典型户型",'数据-取费表'!E5,'数据-取费表'!B5)</f>
        <v>191.89</v>
      </c>
      <c r="G43" s="654"/>
      <c r="H43" s="950"/>
      <c r="I43" s="950"/>
      <c r="J43" s="950"/>
      <c r="K43" s="947"/>
      <c r="L43" s="950"/>
      <c r="M43" s="950"/>
      <c r="O43" s="1041" t="s">
        <v>2142</v>
      </c>
      <c r="P43" s="1042"/>
      <c r="Q43" s="1038"/>
      <c r="R43" s="1042"/>
    </row>
    <row r="44" spans="1:18" s="652" customFormat="1" ht="18" customHeight="1" thickBot="1">
      <c r="A44" s="649"/>
      <c r="B44" s="649"/>
      <c r="C44" s="651"/>
      <c r="D44" s="649"/>
      <c r="E44" s="649"/>
      <c r="F44" s="649"/>
      <c r="G44" s="654"/>
      <c r="K44" s="653"/>
      <c r="O44" s="1043" t="s">
        <v>2143</v>
      </c>
      <c r="P44" s="1044" t="s">
        <v>2144</v>
      </c>
      <c r="Q44" s="1045" t="s">
        <v>2145</v>
      </c>
      <c r="R44" s="1046" t="s">
        <v>2146</v>
      </c>
    </row>
    <row r="45" spans="1:18" s="652" customFormat="1" ht="18" customHeight="1" thickBot="1">
      <c r="A45" s="649"/>
      <c r="B45" s="649"/>
      <c r="C45" s="651"/>
      <c r="D45" s="649"/>
      <c r="E45" s="649"/>
      <c r="F45" s="649"/>
      <c r="G45" s="655"/>
      <c r="K45" s="653"/>
      <c r="O45" s="1047" t="s">
        <v>949</v>
      </c>
      <c r="P45" s="1048" t="s">
        <v>2147</v>
      </c>
      <c r="Q45" s="1049">
        <f ca="1">C40+J29</f>
        <v>-8453921</v>
      </c>
      <c r="R45" s="1050" t="s">
        <v>2148</v>
      </c>
    </row>
    <row r="46" spans="1:18" s="652" customFormat="1" ht="18" customHeight="1" thickBot="1">
      <c r="A46" s="649"/>
      <c r="D46" s="649"/>
      <c r="E46" s="649"/>
      <c r="F46" s="649"/>
      <c r="K46" s="653"/>
      <c r="O46" s="1047" t="s">
        <v>950</v>
      </c>
      <c r="P46" s="1048" t="s">
        <v>2149</v>
      </c>
      <c r="Q46" s="1049" t="str">
        <f>J61</f>
        <v>0</v>
      </c>
      <c r="R46" s="1050" t="s">
        <v>2150</v>
      </c>
    </row>
    <row r="47" spans="1:18" s="652" customFormat="1" ht="21.75" thickBot="1">
      <c r="A47" s="1527" t="s">
        <v>2151</v>
      </c>
      <c r="C47" s="992">
        <f ca="1">IF(C2="元",C69-C40,ROUND((C69-C40)/10000,0))</f>
        <v>883</v>
      </c>
      <c r="D47" s="1528" t="str">
        <f>C2</f>
        <v>万元</v>
      </c>
      <c r="E47" s="649"/>
      <c r="F47" s="649"/>
      <c r="I47" s="1529" t="s">
        <v>2152</v>
      </c>
      <c r="J47" s="1023"/>
      <c r="K47" s="1024"/>
      <c r="L47" s="1037" t="e">
        <f ca="1">IF(M48="住宅",0,IF(L49&gt;J52,L61,J61))</f>
        <v>#DIV/0!</v>
      </c>
      <c r="O47" s="1051" t="s">
        <v>951</v>
      </c>
      <c r="P47" s="1048" t="s">
        <v>2153</v>
      </c>
      <c r="Q47" s="1049">
        <f ca="1">C29</f>
        <v>828082</v>
      </c>
      <c r="R47" s="1050" t="s">
        <v>2148</v>
      </c>
    </row>
    <row r="48" spans="1:18" s="652" customFormat="1" ht="15.75" thickBot="1">
      <c r="A48" s="228" t="s">
        <v>2154</v>
      </c>
      <c r="B48" s="229" t="s">
        <v>2155</v>
      </c>
      <c r="C48" s="229" t="s">
        <v>2156</v>
      </c>
      <c r="D48" s="229" t="s">
        <v>2157</v>
      </c>
      <c r="E48" s="986" t="s">
        <v>2158</v>
      </c>
      <c r="F48" s="987"/>
      <c r="I48" s="1530" t="s">
        <v>2159</v>
      </c>
      <c r="J48" s="1531"/>
      <c r="K48" s="1532" t="s">
        <v>2160</v>
      </c>
      <c r="L48" s="1025">
        <f>'数据-取费表'!B11</f>
        <v>40</v>
      </c>
      <c r="M48" s="1038" t="str">
        <f>IF('数据-取费表'!B10="住宅","住宅","非住宅")</f>
        <v>非住宅</v>
      </c>
      <c r="O48" s="1051" t="s">
        <v>952</v>
      </c>
      <c r="P48" s="1048" t="s">
        <v>2161</v>
      </c>
      <c r="Q48" s="1052" t="e">
        <f>J59</f>
        <v>#VALUE!</v>
      </c>
      <c r="R48" s="1050"/>
    </row>
    <row r="49" spans="1:18" s="652" customFormat="1" ht="15.75" thickBot="1">
      <c r="A49" s="1127" t="s">
        <v>1019</v>
      </c>
      <c r="B49" s="233" t="s">
        <v>2162</v>
      </c>
      <c r="C49" s="1128">
        <f ca="1">C50+C54+C56</f>
        <v>0</v>
      </c>
      <c r="D49" s="1129"/>
      <c r="E49" s="44"/>
      <c r="F49" s="15"/>
      <c r="I49" s="1533" t="s">
        <v>2163</v>
      </c>
      <c r="J49" s="1534"/>
      <c r="K49" s="1535" t="s">
        <v>2164</v>
      </c>
      <c r="L49" s="863">
        <f>'数据-取费表'!B13</f>
        <v>25</v>
      </c>
      <c r="O49" s="1051" t="s">
        <v>953</v>
      </c>
      <c r="P49" s="1048" t="s">
        <v>2165</v>
      </c>
      <c r="Q49" s="1052">
        <f>J53</f>
        <v>0</v>
      </c>
      <c r="R49" s="1050"/>
    </row>
    <row r="50" spans="1:18" s="652" customFormat="1" ht="15.75" thickBot="1">
      <c r="A50" s="260" t="s">
        <v>2022</v>
      </c>
      <c r="B50" s="1442" t="s">
        <v>2166</v>
      </c>
      <c r="C50" s="234">
        <f>ROUND(F50*F52*F51*(1-F53),0)</f>
        <v>0</v>
      </c>
      <c r="D50" s="42" t="s">
        <v>2710</v>
      </c>
      <c r="E50" s="1536" t="s">
        <v>2167</v>
      </c>
      <c r="F50" s="988"/>
      <c r="I50" s="1533" t="s">
        <v>2168</v>
      </c>
      <c r="J50" s="863">
        <f>'数据-取费表'!B27</f>
        <v>2007</v>
      </c>
      <c r="K50" s="1537" t="s">
        <v>2169</v>
      </c>
      <c r="L50" s="1026"/>
      <c r="O50" s="1051" t="s">
        <v>954</v>
      </c>
      <c r="P50" s="1048" t="s">
        <v>2170</v>
      </c>
      <c r="Q50" s="1049">
        <f>J54</f>
        <v>-13</v>
      </c>
      <c r="R50" s="1050" t="s">
        <v>2171</v>
      </c>
    </row>
    <row r="51" spans="1:18" s="652" customFormat="1" ht="15.75" thickBot="1">
      <c r="A51" s="237"/>
      <c r="B51" s="238"/>
      <c r="C51" s="239"/>
      <c r="D51" s="240"/>
      <c r="E51" s="255" t="s">
        <v>2025</v>
      </c>
      <c r="F51" s="985">
        <f>F7</f>
        <v>191.89</v>
      </c>
      <c r="I51" s="1533" t="s">
        <v>2172</v>
      </c>
      <c r="J51" s="1027">
        <f>SUMPRODUCT((I64:I66=J48)*(J63:L63=J49)*(J64:L66))</f>
        <v>0</v>
      </c>
      <c r="K51" s="1537" t="s">
        <v>2173</v>
      </c>
      <c r="L51" s="1026"/>
      <c r="O51" s="1047" t="s">
        <v>955</v>
      </c>
      <c r="P51" s="1048" t="str">
        <f>IF(C2="元","收益价值(元)","收益价值(万元)")</f>
        <v>收益价值(万元)</v>
      </c>
      <c r="Q51" s="1049">
        <f ca="1">ROUND(IF(C2="元",Q45+Q46,(Q45+Q46)/10000),0)</f>
        <v>-845</v>
      </c>
      <c r="R51" s="1050" t="s">
        <v>956</v>
      </c>
    </row>
    <row r="52" spans="1:18" s="652" customFormat="1" ht="16.5" thickBot="1">
      <c r="A52" s="237"/>
      <c r="B52" s="238"/>
      <c r="C52" s="239"/>
      <c r="D52" s="240"/>
      <c r="E52" s="235" t="s">
        <v>2027</v>
      </c>
      <c r="F52" s="236">
        <f>F8</f>
        <v>365</v>
      </c>
      <c r="I52" s="1538" t="s">
        <v>2174</v>
      </c>
      <c r="J52" s="1028">
        <f>IF(J50="",J51,J50+J51-YEAR('数据-取费表'!B2))</f>
        <v>-13</v>
      </c>
      <c r="K52" s="1539" t="s">
        <v>2175</v>
      </c>
      <c r="L52" s="1029">
        <f ca="1">ROUND(-PV('数据-取费表'!B15,J52,(C40-C13*J35)),0)</f>
        <v>150701231</v>
      </c>
      <c r="O52" s="1041" t="s">
        <v>2176</v>
      </c>
      <c r="P52" s="1042"/>
      <c r="Q52" s="1038"/>
      <c r="R52" s="1042"/>
    </row>
    <row r="53" spans="1:18" s="652" customFormat="1" ht="15.75" thickBot="1">
      <c r="A53" s="241"/>
      <c r="B53" s="242"/>
      <c r="C53" s="243"/>
      <c r="D53" s="244"/>
      <c r="E53" s="235" t="s">
        <v>2028</v>
      </c>
      <c r="F53" s="1036"/>
      <c r="I53" s="1540" t="s">
        <v>2177</v>
      </c>
      <c r="J53" s="1030"/>
      <c r="K53" s="1540" t="s">
        <v>2178</v>
      </c>
      <c r="L53" s="1030"/>
      <c r="O53" s="1043" t="s">
        <v>2143</v>
      </c>
      <c r="P53" s="1044" t="s">
        <v>2144</v>
      </c>
      <c r="Q53" s="1045" t="s">
        <v>2145</v>
      </c>
      <c r="R53" s="1046" t="s">
        <v>2146</v>
      </c>
    </row>
    <row r="54" spans="1:18" s="652" customFormat="1" ht="29.25" customHeight="1" thickBot="1">
      <c r="A54" s="1057" t="s">
        <v>2029</v>
      </c>
      <c r="B54" s="1521" t="s">
        <v>2030</v>
      </c>
      <c r="C54" s="1058">
        <f ca="1">ROUND(IF(F54="押一",C50/12*F11,IF(F54="押二",C50/12*2*F11,IF(F54="押三",C50/12*3*F11,C55*F11))),0)</f>
        <v>0</v>
      </c>
      <c r="D54" s="1522" t="s">
        <v>2716</v>
      </c>
      <c r="E54" s="246" t="s">
        <v>2031</v>
      </c>
      <c r="F54" s="1523"/>
      <c r="I54" s="1629" t="s">
        <v>2719</v>
      </c>
      <c r="J54" s="1031">
        <f>IF(M48="住宅",IF(E1="——",MAX(J52,L49),MAX(J52,L49-'数据-取费表'!B26)),IF(E1="——",MIN(J52,L49),MIN(J52,L49-'数据-取费表'!B26)))</f>
        <v>-13</v>
      </c>
      <c r="K54" s="3397" t="s">
        <v>2708</v>
      </c>
      <c r="L54" s="3398"/>
      <c r="O54" s="1047" t="s">
        <v>949</v>
      </c>
      <c r="P54" s="1048" t="s">
        <v>2147</v>
      </c>
      <c r="Q54" s="1049">
        <f ca="1">C40+J29</f>
        <v>-8453921</v>
      </c>
      <c r="R54" s="1050" t="s">
        <v>2148</v>
      </c>
    </row>
    <row r="55" spans="1:18" s="652" customFormat="1" ht="20.25" thickBot="1">
      <c r="A55" s="1057"/>
      <c r="B55" s="1541" t="s">
        <v>2035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2179</v>
      </c>
      <c r="Q55" s="1049" t="e">
        <f ca="1">L61</f>
        <v>#DIV/0!</v>
      </c>
      <c r="R55" s="1050" t="s">
        <v>2180</v>
      </c>
    </row>
    <row r="56" spans="1:18" s="652" customFormat="1" ht="20.25" thickBot="1">
      <c r="A56" s="1096" t="s">
        <v>2036</v>
      </c>
      <c r="B56" s="1525" t="s">
        <v>2037</v>
      </c>
      <c r="C56" s="1097"/>
      <c r="D56" s="1113"/>
      <c r="E56" s="1544"/>
      <c r="F56" s="1152"/>
      <c r="I56" s="1545" t="s">
        <v>2181</v>
      </c>
      <c r="J56" s="1320" t="e">
        <f>ROUND(IF(J48="钢混",J58/J51,1-(1-2%)*(J51-J58)/J51),3)</f>
        <v>#VALUE!</v>
      </c>
      <c r="K56" s="1546" t="s">
        <v>2182</v>
      </c>
      <c r="L56" s="1032"/>
      <c r="O56" s="1051" t="s">
        <v>951</v>
      </c>
      <c r="P56" s="1048" t="s">
        <v>2183</v>
      </c>
      <c r="Q56" s="1049">
        <f>IF(L56="比较法",L50,IF(L56="基准地价",L51,0))</f>
        <v>0</v>
      </c>
      <c r="R56" s="1050" t="s">
        <v>2148</v>
      </c>
    </row>
    <row r="57" spans="1:18" s="652" customFormat="1" ht="44.25" thickTop="1" thickBot="1">
      <c r="A57" s="1092">
        <v>2</v>
      </c>
      <c r="B57" s="1093" t="s">
        <v>2038</v>
      </c>
      <c r="C57" s="1151">
        <f ca="1">C13</f>
        <v>720431</v>
      </c>
      <c r="D57" s="983"/>
      <c r="E57" s="984"/>
      <c r="F57" s="991"/>
      <c r="I57" s="1547" t="s">
        <v>2184</v>
      </c>
      <c r="J57" s="1035"/>
      <c r="K57" s="1533" t="s">
        <v>2185</v>
      </c>
      <c r="L57" s="863">
        <f>IF(L49&lt;J52,"——",L49-J52)</f>
        <v>38</v>
      </c>
      <c r="O57" s="1051" t="s">
        <v>952</v>
      </c>
      <c r="P57" s="1048" t="s">
        <v>2186</v>
      </c>
      <c r="Q57" s="1052">
        <f>L53</f>
        <v>0</v>
      </c>
      <c r="R57" s="1050"/>
    </row>
    <row r="58" spans="1:18" s="652" customFormat="1" ht="29.25" thickBot="1">
      <c r="A58" s="990"/>
      <c r="B58" s="235" t="s">
        <v>2116</v>
      </c>
      <c r="C58" s="104">
        <f ca="1">C29</f>
        <v>828082</v>
      </c>
      <c r="D58" s="983"/>
      <c r="E58" s="984"/>
      <c r="F58" s="991"/>
      <c r="I58" s="1548" t="s">
        <v>2187</v>
      </c>
      <c r="J58" s="1034" t="str">
        <f>IF(OR(M48="住宅",J52&lt;L49,J57="是"),"——",J52-L49)</f>
        <v>——</v>
      </c>
      <c r="K58" s="1533" t="s">
        <v>2188</v>
      </c>
      <c r="L58" s="863">
        <f ca="1">IF(L49&lt;J52,"——",IF(L56="比较法",L50,IF(L56="基准地价",L51,L52)))</f>
        <v>150701231</v>
      </c>
      <c r="O58" s="1051" t="s">
        <v>953</v>
      </c>
      <c r="P58" s="1048" t="s">
        <v>2189</v>
      </c>
      <c r="Q58" s="1049" t="e">
        <f>L59</f>
        <v>#DIV/0!</v>
      </c>
      <c r="R58" s="1050" t="s">
        <v>2190</v>
      </c>
    </row>
    <row r="59" spans="1:18" s="652" customFormat="1" ht="29.25" thickBot="1">
      <c r="A59" s="248" t="s">
        <v>14</v>
      </c>
      <c r="B59" s="249" t="s">
        <v>2119</v>
      </c>
      <c r="C59" s="250">
        <f ca="1">ROUND(C60+C65+C66+C67,0)</f>
        <v>20458</v>
      </c>
      <c r="D59" s="12" t="s">
        <v>2120</v>
      </c>
      <c r="E59" s="1333"/>
      <c r="F59" s="15"/>
      <c r="I59" s="1548" t="s">
        <v>2191</v>
      </c>
      <c r="J59" s="1319" t="e">
        <f>IF(J56&lt;0.4,0.4,J56)</f>
        <v>#VALUE!</v>
      </c>
      <c r="K59" s="1539" t="s">
        <v>2192</v>
      </c>
      <c r="L59" s="863" t="e">
        <f>ROUND(POWER(1+L53,L48-L49)*(POWER(1+L53,L49)-1)/(POWER(1+L53,L48)-1),4)</f>
        <v>#DIV/0!</v>
      </c>
      <c r="O59" s="1051" t="s">
        <v>954</v>
      </c>
      <c r="P59" s="1048" t="str">
        <f>K60</f>
        <v>建设期及建筑物耐用年限下的土地年期修正系数Kn</v>
      </c>
      <c r="Q59" s="1049" t="e">
        <f>L60</f>
        <v>#DIV/0!</v>
      </c>
      <c r="R59" s="1050" t="s">
        <v>2193</v>
      </c>
    </row>
    <row r="60" spans="1:18" s="652" customFormat="1" ht="29.25" thickBot="1">
      <c r="A60" s="253" t="s">
        <v>15</v>
      </c>
      <c r="B60" s="235" t="s">
        <v>2060</v>
      </c>
      <c r="C60" s="2827">
        <f ca="1">ROUND(IF(AND(项目基本情况!B7="自然人",项目基本情况!B6="北京市"),C50*F60/(1+'数据-取费表'!F30),C61+C62+C63),0)</f>
        <v>6956</v>
      </c>
      <c r="D60" s="1328" t="s">
        <v>2121</v>
      </c>
      <c r="E60" s="1331" t="s">
        <v>2122</v>
      </c>
      <c r="F60" s="2826" t="str">
        <f>IF(项目基本情况!B7="企业","——",IF('数据-取费表'!B10="住宅",IF(F50*F51*F52/12/(1+'数据-取费表'!F30)&gt;100000,4%,2.5%),IF(F50*F51*F52/12/(1+'数据-取费表'!F30)&gt;100000,12%,7%)))</f>
        <v>——</v>
      </c>
      <c r="I60" s="1548" t="s">
        <v>2194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#DIV/0!</v>
      </c>
      <c r="R60" s="1050" t="s">
        <v>956</v>
      </c>
    </row>
    <row r="61" spans="1:18" s="652" customFormat="1" ht="16.5" thickBot="1">
      <c r="A61" s="253" t="s">
        <v>16</v>
      </c>
      <c r="B61" s="235" t="s">
        <v>2123</v>
      </c>
      <c r="C61" s="13">
        <f ca="1">IF(项目基本情况!B7="自然人","——",ROUND(C49*F61/(1+'数据-取费表'!F30),0))</f>
        <v>0</v>
      </c>
      <c r="D61" s="1331" t="s">
        <v>2124</v>
      </c>
      <c r="E61" s="235" t="s">
        <v>2073</v>
      </c>
      <c r="F61" s="267">
        <f t="shared" ref="F61:F67" si="0">F32</f>
        <v>5.6000000000000001E-2</v>
      </c>
      <c r="I61" s="1549" t="s">
        <v>2195</v>
      </c>
      <c r="J61" s="1033" t="str">
        <f>IF(OR(M48="住宅",J52&lt;L49,J57="是"),"0",ROUND(J60/(1+J53)^J54,0))</f>
        <v>0</v>
      </c>
      <c r="K61" s="1550" t="s">
        <v>2196</v>
      </c>
      <c r="L61" s="1033" t="e">
        <f ca="1">IF(OR(M48="住宅",L49&lt;J52),0,ROUND(L58*(L59/L60-1),0))</f>
        <v>#DIV/0!</v>
      </c>
      <c r="O61" s="1041" t="s">
        <v>2197</v>
      </c>
      <c r="P61" s="1042"/>
      <c r="Q61" s="1038"/>
      <c r="R61" s="1042"/>
    </row>
    <row r="62" spans="1:18" s="652" customFormat="1" ht="15.75" thickBot="1">
      <c r="A62" s="253" t="s">
        <v>17</v>
      </c>
      <c r="B62" s="235" t="s">
        <v>2198</v>
      </c>
      <c r="C62" s="13">
        <f ca="1">IF(项目基本情况!B7="自然人","——",IF(D62="按租金收入计税",ROUND(C49*F62,0),IF(D62="按房产原值计税",ROUND(C58*F62*0.7,0),'数据-取费表'!B44)))</f>
        <v>6956</v>
      </c>
      <c r="D62" s="1436" t="s">
        <v>2070</v>
      </c>
      <c r="E62" s="235" t="s">
        <v>2073</v>
      </c>
      <c r="F62" s="258">
        <f t="shared" si="0"/>
        <v>1.2E-2</v>
      </c>
      <c r="O62" s="1043" t="s">
        <v>2143</v>
      </c>
      <c r="P62" s="1044" t="s">
        <v>2144</v>
      </c>
      <c r="Q62" s="1045" t="s">
        <v>2145</v>
      </c>
      <c r="R62" s="1046" t="s">
        <v>2146</v>
      </c>
    </row>
    <row r="63" spans="1:18" s="652" customFormat="1" ht="15.75" thickBot="1">
      <c r="A63" s="260" t="s">
        <v>18</v>
      </c>
      <c r="B63" s="36" t="s">
        <v>2199</v>
      </c>
      <c r="C63" s="14">
        <f>IF(项目基本情况!B7="自然人","——",ROUND(F63*F64,0))</f>
        <v>0</v>
      </c>
      <c r="D63" s="261" t="s">
        <v>2200</v>
      </c>
      <c r="E63" s="235" t="s">
        <v>2201</v>
      </c>
      <c r="F63" s="262">
        <f t="shared" si="0"/>
        <v>30</v>
      </c>
      <c r="I63" s="1551" t="s">
        <v>2202</v>
      </c>
      <c r="J63" s="1323" t="s">
        <v>2203</v>
      </c>
      <c r="K63" s="1323" t="s">
        <v>2204</v>
      </c>
      <c r="L63" s="1323" t="s">
        <v>2205</v>
      </c>
      <c r="M63" s="1322" t="s">
        <v>2206</v>
      </c>
      <c r="O63" s="1047" t="s">
        <v>949</v>
      </c>
      <c r="P63" s="1048" t="s">
        <v>2147</v>
      </c>
      <c r="Q63" s="1049">
        <f ca="1">C40+J29</f>
        <v>-8453921</v>
      </c>
      <c r="R63" s="1050" t="s">
        <v>2148</v>
      </c>
    </row>
    <row r="64" spans="1:18" s="652" customFormat="1" ht="20.25" thickBot="1">
      <c r="A64" s="263"/>
      <c r="B64" s="244"/>
      <c r="C64" s="17"/>
      <c r="D64" s="264"/>
      <c r="E64" s="235" t="s">
        <v>2207</v>
      </c>
      <c r="F64" s="236">
        <f t="shared" si="0"/>
        <v>0</v>
      </c>
      <c r="I64" s="1551" t="s">
        <v>2208</v>
      </c>
      <c r="J64" s="1323">
        <v>70</v>
      </c>
      <c r="K64" s="1323">
        <v>50</v>
      </c>
      <c r="L64" s="1323">
        <v>80</v>
      </c>
      <c r="M64" s="1321">
        <v>0.02</v>
      </c>
      <c r="O64" s="1047" t="s">
        <v>950</v>
      </c>
      <c r="P64" s="1048" t="s">
        <v>2179</v>
      </c>
      <c r="Q64" s="1049" t="e">
        <f ca="1">L61</f>
        <v>#DIV/0!</v>
      </c>
      <c r="R64" s="1050" t="s">
        <v>2180</v>
      </c>
    </row>
    <row r="65" spans="1:18" s="652" customFormat="1" ht="23.25" thickBot="1">
      <c r="A65" s="253" t="s">
        <v>19</v>
      </c>
      <c r="B65" s="235" t="s">
        <v>2128</v>
      </c>
      <c r="C65" s="13">
        <f ca="1">ROUND(C58*F65,0)</f>
        <v>12421</v>
      </c>
      <c r="D65" s="1331" t="s">
        <v>2129</v>
      </c>
      <c r="E65" s="235" t="s">
        <v>2073</v>
      </c>
      <c r="F65" s="265">
        <f t="shared" si="0"/>
        <v>1.4999999999999999E-2</v>
      </c>
      <c r="I65" s="1551" t="s">
        <v>2209</v>
      </c>
      <c r="J65" s="1323">
        <v>50</v>
      </c>
      <c r="K65" s="1323">
        <v>35</v>
      </c>
      <c r="L65" s="1323">
        <v>60</v>
      </c>
      <c r="M65" s="1322">
        <v>0</v>
      </c>
      <c r="O65" s="1051" t="s">
        <v>951</v>
      </c>
      <c r="P65" s="1048" t="s">
        <v>2183</v>
      </c>
      <c r="Q65" s="1053">
        <f ca="1">L52</f>
        <v>150701231</v>
      </c>
      <c r="R65" s="1054" t="s">
        <v>2210</v>
      </c>
    </row>
    <row r="66" spans="1:18" s="652" customFormat="1" ht="20.25" thickBot="1">
      <c r="A66" s="253" t="s">
        <v>20</v>
      </c>
      <c r="B66" s="235" t="s">
        <v>2088</v>
      </c>
      <c r="C66" s="13">
        <f ca="1">ROUND(C57*F66,0)</f>
        <v>1081</v>
      </c>
      <c r="D66" s="1331" t="s">
        <v>2089</v>
      </c>
      <c r="E66" s="235" t="s">
        <v>2090</v>
      </c>
      <c r="F66" s="266">
        <f t="shared" si="0"/>
        <v>1.5E-3</v>
      </c>
      <c r="I66" s="1551" t="s">
        <v>2211</v>
      </c>
      <c r="J66" s="1323">
        <v>40</v>
      </c>
      <c r="K66" s="1323">
        <v>30</v>
      </c>
      <c r="L66" s="1323">
        <v>50</v>
      </c>
      <c r="M66" s="1321">
        <v>0.02</v>
      </c>
      <c r="O66" s="1051" t="s">
        <v>952</v>
      </c>
      <c r="P66" s="1055" t="s">
        <v>2212</v>
      </c>
      <c r="Q66" s="1049">
        <f ca="1">ROUND(Q67-Q68*Q69,0)</f>
        <v>523683</v>
      </c>
      <c r="R66" s="1050"/>
    </row>
    <row r="67" spans="1:18" s="652" customFormat="1" ht="15.75" thickBot="1">
      <c r="A67" s="253" t="s">
        <v>21</v>
      </c>
      <c r="B67" s="235" t="s">
        <v>2071</v>
      </c>
      <c r="C67" s="13">
        <f ca="1">ROUND(C49*F67,0)</f>
        <v>0</v>
      </c>
      <c r="D67" s="1331" t="s">
        <v>2094</v>
      </c>
      <c r="E67" s="235" t="s">
        <v>2090</v>
      </c>
      <c r="F67" s="245">
        <f t="shared" si="0"/>
        <v>0.01</v>
      </c>
      <c r="O67" s="1051" t="s">
        <v>957</v>
      </c>
      <c r="P67" s="1055" t="s">
        <v>2213</v>
      </c>
      <c r="Q67" s="1049">
        <f ca="1">C39</f>
        <v>577715</v>
      </c>
      <c r="R67" s="1050" t="s">
        <v>2148</v>
      </c>
    </row>
    <row r="68" spans="1:18" ht="15.75" thickBot="1">
      <c r="A68" s="248" t="s">
        <v>22</v>
      </c>
      <c r="B68" s="41" t="s">
        <v>2098</v>
      </c>
      <c r="C68" s="250">
        <f ca="1">C49-C59</f>
        <v>-20458</v>
      </c>
      <c r="D68" s="1328" t="s">
        <v>2099</v>
      </c>
      <c r="E68" s="1330"/>
      <c r="F68" s="268"/>
      <c r="H68" s="652"/>
      <c r="I68" s="652"/>
      <c r="J68" s="652"/>
      <c r="K68" s="652"/>
      <c r="L68" s="652"/>
      <c r="M68" s="652"/>
      <c r="O68" s="1051" t="s">
        <v>958</v>
      </c>
      <c r="P68" s="1055" t="s">
        <v>2214</v>
      </c>
      <c r="Q68" s="1049">
        <f ca="1">C13</f>
        <v>720431</v>
      </c>
      <c r="R68" s="1050" t="s">
        <v>2148</v>
      </c>
    </row>
    <row r="69" spans="1:18" ht="15.75" thickBot="1">
      <c r="A69" s="232" t="s">
        <v>23</v>
      </c>
      <c r="B69" s="233" t="s">
        <v>2136</v>
      </c>
      <c r="C69" s="234">
        <f ca="1">ROUND(C68*(1-((1+F71)/(1+F69))^F70)/(F69-F71),0)</f>
        <v>374111</v>
      </c>
      <c r="D69" s="261" t="s">
        <v>2104</v>
      </c>
      <c r="E69" s="235" t="s">
        <v>2105</v>
      </c>
      <c r="F69" s="245">
        <f>F40</f>
        <v>5.5E-2</v>
      </c>
      <c r="H69" s="652"/>
      <c r="I69" s="652"/>
      <c r="J69" s="652"/>
      <c r="K69" s="652"/>
      <c r="L69" s="652"/>
      <c r="M69" s="652"/>
      <c r="O69" s="1051" t="s">
        <v>959</v>
      </c>
      <c r="P69" s="1055" t="s">
        <v>2215</v>
      </c>
      <c r="Q69" s="1052">
        <f>J35</f>
        <v>7.4999999999999997E-2</v>
      </c>
      <c r="R69" s="1050"/>
    </row>
    <row r="70" spans="1:18" ht="15.75" thickBot="1">
      <c r="A70" s="237"/>
      <c r="B70" s="238"/>
      <c r="C70" s="239"/>
      <c r="D70" s="269" t="s">
        <v>2138</v>
      </c>
      <c r="E70" s="235" t="s">
        <v>2110</v>
      </c>
      <c r="F70" s="270">
        <f>F41</f>
        <v>-13</v>
      </c>
      <c r="H70" s="652"/>
      <c r="I70" s="652"/>
      <c r="J70" s="652"/>
      <c r="K70" s="652"/>
      <c r="L70" s="652"/>
      <c r="M70" s="652"/>
      <c r="O70" s="1051" t="s">
        <v>953</v>
      </c>
      <c r="P70" s="1048" t="s">
        <v>2186</v>
      </c>
      <c r="Q70" s="1052">
        <f>L53</f>
        <v>0</v>
      </c>
      <c r="R70" s="1050"/>
    </row>
    <row r="71" spans="1:18" ht="20.25" thickBot="1">
      <c r="A71" s="241"/>
      <c r="B71" s="242"/>
      <c r="C71" s="243"/>
      <c r="D71" s="264"/>
      <c r="E71" s="235" t="s">
        <v>2114</v>
      </c>
      <c r="F71" s="1036"/>
      <c r="H71" s="652"/>
      <c r="M71" s="652"/>
      <c r="O71" s="1051" t="s">
        <v>954</v>
      </c>
      <c r="P71" s="1048" t="s">
        <v>2189</v>
      </c>
      <c r="Q71" s="1049" t="e">
        <f>L59</f>
        <v>#DIV/0!</v>
      </c>
      <c r="R71" s="1050" t="s">
        <v>2190</v>
      </c>
    </row>
    <row r="72" spans="1:18" ht="15.75" thickBot="1">
      <c r="A72" s="271" t="s">
        <v>24</v>
      </c>
      <c r="B72" s="272" t="s">
        <v>2139</v>
      </c>
      <c r="C72" s="273">
        <f ca="1">ROUND(C69/F72,0)</f>
        <v>1950</v>
      </c>
      <c r="D72" s="274" t="s">
        <v>2140</v>
      </c>
      <c r="E72" s="275" t="s">
        <v>2141</v>
      </c>
      <c r="F72" s="276">
        <f>F43</f>
        <v>191.89</v>
      </c>
      <c r="O72" s="1051" t="s">
        <v>960</v>
      </c>
      <c r="P72" s="1048" t="str">
        <f>K60</f>
        <v>建设期及建筑物耐用年限下的土地年期修正系数Kn</v>
      </c>
      <c r="Q72" s="1049" t="e">
        <f>L60</f>
        <v>#DIV/0!</v>
      </c>
      <c r="R72" s="1050" t="s">
        <v>2193</v>
      </c>
    </row>
    <row r="73" spans="1:18" ht="15.75" thickBot="1">
      <c r="A73" s="652"/>
      <c r="B73" s="656"/>
      <c r="C73" s="656"/>
      <c r="D73" s="652"/>
      <c r="E73" s="652"/>
      <c r="F73" s="652"/>
      <c r="O73" s="1047" t="s">
        <v>955</v>
      </c>
      <c r="P73" s="1048" t="str">
        <f>IF(C2="元","收益价值(元)","收益价值(万元)")</f>
        <v>收益价值(万元)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5" t="s">
        <v>1013</v>
      </c>
      <c r="B1" s="3416"/>
      <c r="C1" s="3417"/>
      <c r="D1" s="3418">
        <f>SUM(I10,I15,I20,I21,I23)</f>
        <v>0</v>
      </c>
      <c r="E1" s="3418"/>
      <c r="F1" s="3418"/>
      <c r="G1" s="3418"/>
      <c r="H1" s="3418"/>
      <c r="I1" s="3419"/>
    </row>
    <row r="2" spans="1:9">
      <c r="A2" s="3405" t="s">
        <v>1014</v>
      </c>
      <c r="B2" s="3406" t="s">
        <v>963</v>
      </c>
      <c r="C2" s="3406"/>
      <c r="D2" s="1062" t="s">
        <v>964</v>
      </c>
      <c r="E2" s="1062" t="s">
        <v>965</v>
      </c>
      <c r="F2" s="1062" t="s">
        <v>966</v>
      </c>
      <c r="G2" s="1062" t="s">
        <v>967</v>
      </c>
      <c r="H2" s="1062" t="s">
        <v>968</v>
      </c>
      <c r="I2" s="1063" t="s">
        <v>969</v>
      </c>
    </row>
    <row r="3" spans="1:9">
      <c r="A3" s="3405"/>
      <c r="B3" s="3406" t="s">
        <v>970</v>
      </c>
      <c r="C3" s="3406"/>
      <c r="D3" s="1064"/>
      <c r="E3" s="1062"/>
      <c r="F3" s="1065"/>
      <c r="G3" s="1065"/>
      <c r="H3" s="1066"/>
      <c r="I3" s="1067">
        <f>ROUND(D3*E3*F3*G3*H3/10000,0)</f>
        <v>0</v>
      </c>
    </row>
    <row r="4" spans="1:9">
      <c r="A4" s="3405"/>
      <c r="B4" s="3406" t="s">
        <v>971</v>
      </c>
      <c r="C4" s="3406"/>
      <c r="D4" s="1064"/>
      <c r="E4" s="1062"/>
      <c r="F4" s="1065"/>
      <c r="G4" s="1065"/>
      <c r="H4" s="1066"/>
      <c r="I4" s="1067">
        <f t="shared" ref="I4:I9" si="0">ROUND(D4*E4*F4*G4*H4/10000,0)</f>
        <v>0</v>
      </c>
    </row>
    <row r="5" spans="1:9">
      <c r="A5" s="3405"/>
      <c r="B5" s="3406" t="s">
        <v>972</v>
      </c>
      <c r="C5" s="3406"/>
      <c r="D5" s="1064"/>
      <c r="E5" s="1062"/>
      <c r="F5" s="1065"/>
      <c r="G5" s="1065"/>
      <c r="H5" s="1066"/>
      <c r="I5" s="1067">
        <f t="shared" si="0"/>
        <v>0</v>
      </c>
    </row>
    <row r="6" spans="1:9">
      <c r="A6" s="3405"/>
      <c r="B6" s="3406" t="s">
        <v>973</v>
      </c>
      <c r="C6" s="3406"/>
      <c r="D6" s="1064"/>
      <c r="E6" s="1062"/>
      <c r="F6" s="1065"/>
      <c r="G6" s="1065"/>
      <c r="H6" s="1066"/>
      <c r="I6" s="1067">
        <f t="shared" si="0"/>
        <v>0</v>
      </c>
    </row>
    <row r="7" spans="1:9">
      <c r="A7" s="3405"/>
      <c r="B7" s="3406" t="s">
        <v>974</v>
      </c>
      <c r="C7" s="3406"/>
      <c r="D7" s="1064"/>
      <c r="E7" s="1062"/>
      <c r="F7" s="1065"/>
      <c r="G7" s="1065"/>
      <c r="H7" s="1066"/>
      <c r="I7" s="1067">
        <f t="shared" si="0"/>
        <v>0</v>
      </c>
    </row>
    <row r="8" spans="1:9">
      <c r="A8" s="3405"/>
      <c r="B8" s="3406" t="s">
        <v>975</v>
      </c>
      <c r="C8" s="3406"/>
      <c r="D8" s="1064"/>
      <c r="E8" s="1062"/>
      <c r="F8" s="1065"/>
      <c r="G8" s="1065"/>
      <c r="H8" s="1066"/>
      <c r="I8" s="1067">
        <f t="shared" si="0"/>
        <v>0</v>
      </c>
    </row>
    <row r="9" spans="1:9">
      <c r="A9" s="3405"/>
      <c r="B9" s="3406" t="s">
        <v>976</v>
      </c>
      <c r="C9" s="3406"/>
      <c r="D9" s="1064"/>
      <c r="E9" s="1062"/>
      <c r="F9" s="1065"/>
      <c r="G9" s="1065"/>
      <c r="H9" s="1066"/>
      <c r="I9" s="1067">
        <f t="shared" si="0"/>
        <v>0</v>
      </c>
    </row>
    <row r="10" spans="1:9">
      <c r="A10" s="3405"/>
      <c r="B10" s="3407" t="s">
        <v>977</v>
      </c>
      <c r="C10" s="3407"/>
      <c r="D10" s="1068">
        <v>527</v>
      </c>
      <c r="E10" s="1068" t="e">
        <f>ROUND(D1*10000/D10/H9,0)</f>
        <v>#DIV/0!</v>
      </c>
      <c r="F10" s="1069"/>
      <c r="G10" s="1069"/>
      <c r="H10" s="1070"/>
      <c r="I10" s="1071">
        <f>SUM(I3:I9)</f>
        <v>0</v>
      </c>
    </row>
    <row r="11" spans="1:9" ht="14.25">
      <c r="A11" s="3405" t="s">
        <v>1015</v>
      </c>
      <c r="B11" s="3406" t="s">
        <v>978</v>
      </c>
      <c r="C11" s="3406"/>
      <c r="D11" s="1064" t="s">
        <v>979</v>
      </c>
      <c r="E11" s="1064" t="s">
        <v>980</v>
      </c>
      <c r="F11" s="1065" t="s">
        <v>981</v>
      </c>
      <c r="G11" s="1065" t="s">
        <v>968</v>
      </c>
      <c r="H11" s="1072" t="s">
        <v>982</v>
      </c>
      <c r="I11" s="1063" t="s">
        <v>969</v>
      </c>
    </row>
    <row r="12" spans="1:9">
      <c r="A12" s="3405"/>
      <c r="B12" s="3406" t="s">
        <v>983</v>
      </c>
      <c r="C12" s="3406"/>
      <c r="D12" s="1064"/>
      <c r="E12" s="1064"/>
      <c r="F12" s="1065"/>
      <c r="G12" s="1066"/>
      <c r="H12" s="1073"/>
      <c r="I12" s="1063">
        <f>ROUND(D12*E12*F12*G12/10000,0)</f>
        <v>0</v>
      </c>
    </row>
    <row r="13" spans="1:9">
      <c r="A13" s="3405"/>
      <c r="B13" s="3406" t="s">
        <v>984</v>
      </c>
      <c r="C13" s="3406"/>
      <c r="D13" s="1064"/>
      <c r="E13" s="1064"/>
      <c r="F13" s="1065"/>
      <c r="G13" s="1066"/>
      <c r="H13" s="1073"/>
      <c r="I13" s="1063">
        <f>ROUND(D13*E13*F13*G13/10000,0)</f>
        <v>0</v>
      </c>
    </row>
    <row r="14" spans="1:9">
      <c r="A14" s="3405"/>
      <c r="B14" s="3406" t="s">
        <v>985</v>
      </c>
      <c r="C14" s="3406"/>
      <c r="D14" s="1064"/>
      <c r="E14" s="1064"/>
      <c r="F14" s="1065"/>
      <c r="G14" s="1066"/>
      <c r="H14" s="1073"/>
      <c r="I14" s="1063">
        <f>ROUND(D14*E14*F14*G14/10000,0)</f>
        <v>0</v>
      </c>
    </row>
    <row r="15" spans="1:9">
      <c r="A15" s="3405"/>
      <c r="B15" s="3407" t="s">
        <v>977</v>
      </c>
      <c r="C15" s="3407"/>
      <c r="D15" s="1068"/>
      <c r="E15" s="1068">
        <f>SUM(E12:E14)</f>
        <v>0</v>
      </c>
      <c r="F15" s="1069"/>
      <c r="G15" s="1066"/>
      <c r="H15" s="1073"/>
      <c r="I15" s="1074">
        <f>SUM(I12:I14)</f>
        <v>0</v>
      </c>
    </row>
    <row r="16" spans="1:9" ht="24">
      <c r="A16" s="3405" t="s">
        <v>1016</v>
      </c>
      <c r="B16" s="3406" t="s">
        <v>986</v>
      </c>
      <c r="C16" s="3406"/>
      <c r="D16" s="1064" t="s">
        <v>964</v>
      </c>
      <c r="E16" s="1075" t="s">
        <v>987</v>
      </c>
      <c r="F16" s="1065" t="s">
        <v>988</v>
      </c>
      <c r="G16" s="1066" t="s">
        <v>968</v>
      </c>
      <c r="H16" s="1072" t="s">
        <v>982</v>
      </c>
      <c r="I16" s="1063" t="s">
        <v>969</v>
      </c>
    </row>
    <row r="17" spans="1:9" ht="14.25">
      <c r="A17" s="3405"/>
      <c r="B17" s="3406" t="s">
        <v>989</v>
      </c>
      <c r="C17" s="3406"/>
      <c r="D17" s="1064"/>
      <c r="E17" s="1064"/>
      <c r="F17" s="1065"/>
      <c r="G17" s="1066"/>
      <c r="H17" s="1076"/>
      <c r="I17" s="1077">
        <f>ROUND(D17*E17*F17*G17/10000,0)</f>
        <v>0</v>
      </c>
    </row>
    <row r="18" spans="1:9" ht="14.25">
      <c r="A18" s="3405"/>
      <c r="B18" s="3406" t="s">
        <v>990</v>
      </c>
      <c r="C18" s="3406"/>
      <c r="D18" s="1064"/>
      <c r="E18" s="1064"/>
      <c r="F18" s="1065"/>
      <c r="G18" s="1066"/>
      <c r="H18" s="1076"/>
      <c r="I18" s="1077">
        <f>ROUND(D18*E18*F18*G18/10000,0)</f>
        <v>0</v>
      </c>
    </row>
    <row r="19" spans="1:9" ht="14.25">
      <c r="A19" s="3405"/>
      <c r="B19" s="3406" t="s">
        <v>991</v>
      </c>
      <c r="C19" s="3406"/>
      <c r="D19" s="1064"/>
      <c r="E19" s="1064"/>
      <c r="F19" s="1065"/>
      <c r="G19" s="1066"/>
      <c r="H19" s="1076"/>
      <c r="I19" s="1077">
        <f>ROUND(D19*E19*F19*G19/10000,0)</f>
        <v>0</v>
      </c>
    </row>
    <row r="20" spans="1:9">
      <c r="A20" s="3405"/>
      <c r="B20" s="3407" t="s">
        <v>977</v>
      </c>
      <c r="C20" s="3407"/>
      <c r="D20" s="1068">
        <f>SUM(D17:D19)</f>
        <v>0</v>
      </c>
      <c r="E20" s="1068"/>
      <c r="F20" s="1069"/>
      <c r="G20" s="1066"/>
      <c r="H20" s="1073"/>
      <c r="I20" s="1074">
        <f>SUM(I17:I19)</f>
        <v>0</v>
      </c>
    </row>
    <row r="21" spans="1:9">
      <c r="A21" s="3405" t="s">
        <v>1017</v>
      </c>
      <c r="B21" s="3408"/>
      <c r="C21" s="3408"/>
      <c r="D21" s="3408"/>
      <c r="E21" s="3408"/>
      <c r="F21" s="3408"/>
      <c r="G21" s="3408"/>
      <c r="H21" s="1078">
        <v>0.1</v>
      </c>
      <c r="I21" s="1071">
        <f>ROUND(I10*H21,0)</f>
        <v>0</v>
      </c>
    </row>
    <row r="22" spans="1:9" ht="14.25">
      <c r="A22" s="3409" t="s">
        <v>1018</v>
      </c>
      <c r="B22" s="3410"/>
      <c r="C22" s="3411"/>
      <c r="D22" s="1079" t="s">
        <v>992</v>
      </c>
      <c r="E22" s="1079" t="s">
        <v>993</v>
      </c>
      <c r="F22" s="1080" t="s">
        <v>968</v>
      </c>
      <c r="G22" s="1080" t="s">
        <v>994</v>
      </c>
      <c r="H22" s="1072" t="s">
        <v>982</v>
      </c>
      <c r="I22" s="1063" t="s">
        <v>969</v>
      </c>
    </row>
    <row r="23" spans="1:9" ht="14.25" thickBot="1">
      <c r="A23" s="3412"/>
      <c r="B23" s="3413"/>
      <c r="C23" s="3414"/>
      <c r="D23" s="1081"/>
      <c r="E23" s="1081"/>
      <c r="F23" s="1081"/>
      <c r="G23" s="1082"/>
      <c r="H23" s="1083"/>
      <c r="I23" s="1084">
        <f>ROUND(E23*D23*F23*(1-G23)/10000,0)</f>
        <v>0</v>
      </c>
    </row>
    <row r="26" spans="1:9">
      <c r="A26" s="1085" t="s">
        <v>995</v>
      </c>
      <c r="B26" s="1085"/>
      <c r="C26" s="1085"/>
      <c r="D26" s="1085"/>
      <c r="E26" s="3402">
        <f>C27-C30-C31-C32</f>
        <v>0</v>
      </c>
      <c r="F26" s="3402"/>
      <c r="G26" s="3402"/>
      <c r="H26" s="1304" t="s">
        <v>1206</v>
      </c>
    </row>
    <row r="27" spans="1:9">
      <c r="A27" s="1086">
        <v>1</v>
      </c>
      <c r="B27" s="1087" t="s">
        <v>996</v>
      </c>
      <c r="C27" s="1087">
        <f>C28+C29</f>
        <v>0</v>
      </c>
      <c r="D27" s="1087"/>
      <c r="E27" s="3403"/>
      <c r="F27" s="3403"/>
      <c r="G27" s="3403"/>
    </row>
    <row r="28" spans="1:9">
      <c r="A28" s="1088" t="s">
        <v>997</v>
      </c>
      <c r="B28" s="1087" t="s">
        <v>998</v>
      </c>
      <c r="C28" s="1087"/>
      <c r="D28" s="1087"/>
      <c r="E28" s="3403"/>
      <c r="F28" s="3403"/>
      <c r="G28" s="340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4"/>
      <c r="F32" s="3404"/>
      <c r="G32" s="3404"/>
    </row>
    <row r="33" spans="1:7" hidden="1">
      <c r="A33" s="3399" t="s">
        <v>1007</v>
      </c>
      <c r="B33" s="3400"/>
      <c r="C33" s="3400"/>
      <c r="D33" s="3401"/>
      <c r="E33" s="3402"/>
      <c r="F33" s="3402"/>
      <c r="G33" s="3402"/>
    </row>
    <row r="34" spans="1:7" hidden="1">
      <c r="A34" s="1090">
        <v>1</v>
      </c>
      <c r="B34" s="1087" t="s">
        <v>1008</v>
      </c>
      <c r="C34" s="1087"/>
      <c r="D34" s="1087"/>
      <c r="E34" s="3403"/>
      <c r="F34" s="3403"/>
      <c r="G34" s="3403"/>
    </row>
    <row r="35" spans="1:7" hidden="1">
      <c r="A35" s="1090">
        <v>2</v>
      </c>
      <c r="B35" s="1087" t="s">
        <v>1009</v>
      </c>
      <c r="C35" s="1087"/>
      <c r="D35" s="1087"/>
      <c r="E35" s="3403"/>
      <c r="F35" s="3403"/>
      <c r="G35" s="3403"/>
    </row>
    <row r="36" spans="1:7" hidden="1">
      <c r="A36" s="1090">
        <v>3</v>
      </c>
      <c r="B36" s="1087" t="s">
        <v>1010</v>
      </c>
      <c r="C36" s="1087"/>
      <c r="D36" s="1087"/>
      <c r="E36" s="3403"/>
      <c r="F36" s="3403"/>
      <c r="G36" s="3403"/>
    </row>
    <row r="37" spans="1:7" hidden="1">
      <c r="A37" s="1090">
        <v>4</v>
      </c>
      <c r="B37" s="1087" t="s">
        <v>1011</v>
      </c>
      <c r="C37" s="1087"/>
      <c r="D37" s="1087"/>
      <c r="E37" s="3403"/>
      <c r="F37" s="3403"/>
      <c r="G37" s="3403"/>
    </row>
    <row r="38" spans="1:7" hidden="1">
      <c r="A38" s="3399" t="s">
        <v>1012</v>
      </c>
      <c r="B38" s="3400"/>
      <c r="C38" s="3400"/>
      <c r="D38" s="3401"/>
      <c r="E38" s="3402"/>
      <c r="F38" s="3402"/>
      <c r="G38" s="34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2217</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2218</v>
      </c>
      <c r="B3" s="250">
        <f>B24</f>
        <v>0</v>
      </c>
      <c r="C3" s="902" t="s">
        <v>2219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2220</v>
      </c>
      <c r="C4" s="3423" t="s">
        <v>2221</v>
      </c>
      <c r="D4" s="3424"/>
      <c r="E4" s="3424"/>
      <c r="F4" s="3424"/>
      <c r="G4" s="3424"/>
      <c r="H4" s="3424"/>
      <c r="I4" s="3424"/>
      <c r="J4" s="3424"/>
      <c r="K4" s="3424"/>
      <c r="L4" s="3424"/>
      <c r="M4" s="3424"/>
      <c r="N4" s="3424"/>
      <c r="O4" s="3424"/>
      <c r="P4" s="3424"/>
      <c r="Q4" s="3424"/>
      <c r="R4" s="3424"/>
      <c r="S4" s="3425"/>
      <c r="T4" s="575" t="s">
        <v>2222</v>
      </c>
      <c r="U4" s="999"/>
      <c r="V4" s="999"/>
      <c r="X4" s="999"/>
      <c r="Y4" s="999"/>
    </row>
    <row r="5" spans="1:44" s="587" customFormat="1">
      <c r="A5" s="1003"/>
      <c r="B5" s="583" t="s">
        <v>2223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2230</v>
      </c>
      <c r="B20" s="1553" t="s">
        <v>2231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2233</v>
      </c>
      <c r="B23" s="224">
        <f>IF(F23="——",IF(C23="万元",T25,S25),IF(C23="万元",T25-H23,S25-H23))</f>
        <v>0</v>
      </c>
      <c r="C23" s="1555" t="str">
        <f>'数据-取费表'!B3</f>
        <v>万元</v>
      </c>
      <c r="D23" s="37"/>
      <c r="E23" s="37"/>
      <c r="F23" s="1556" t="s">
        <v>1241</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2234</v>
      </c>
      <c r="B24" s="224">
        <f>ROUND(B23*10000/B25,0)</f>
        <v>0</v>
      </c>
      <c r="C24" s="864"/>
      <c r="D24" s="37"/>
      <c r="E24" s="37"/>
      <c r="F24" s="37"/>
      <c r="G24" s="37"/>
      <c r="H24" s="37"/>
      <c r="I24" s="37"/>
      <c r="J24" s="37"/>
      <c r="K24" s="37"/>
      <c r="L24" s="37"/>
      <c r="M24" s="37"/>
      <c r="N24" s="37"/>
      <c r="O24" s="37"/>
      <c r="P24" s="37"/>
      <c r="Q24" s="37"/>
      <c r="R24" s="645"/>
      <c r="S24" s="13" t="s">
        <v>2235</v>
      </c>
      <c r="T24" s="1332" t="s">
        <v>2236</v>
      </c>
      <c r="U24" s="2247" t="s">
        <v>2237</v>
      </c>
      <c r="V24" s="2988"/>
      <c r="W24" s="2989" t="s">
        <v>2238</v>
      </c>
      <c r="X24" s="2247" t="s">
        <v>2239</v>
      </c>
      <c r="Y24" s="2988"/>
      <c r="Z24" s="2990" t="s">
        <v>2238</v>
      </c>
    </row>
    <row r="25" spans="1:45">
      <c r="A25" s="250" t="s">
        <v>2240</v>
      </c>
      <c r="B25" s="13">
        <f>SUM(B27:B10000)</f>
        <v>191.89</v>
      </c>
      <c r="C25" s="3420" t="s">
        <v>45</v>
      </c>
      <c r="D25" s="3421"/>
      <c r="E25" s="3421"/>
      <c r="F25" s="3421"/>
      <c r="G25" s="3421"/>
      <c r="H25" s="3421"/>
      <c r="I25" s="3421"/>
      <c r="J25" s="3421"/>
      <c r="K25" s="3421"/>
      <c r="L25" s="3421"/>
      <c r="M25" s="3421"/>
      <c r="N25" s="3421"/>
      <c r="O25" s="3421"/>
      <c r="P25" s="3421"/>
      <c r="Q25" s="3422"/>
      <c r="R25" s="597">
        <f>IF(C23="万元",ROUND(T25*10000/B25,0),ROUND(S25/B25,0))</f>
        <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2241</v>
      </c>
      <c r="B26" s="10" t="s">
        <v>2242</v>
      </c>
      <c r="C26" s="10" t="s">
        <v>2243</v>
      </c>
      <c r="D26" s="10" t="str">
        <f>B8</f>
        <v>修正项2</v>
      </c>
      <c r="E26" s="10" t="s">
        <v>2243</v>
      </c>
      <c r="F26" s="10" t="str">
        <f>B10</f>
        <v>修正项3</v>
      </c>
      <c r="G26" s="10" t="s">
        <v>2243</v>
      </c>
      <c r="H26" s="10" t="str">
        <f>B12</f>
        <v>修正项4</v>
      </c>
      <c r="I26" s="10" t="s">
        <v>2243</v>
      </c>
      <c r="J26" s="10" t="str">
        <f>B14</f>
        <v>修正项5</v>
      </c>
      <c r="K26" s="10" t="s">
        <v>2243</v>
      </c>
      <c r="L26" s="10" t="str">
        <f>B16</f>
        <v>修正项6</v>
      </c>
      <c r="M26" s="10" t="s">
        <v>2243</v>
      </c>
      <c r="N26" s="10" t="str">
        <f>B18</f>
        <v>修正项7</v>
      </c>
      <c r="O26" s="10" t="s">
        <v>2243</v>
      </c>
      <c r="P26" s="10" t="str">
        <f>B20</f>
        <v>楼层</v>
      </c>
      <c r="Q26" s="10" t="s">
        <v>2243</v>
      </c>
      <c r="R26" s="598" t="s">
        <v>2244</v>
      </c>
      <c r="S26" s="10" t="s">
        <v>2245</v>
      </c>
      <c r="T26" s="10" t="s">
        <v>2245</v>
      </c>
      <c r="U26" s="684" t="s">
        <v>2246</v>
      </c>
      <c r="V26" s="684" t="s">
        <v>2247</v>
      </c>
      <c r="W26" s="10" t="s">
        <v>2248</v>
      </c>
      <c r="X26" s="684" t="s">
        <v>2246</v>
      </c>
      <c r="Y26" s="684" t="s">
        <v>2247</v>
      </c>
      <c r="Z26" s="10" t="s">
        <v>2248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2249</v>
      </c>
      <c r="B27" s="600">
        <f>'数据-取费表'!E5</f>
        <v>191.89</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2251</v>
      </c>
      <c r="C1" s="1639"/>
      <c r="D1" s="1640"/>
      <c r="E1" s="1641" t="s">
        <v>1224</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1922</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1923</v>
      </c>
      <c r="B3" s="1660" t="e">
        <f ca="1">ROUND(IF(D2="——",C49,IF(C2="万元",B2*10000/D3,B2/D3)),0)</f>
        <v>#DIV/0!</v>
      </c>
      <c r="C3" s="1660" t="s">
        <v>2253</v>
      </c>
      <c r="D3" s="1660">
        <f>IF(C1="仅计算典型户型",'数据-取费表'!E5,'数据-取费表'!B5)</f>
        <v>191.89</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2254</v>
      </c>
      <c r="B4" s="1664"/>
      <c r="C4" s="3459" t="s">
        <v>2255</v>
      </c>
      <c r="D4" s="3460"/>
      <c r="E4" s="3461" t="s">
        <v>2256</v>
      </c>
      <c r="F4" s="3462"/>
      <c r="G4" s="3459" t="s">
        <v>2257</v>
      </c>
      <c r="H4" s="3460"/>
      <c r="I4" s="3459" t="s">
        <v>2258</v>
      </c>
      <c r="J4" s="3460"/>
      <c r="K4" s="1665" t="s">
        <v>2259</v>
      </c>
      <c r="L4" s="2997"/>
      <c r="M4" s="2998"/>
      <c r="N4" s="2998"/>
      <c r="O4" s="2998"/>
      <c r="P4" s="3463" t="s">
        <v>2260</v>
      </c>
      <c r="Q4" s="3464"/>
      <c r="R4" s="3448" t="s">
        <v>2256</v>
      </c>
      <c r="S4" s="3449"/>
      <c r="T4" s="3448" t="s">
        <v>2257</v>
      </c>
      <c r="U4" s="3449"/>
      <c r="V4" s="3469" t="s">
        <v>2258</v>
      </c>
      <c r="W4" s="3469"/>
      <c r="X4" s="1666"/>
      <c r="Y4" s="3448" t="s">
        <v>2260</v>
      </c>
      <c r="Z4" s="3449"/>
      <c r="AA4" s="3456" t="s">
        <v>2256</v>
      </c>
      <c r="AB4" s="3456" t="s">
        <v>2257</v>
      </c>
      <c r="AC4" s="3456" t="s">
        <v>2258</v>
      </c>
    </row>
    <row r="5" spans="1:29" ht="15">
      <c r="A5" s="1668"/>
      <c r="B5" s="1669"/>
      <c r="C5" s="3444" t="s">
        <v>2261</v>
      </c>
      <c r="D5" s="3445"/>
      <c r="E5" s="3470" t="s">
        <v>2262</v>
      </c>
      <c r="F5" s="3471"/>
      <c r="G5" s="3444" t="s">
        <v>2263</v>
      </c>
      <c r="H5" s="3445"/>
      <c r="I5" s="3444" t="s">
        <v>2264</v>
      </c>
      <c r="J5" s="3445"/>
      <c r="K5" s="1670"/>
      <c r="L5" s="2997"/>
      <c r="M5" s="2998"/>
      <c r="N5" s="2998"/>
      <c r="O5" s="2998"/>
      <c r="P5" s="3465"/>
      <c r="Q5" s="3466"/>
      <c r="R5" s="3450"/>
      <c r="S5" s="3451"/>
      <c r="T5" s="3450"/>
      <c r="U5" s="3451"/>
      <c r="V5" s="3469"/>
      <c r="W5" s="3469"/>
      <c r="X5" s="1666"/>
      <c r="Y5" s="3450"/>
      <c r="Z5" s="3451"/>
      <c r="AA5" s="3457"/>
      <c r="AB5" s="3457"/>
      <c r="AC5" s="3457"/>
    </row>
    <row r="6" spans="1:29" ht="15.75" thickBot="1">
      <c r="A6" s="1671"/>
      <c r="B6" s="1672"/>
      <c r="C6" s="3442" t="s">
        <v>2265</v>
      </c>
      <c r="D6" s="3443"/>
      <c r="E6" s="3472" t="s">
        <v>2265</v>
      </c>
      <c r="F6" s="3473"/>
      <c r="G6" s="3442" t="s">
        <v>2265</v>
      </c>
      <c r="H6" s="3443"/>
      <c r="I6" s="3442" t="s">
        <v>2265</v>
      </c>
      <c r="J6" s="3443"/>
      <c r="K6" s="1670" t="s">
        <v>2266</v>
      </c>
      <c r="L6" s="2997"/>
      <c r="M6" s="2998"/>
      <c r="N6" s="2998"/>
      <c r="O6" s="2998"/>
      <c r="P6" s="3467"/>
      <c r="Q6" s="3468"/>
      <c r="R6" s="3450"/>
      <c r="S6" s="3451"/>
      <c r="T6" s="3452"/>
      <c r="U6" s="3453"/>
      <c r="V6" s="3469"/>
      <c r="W6" s="3469"/>
      <c r="X6" s="1666"/>
      <c r="Y6" s="3452"/>
      <c r="Z6" s="3453"/>
      <c r="AA6" s="3458"/>
      <c r="AB6" s="3458"/>
      <c r="AC6" s="3458"/>
    </row>
    <row r="7" spans="1:29" s="1685" customFormat="1" ht="15.75" thickBot="1">
      <c r="A7" s="1673" t="s">
        <v>2267</v>
      </c>
      <c r="B7" s="1674"/>
      <c r="C7" s="1675">
        <f>'数据-取费表'!B2</f>
        <v>44195</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46" t="s">
        <v>2268</v>
      </c>
      <c r="Q7" s="3454"/>
      <c r="R7" s="1681" t="s">
        <v>34</v>
      </c>
      <c r="S7" s="1682">
        <f t="shared" ref="S7:S15" si="0">F7</f>
        <v>0</v>
      </c>
      <c r="T7" s="1681" t="s">
        <v>34</v>
      </c>
      <c r="U7" s="1682">
        <f t="shared" ref="U7:U15" si="1">H7</f>
        <v>0</v>
      </c>
      <c r="V7" s="1681" t="s">
        <v>34</v>
      </c>
      <c r="W7" s="1682">
        <f t="shared" ref="W7:W15" si="2">J7</f>
        <v>0</v>
      </c>
      <c r="X7" s="1683"/>
      <c r="Y7" s="3446" t="s">
        <v>2268</v>
      </c>
      <c r="Z7" s="3447"/>
      <c r="AA7" s="1684" t="e">
        <f>D7/F7</f>
        <v>#DIV/0!</v>
      </c>
      <c r="AB7" s="1684" t="e">
        <f>D7/H7</f>
        <v>#DIV/0!</v>
      </c>
      <c r="AC7" s="1684" t="e">
        <f>D7/J7</f>
        <v>#DIV/0!</v>
      </c>
    </row>
    <row r="8" spans="1:29" s="1685" customFormat="1" ht="15.75" thickBot="1">
      <c r="A8" s="1673" t="s">
        <v>2269</v>
      </c>
      <c r="B8" s="1674"/>
      <c r="C8" s="1686" t="s">
        <v>2270</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46" t="s">
        <v>2271</v>
      </c>
      <c r="Q8" s="3447"/>
      <c r="R8" s="1681" t="s">
        <v>34</v>
      </c>
      <c r="S8" s="1682">
        <f t="shared" si="0"/>
        <v>0</v>
      </c>
      <c r="T8" s="1681" t="s">
        <v>34</v>
      </c>
      <c r="U8" s="1682">
        <f t="shared" si="1"/>
        <v>0</v>
      </c>
      <c r="V8" s="1681" t="s">
        <v>34</v>
      </c>
      <c r="W8" s="1682">
        <f t="shared" si="2"/>
        <v>0</v>
      </c>
      <c r="X8" s="1683"/>
      <c r="Y8" s="3446" t="s">
        <v>2271</v>
      </c>
      <c r="Z8" s="3447"/>
      <c r="AA8" s="1684" t="e">
        <f t="shared" ref="AA8:AA46" si="3">D8/F8</f>
        <v>#DIV/0!</v>
      </c>
      <c r="AB8" s="1684" t="e">
        <f t="shared" ref="AB8:AB46" si="4">D8/H8</f>
        <v>#DIV/0!</v>
      </c>
      <c r="AC8" s="1684" t="e">
        <f t="shared" ref="AC8:AC46" si="5">D8/J8</f>
        <v>#DIV/0!</v>
      </c>
    </row>
    <row r="9" spans="1:29" s="1685" customFormat="1">
      <c r="A9" s="1636" t="s">
        <v>2272</v>
      </c>
      <c r="B9" s="1688" t="s">
        <v>2273</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55" t="s">
        <v>2274</v>
      </c>
      <c r="Q9" s="1635" t="str">
        <f t="shared" ref="Q9:Q15" si="6">B9</f>
        <v>用途</v>
      </c>
      <c r="R9" s="1681" t="s">
        <v>25</v>
      </c>
      <c r="S9" s="1682">
        <f t="shared" si="0"/>
        <v>100</v>
      </c>
      <c r="T9" s="1681" t="s">
        <v>25</v>
      </c>
      <c r="U9" s="1682">
        <f t="shared" si="1"/>
        <v>100</v>
      </c>
      <c r="V9" s="1681" t="s">
        <v>25</v>
      </c>
      <c r="W9" s="1682">
        <f t="shared" si="2"/>
        <v>100</v>
      </c>
      <c r="X9" s="1683"/>
      <c r="Y9" s="3286"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55"/>
      <c r="Q10" s="1635"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c r="A11" s="1703"/>
      <c r="B11" s="1696" t="s">
        <v>2277</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55"/>
      <c r="Q11" s="1635" t="str">
        <f t="shared" si="6"/>
        <v>容积率</v>
      </c>
      <c r="R11" s="1681" t="s">
        <v>28</v>
      </c>
      <c r="S11" s="1682" t="e">
        <f t="shared" si="0"/>
        <v>#N/A</v>
      </c>
      <c r="T11" s="1681" t="s">
        <v>28</v>
      </c>
      <c r="U11" s="1682" t="e">
        <f t="shared" si="1"/>
        <v>#N/A</v>
      </c>
      <c r="V11" s="1681" t="s">
        <v>28</v>
      </c>
      <c r="W11" s="1682" t="e">
        <f t="shared" si="2"/>
        <v>#N/A</v>
      </c>
      <c r="X11" s="1683"/>
      <c r="Y11" s="328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5"/>
      <c r="Q12" s="1635">
        <f t="shared" si="6"/>
        <v>111</v>
      </c>
      <c r="R12" s="1681" t="s">
        <v>28</v>
      </c>
      <c r="S12" s="1682">
        <f t="shared" si="0"/>
        <v>100</v>
      </c>
      <c r="T12" s="1681" t="s">
        <v>28</v>
      </c>
      <c r="U12" s="1682">
        <f t="shared" si="1"/>
        <v>100</v>
      </c>
      <c r="V12" s="1681" t="s">
        <v>28</v>
      </c>
      <c r="W12" s="1682">
        <f t="shared" si="2"/>
        <v>100</v>
      </c>
      <c r="X12" s="1683"/>
      <c r="Y12" s="328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5"/>
      <c r="Q13" s="1635">
        <f t="shared" si="6"/>
        <v>111</v>
      </c>
      <c r="R13" s="1681" t="s">
        <v>28</v>
      </c>
      <c r="S13" s="1682">
        <f t="shared" si="0"/>
        <v>100</v>
      </c>
      <c r="T13" s="1681" t="s">
        <v>28</v>
      </c>
      <c r="U13" s="1682">
        <f t="shared" si="1"/>
        <v>100</v>
      </c>
      <c r="V13" s="1681" t="s">
        <v>28</v>
      </c>
      <c r="W13" s="1682">
        <f t="shared" si="2"/>
        <v>100</v>
      </c>
      <c r="X13" s="1683"/>
      <c r="Y13" s="3286"/>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5"/>
      <c r="Q14" s="1635">
        <f t="shared" si="6"/>
        <v>111</v>
      </c>
      <c r="R14" s="1681" t="s">
        <v>28</v>
      </c>
      <c r="S14" s="1682">
        <f t="shared" si="0"/>
        <v>100</v>
      </c>
      <c r="T14" s="1681" t="s">
        <v>28</v>
      </c>
      <c r="U14" s="1682">
        <f t="shared" si="1"/>
        <v>100</v>
      </c>
      <c r="V14" s="1681" t="s">
        <v>28</v>
      </c>
      <c r="W14" s="1682">
        <f t="shared" si="2"/>
        <v>100</v>
      </c>
      <c r="X14" s="1683"/>
      <c r="Y14" s="3286"/>
      <c r="Z14" s="1694">
        <f t="shared" si="7"/>
        <v>111</v>
      </c>
      <c r="AA14" s="1684">
        <f t="shared" si="3"/>
        <v>1</v>
      </c>
      <c r="AB14" s="1684">
        <f t="shared" si="4"/>
        <v>1</v>
      </c>
      <c r="AC14" s="1684">
        <f t="shared" si="5"/>
        <v>1</v>
      </c>
    </row>
    <row r="15" spans="1:29" ht="99.75">
      <c r="A15" s="1718" t="s">
        <v>2278</v>
      </c>
      <c r="B15" s="1719" t="s">
        <v>1712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3" t="s">
        <v>2279</v>
      </c>
      <c r="Q15" s="1616" t="str">
        <f t="shared" si="6"/>
        <v>居住社区成熟度</v>
      </c>
      <c r="R15" s="1726" t="s">
        <v>28</v>
      </c>
      <c r="S15" s="1727">
        <f t="shared" si="0"/>
        <v>100</v>
      </c>
      <c r="T15" s="1726" t="s">
        <v>28</v>
      </c>
      <c r="U15" s="1727">
        <f t="shared" si="1"/>
        <v>100</v>
      </c>
      <c r="V15" s="1726" t="s">
        <v>28</v>
      </c>
      <c r="W15" s="1727">
        <f t="shared" si="2"/>
        <v>100</v>
      </c>
      <c r="X15" s="1666"/>
      <c r="Y15" s="3435" t="s">
        <v>2279</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34"/>
      <c r="Q16" s="1616"/>
      <c r="R16" s="1726"/>
      <c r="S16" s="1727"/>
      <c r="T16" s="1726"/>
      <c r="U16" s="1727"/>
      <c r="V16" s="1726"/>
      <c r="W16" s="1727"/>
      <c r="X16" s="1666"/>
      <c r="Y16" s="3436"/>
      <c r="Z16" s="1728"/>
      <c r="AA16" s="1729">
        <v>1</v>
      </c>
      <c r="AB16" s="1729">
        <v>1</v>
      </c>
      <c r="AC16" s="1729">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4"/>
      <c r="Q17" s="1616" t="str">
        <f>B17</f>
        <v>交通便捷度</v>
      </c>
      <c r="R17" s="1726" t="s">
        <v>28</v>
      </c>
      <c r="S17" s="1727">
        <f>F17</f>
        <v>100</v>
      </c>
      <c r="T17" s="1726" t="s">
        <v>28</v>
      </c>
      <c r="U17" s="1727">
        <f>H17</f>
        <v>100</v>
      </c>
      <c r="V17" s="1726" t="s">
        <v>28</v>
      </c>
      <c r="W17" s="1727">
        <f>J17</f>
        <v>100</v>
      </c>
      <c r="X17" s="1666"/>
      <c r="Y17" s="3436"/>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4"/>
      <c r="Q18" s="1616"/>
      <c r="R18" s="1726"/>
      <c r="S18" s="1727"/>
      <c r="T18" s="1726"/>
      <c r="U18" s="1727"/>
      <c r="V18" s="1726"/>
      <c r="W18" s="1727"/>
      <c r="X18" s="1666"/>
      <c r="Y18" s="3436"/>
      <c r="Z18" s="1728"/>
      <c r="AA18" s="1729">
        <v>1</v>
      </c>
      <c r="AB18" s="1729">
        <v>1</v>
      </c>
      <c r="AC18" s="1729">
        <v>1</v>
      </c>
    </row>
    <row r="19" spans="1:29" ht="42.75">
      <c r="A19" s="1703"/>
      <c r="B19" s="1738" t="s">
        <v>1713</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4"/>
      <c r="Q19" s="1616" t="str">
        <f>B19</f>
        <v>公共配套设施</v>
      </c>
      <c r="R19" s="1726" t="s">
        <v>28</v>
      </c>
      <c r="S19" s="1727">
        <f>F19</f>
        <v>100</v>
      </c>
      <c r="T19" s="1726" t="s">
        <v>28</v>
      </c>
      <c r="U19" s="1727">
        <f>H19</f>
        <v>100</v>
      </c>
      <c r="V19" s="1726" t="s">
        <v>28</v>
      </c>
      <c r="W19" s="1727">
        <f>J19</f>
        <v>100</v>
      </c>
      <c r="X19" s="1666"/>
      <c r="Y19" s="3436"/>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4"/>
      <c r="Q20" s="1616"/>
      <c r="R20" s="1726"/>
      <c r="S20" s="1727"/>
      <c r="T20" s="1726"/>
      <c r="U20" s="1727"/>
      <c r="V20" s="1726"/>
      <c r="W20" s="1727"/>
      <c r="X20" s="1666"/>
      <c r="Y20" s="3436"/>
      <c r="Z20" s="1728"/>
      <c r="AA20" s="1729">
        <v>1</v>
      </c>
      <c r="AB20" s="1729">
        <v>1</v>
      </c>
      <c r="AC20" s="1729">
        <v>1</v>
      </c>
    </row>
    <row r="21" spans="1:29" ht="28.5">
      <c r="A21" s="1703"/>
      <c r="B21" s="1751" t="s">
        <v>1715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4"/>
      <c r="Q21" s="1616" t="str">
        <f>B21</f>
        <v>基础设施水平</v>
      </c>
      <c r="R21" s="1726" t="s">
        <v>28</v>
      </c>
      <c r="S21" s="1727">
        <f>F21</f>
        <v>100</v>
      </c>
      <c r="T21" s="1726" t="s">
        <v>28</v>
      </c>
      <c r="U21" s="1727">
        <f>H21</f>
        <v>100</v>
      </c>
      <c r="V21" s="1726" t="s">
        <v>28</v>
      </c>
      <c r="W21" s="1727">
        <f>J21</f>
        <v>100</v>
      </c>
      <c r="X21" s="1666"/>
      <c r="Y21" s="3436"/>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4"/>
      <c r="Q22" s="1616"/>
      <c r="R22" s="1726"/>
      <c r="S22" s="1727"/>
      <c r="T22" s="1726"/>
      <c r="U22" s="1727"/>
      <c r="V22" s="1726"/>
      <c r="W22" s="1727"/>
      <c r="X22" s="1666"/>
      <c r="Y22" s="3436"/>
      <c r="Z22" s="1728"/>
      <c r="AA22" s="1729">
        <v>1</v>
      </c>
      <c r="AB22" s="1729">
        <v>1</v>
      </c>
      <c r="AC22" s="1729">
        <v>1</v>
      </c>
    </row>
    <row r="23" spans="1:29" ht="57">
      <c r="A23" s="1703"/>
      <c r="B23" s="1738" t="s">
        <v>1716</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4"/>
      <c r="Q23" s="1616" t="str">
        <f>B23</f>
        <v>自然及人文环境</v>
      </c>
      <c r="R23" s="1726" t="s">
        <v>28</v>
      </c>
      <c r="S23" s="1727">
        <f>F23</f>
        <v>100</v>
      </c>
      <c r="T23" s="1726" t="s">
        <v>28</v>
      </c>
      <c r="U23" s="1727">
        <f>H23</f>
        <v>100</v>
      </c>
      <c r="V23" s="1726" t="s">
        <v>28</v>
      </c>
      <c r="W23" s="1727">
        <f>J23</f>
        <v>100</v>
      </c>
      <c r="X23" s="1666"/>
      <c r="Y23" s="3436"/>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4"/>
      <c r="Q24" s="1616"/>
      <c r="R24" s="1726"/>
      <c r="S24" s="1727"/>
      <c r="T24" s="1726"/>
      <c r="U24" s="1727"/>
      <c r="V24" s="1726"/>
      <c r="W24" s="1727"/>
      <c r="X24" s="1666"/>
      <c r="Y24" s="3436"/>
      <c r="Z24" s="1728"/>
      <c r="AA24" s="1729">
        <v>1</v>
      </c>
      <c r="AB24" s="1729">
        <v>1</v>
      </c>
      <c r="AC24" s="1729">
        <v>1</v>
      </c>
    </row>
    <row r="25" spans="1:29" ht="15">
      <c r="A25" s="1703"/>
      <c r="B25" s="1696" t="s">
        <v>2280</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4"/>
      <c r="Q25" s="1616" t="str">
        <f t="shared" ref="Q25:Q46" si="11">B25</f>
        <v>楼层-1</v>
      </c>
      <c r="R25" s="1726" t="s">
        <v>28</v>
      </c>
      <c r="S25" s="1727">
        <f>F25</f>
        <v>100</v>
      </c>
      <c r="T25" s="1726" t="s">
        <v>28</v>
      </c>
      <c r="U25" s="1727">
        <f>H25</f>
        <v>100</v>
      </c>
      <c r="V25" s="1726" t="s">
        <v>28</v>
      </c>
      <c r="W25" s="1727">
        <f>J25</f>
        <v>100</v>
      </c>
      <c r="X25" s="1666"/>
      <c r="Y25" s="3436"/>
      <c r="Z25" s="1728" t="str">
        <f>Q25</f>
        <v>楼层-1</v>
      </c>
      <c r="AA25" s="1729">
        <f t="shared" si="3"/>
        <v>1</v>
      </c>
      <c r="AB25" s="1729">
        <f t="shared" si="4"/>
        <v>1</v>
      </c>
      <c r="AC25" s="1729">
        <f t="shared" si="5"/>
        <v>1</v>
      </c>
    </row>
    <row r="26" spans="1:29" ht="15">
      <c r="A26" s="1703"/>
      <c r="B26" s="1696" t="s">
        <v>2281</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34"/>
      <c r="Q26" s="1616" t="str">
        <f t="shared" si="11"/>
        <v>朝向</v>
      </c>
      <c r="R26" s="1726" t="s">
        <v>28</v>
      </c>
      <c r="S26" s="1727">
        <f>F26</f>
        <v>100</v>
      </c>
      <c r="T26" s="1726" t="s">
        <v>28</v>
      </c>
      <c r="U26" s="1727">
        <f>H26</f>
        <v>100</v>
      </c>
      <c r="V26" s="1726" t="s">
        <v>28</v>
      </c>
      <c r="W26" s="1727">
        <f>J26</f>
        <v>100</v>
      </c>
      <c r="X26" s="1666"/>
      <c r="Y26" s="3436"/>
      <c r="Z26" s="1728" t="str">
        <f>Q26</f>
        <v>朝向</v>
      </c>
      <c r="AA26" s="1729">
        <f t="shared" si="3"/>
        <v>1</v>
      </c>
      <c r="AB26" s="1729">
        <f t="shared" si="4"/>
        <v>1</v>
      </c>
      <c r="AC26" s="1729">
        <f t="shared" si="5"/>
        <v>1</v>
      </c>
    </row>
    <row r="27" spans="1:29" s="1685" customFormat="1" ht="15">
      <c r="A27" s="1706"/>
      <c r="B27" s="1707" t="s">
        <v>2282</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4"/>
      <c r="Q27" s="1635" t="str">
        <f t="shared" si="11"/>
        <v>道路级别</v>
      </c>
      <c r="R27" s="1681" t="s">
        <v>28</v>
      </c>
      <c r="S27" s="1682">
        <f>F27</f>
        <v>100</v>
      </c>
      <c r="T27" s="1681" t="s">
        <v>28</v>
      </c>
      <c r="U27" s="1682">
        <f>H27</f>
        <v>100</v>
      </c>
      <c r="V27" s="1681" t="s">
        <v>28</v>
      </c>
      <c r="W27" s="1682">
        <f>J27</f>
        <v>100</v>
      </c>
      <c r="X27" s="1683"/>
      <c r="Y27" s="3436"/>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34"/>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6"/>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4"/>
      <c r="Q29" s="1616">
        <f t="shared" si="11"/>
        <v>111</v>
      </c>
      <c r="R29" s="1726" t="s">
        <v>28</v>
      </c>
      <c r="S29" s="1727">
        <f t="shared" si="12"/>
        <v>100</v>
      </c>
      <c r="T29" s="1726" t="s">
        <v>28</v>
      </c>
      <c r="U29" s="1727">
        <f t="shared" si="13"/>
        <v>100</v>
      </c>
      <c r="V29" s="1726" t="s">
        <v>28</v>
      </c>
      <c r="W29" s="1727">
        <f t="shared" si="14"/>
        <v>100</v>
      </c>
      <c r="X29" s="1666"/>
      <c r="Y29" s="3436"/>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4"/>
      <c r="Q30" s="1616">
        <f t="shared" si="11"/>
        <v>111</v>
      </c>
      <c r="R30" s="1726" t="s">
        <v>28</v>
      </c>
      <c r="S30" s="1727">
        <f t="shared" si="12"/>
        <v>100</v>
      </c>
      <c r="T30" s="1726" t="s">
        <v>28</v>
      </c>
      <c r="U30" s="1727">
        <f t="shared" si="13"/>
        <v>100</v>
      </c>
      <c r="V30" s="1726" t="s">
        <v>28</v>
      </c>
      <c r="W30" s="1727">
        <f t="shared" si="14"/>
        <v>100</v>
      </c>
      <c r="X30" s="1666"/>
      <c r="Y30" s="3436"/>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4"/>
      <c r="Q31" s="1616">
        <f t="shared" si="11"/>
        <v>111</v>
      </c>
      <c r="R31" s="1726" t="s">
        <v>28</v>
      </c>
      <c r="S31" s="1727">
        <f t="shared" si="12"/>
        <v>100</v>
      </c>
      <c r="T31" s="1726" t="s">
        <v>28</v>
      </c>
      <c r="U31" s="1727">
        <f t="shared" si="13"/>
        <v>100</v>
      </c>
      <c r="V31" s="1726" t="s">
        <v>28</v>
      </c>
      <c r="W31" s="1727">
        <f t="shared" si="14"/>
        <v>100</v>
      </c>
      <c r="X31" s="1666"/>
      <c r="Y31" s="3436"/>
      <c r="Z31" s="1728">
        <f t="shared" si="15"/>
        <v>111</v>
      </c>
      <c r="AA31" s="1729">
        <f t="shared" si="3"/>
        <v>1</v>
      </c>
      <c r="AB31" s="1729">
        <f t="shared" si="4"/>
        <v>1</v>
      </c>
      <c r="AC31" s="1729">
        <f t="shared" si="5"/>
        <v>1</v>
      </c>
    </row>
    <row r="32" spans="1:29" ht="15">
      <c r="A32" s="1718" t="s">
        <v>2283</v>
      </c>
      <c r="B32" s="1688" t="s">
        <v>2284</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37" t="s">
        <v>2285</v>
      </c>
      <c r="Q32" s="1616" t="str">
        <f t="shared" si="11"/>
        <v>建筑类型</v>
      </c>
      <c r="R32" s="1726" t="s">
        <v>28</v>
      </c>
      <c r="S32" s="1727">
        <f t="shared" si="12"/>
        <v>100</v>
      </c>
      <c r="T32" s="1726" t="s">
        <v>28</v>
      </c>
      <c r="U32" s="1727">
        <f t="shared" si="13"/>
        <v>100</v>
      </c>
      <c r="V32" s="1726" t="s">
        <v>28</v>
      </c>
      <c r="W32" s="1727">
        <f t="shared" si="14"/>
        <v>100</v>
      </c>
      <c r="X32" s="1666"/>
      <c r="Y32" s="3440" t="s">
        <v>2285</v>
      </c>
      <c r="Z32" s="1728" t="str">
        <f t="shared" si="15"/>
        <v>建筑类型</v>
      </c>
      <c r="AA32" s="1729">
        <f t="shared" si="3"/>
        <v>1</v>
      </c>
      <c r="AB32" s="1729">
        <f t="shared" si="4"/>
        <v>1</v>
      </c>
      <c r="AC32" s="1729">
        <f t="shared" si="5"/>
        <v>1</v>
      </c>
    </row>
    <row r="33" spans="1:29" s="1772" customFormat="1" ht="15">
      <c r="A33" s="1765"/>
      <c r="B33" s="1696" t="s">
        <v>2286</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38"/>
      <c r="Q33" s="1767" t="str">
        <f t="shared" si="11"/>
        <v>项目建筑规模</v>
      </c>
      <c r="R33" s="1768" t="s">
        <v>28</v>
      </c>
      <c r="S33" s="1769" t="e">
        <f t="shared" si="12"/>
        <v>#N/A</v>
      </c>
      <c r="T33" s="1768" t="s">
        <v>28</v>
      </c>
      <c r="U33" s="1769" t="e">
        <f t="shared" si="13"/>
        <v>#N/A</v>
      </c>
      <c r="V33" s="1768" t="s">
        <v>28</v>
      </c>
      <c r="W33" s="1769" t="e">
        <f t="shared" si="14"/>
        <v>#N/A</v>
      </c>
      <c r="X33" s="1770"/>
      <c r="Y33" s="3440"/>
      <c r="Z33" s="1771" t="str">
        <f t="shared" si="15"/>
        <v>项目建筑规模</v>
      </c>
      <c r="AA33" s="1729" t="e">
        <f t="shared" si="3"/>
        <v>#N/A</v>
      </c>
      <c r="AB33" s="1729" t="e">
        <f t="shared" si="4"/>
        <v>#N/A</v>
      </c>
      <c r="AC33" s="1729" t="e">
        <f t="shared" si="5"/>
        <v>#N/A</v>
      </c>
    </row>
    <row r="34" spans="1:29" ht="15">
      <c r="A34" s="1773"/>
      <c r="B34" s="1696" t="s">
        <v>2287</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38"/>
      <c r="Q34" s="1616" t="str">
        <f t="shared" si="11"/>
        <v>建筑结构</v>
      </c>
      <c r="R34" s="1726" t="s">
        <v>28</v>
      </c>
      <c r="S34" s="1727">
        <f t="shared" si="12"/>
        <v>100</v>
      </c>
      <c r="T34" s="1726" t="s">
        <v>28</v>
      </c>
      <c r="U34" s="1727">
        <f t="shared" si="13"/>
        <v>100</v>
      </c>
      <c r="V34" s="1726" t="s">
        <v>28</v>
      </c>
      <c r="W34" s="1727">
        <f t="shared" si="14"/>
        <v>100</v>
      </c>
      <c r="X34" s="1666"/>
      <c r="Y34" s="3440"/>
      <c r="Z34" s="1728" t="str">
        <f t="shared" si="15"/>
        <v>建筑结构</v>
      </c>
      <c r="AA34" s="1729">
        <f t="shared" si="3"/>
        <v>1</v>
      </c>
      <c r="AB34" s="1729">
        <f t="shared" si="4"/>
        <v>1</v>
      </c>
      <c r="AC34" s="1729">
        <f t="shared" si="5"/>
        <v>1</v>
      </c>
    </row>
    <row r="35" spans="1:29" ht="15">
      <c r="A35" s="1773"/>
      <c r="B35" s="1696" t="s">
        <v>2288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38"/>
      <c r="Q35" s="1616" t="str">
        <f t="shared" si="11"/>
        <v>建筑品质</v>
      </c>
      <c r="R35" s="1726" t="s">
        <v>28</v>
      </c>
      <c r="S35" s="1727">
        <f t="shared" si="12"/>
        <v>100</v>
      </c>
      <c r="T35" s="1726" t="s">
        <v>28</v>
      </c>
      <c r="U35" s="1727">
        <f t="shared" si="13"/>
        <v>100</v>
      </c>
      <c r="V35" s="1726" t="s">
        <v>28</v>
      </c>
      <c r="W35" s="1727">
        <f t="shared" si="14"/>
        <v>100</v>
      </c>
      <c r="X35" s="1666"/>
      <c r="Y35" s="3440"/>
      <c r="Z35" s="1728" t="str">
        <f t="shared" si="15"/>
        <v>建筑品质</v>
      </c>
      <c r="AA35" s="1729">
        <f t="shared" si="3"/>
        <v>1</v>
      </c>
      <c r="AB35" s="1729">
        <f t="shared" si="4"/>
        <v>1</v>
      </c>
      <c r="AC35" s="1729">
        <f t="shared" si="5"/>
        <v>1</v>
      </c>
    </row>
    <row r="36" spans="1:29" ht="15">
      <c r="A36" s="1773"/>
      <c r="B36" s="1696" t="s">
        <v>2289</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38"/>
      <c r="Q36" s="1616" t="str">
        <f t="shared" si="11"/>
        <v>公共部分装修</v>
      </c>
      <c r="R36" s="1726" t="s">
        <v>28</v>
      </c>
      <c r="S36" s="1727">
        <f t="shared" si="12"/>
        <v>100</v>
      </c>
      <c r="T36" s="1726" t="s">
        <v>28</v>
      </c>
      <c r="U36" s="1727">
        <f t="shared" si="13"/>
        <v>100</v>
      </c>
      <c r="V36" s="1726" t="s">
        <v>28</v>
      </c>
      <c r="W36" s="1727">
        <f t="shared" si="14"/>
        <v>100</v>
      </c>
      <c r="X36" s="1666"/>
      <c r="Y36" s="3440"/>
      <c r="Z36" s="1728" t="str">
        <f t="shared" si="15"/>
        <v>公共部分装修</v>
      </c>
      <c r="AA36" s="1729">
        <f t="shared" si="3"/>
        <v>1</v>
      </c>
      <c r="AB36" s="1729">
        <f t="shared" si="4"/>
        <v>1</v>
      </c>
      <c r="AC36" s="1729">
        <f t="shared" si="5"/>
        <v>1</v>
      </c>
    </row>
    <row r="37" spans="1:29" s="1685" customFormat="1" ht="15">
      <c r="A37" s="1776"/>
      <c r="B37" s="1696" t="s">
        <v>2290</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38"/>
      <c r="Q37" s="1635" t="str">
        <f t="shared" si="11"/>
        <v>成新度</v>
      </c>
      <c r="R37" s="1681" t="s">
        <v>28</v>
      </c>
      <c r="S37" s="1682" t="e">
        <f t="shared" si="12"/>
        <v>#N/A</v>
      </c>
      <c r="T37" s="1681" t="s">
        <v>28</v>
      </c>
      <c r="U37" s="1682" t="e">
        <f t="shared" si="13"/>
        <v>#N/A</v>
      </c>
      <c r="V37" s="1681" t="s">
        <v>28</v>
      </c>
      <c r="W37" s="1682" t="e">
        <f t="shared" si="14"/>
        <v>#N/A</v>
      </c>
      <c r="X37" s="1683"/>
      <c r="Y37" s="3440"/>
      <c r="Z37" s="1694" t="str">
        <f t="shared" si="15"/>
        <v>成新度</v>
      </c>
      <c r="AA37" s="1684" t="e">
        <f t="shared" si="3"/>
        <v>#N/A</v>
      </c>
      <c r="AB37" s="1684" t="e">
        <f t="shared" si="4"/>
        <v>#N/A</v>
      </c>
      <c r="AC37" s="1684" t="e">
        <f t="shared" si="5"/>
        <v>#N/A</v>
      </c>
    </row>
    <row r="38" spans="1:29" ht="15">
      <c r="A38" s="1773"/>
      <c r="B38" s="1696" t="s">
        <v>2291</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38" t="s">
        <v>2285</v>
      </c>
      <c r="Q38" s="1616" t="str">
        <f t="shared" si="11"/>
        <v>物业管理</v>
      </c>
      <c r="R38" s="1726" t="s">
        <v>28</v>
      </c>
      <c r="S38" s="1727">
        <f t="shared" si="12"/>
        <v>100</v>
      </c>
      <c r="T38" s="1726" t="s">
        <v>28</v>
      </c>
      <c r="U38" s="1727">
        <f t="shared" si="13"/>
        <v>100</v>
      </c>
      <c r="V38" s="1726" t="s">
        <v>28</v>
      </c>
      <c r="W38" s="1727">
        <f t="shared" si="14"/>
        <v>100</v>
      </c>
      <c r="X38" s="1666"/>
      <c r="Y38" s="3440" t="s">
        <v>2285</v>
      </c>
      <c r="Z38" s="1728" t="str">
        <f t="shared" si="15"/>
        <v>物业管理</v>
      </c>
      <c r="AA38" s="1729">
        <f t="shared" si="3"/>
        <v>1</v>
      </c>
      <c r="AB38" s="1729">
        <f t="shared" si="4"/>
        <v>1</v>
      </c>
      <c r="AC38" s="1729">
        <f t="shared" si="5"/>
        <v>1</v>
      </c>
    </row>
    <row r="39" spans="1:29" ht="15">
      <c r="A39" s="1773"/>
      <c r="B39" s="1696" t="s">
        <v>2292</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38"/>
      <c r="Q39" s="1616" t="str">
        <f t="shared" si="11"/>
        <v>市政基础设施</v>
      </c>
      <c r="R39" s="1726" t="s">
        <v>28</v>
      </c>
      <c r="S39" s="1727">
        <f t="shared" si="12"/>
        <v>100</v>
      </c>
      <c r="T39" s="1726" t="s">
        <v>28</v>
      </c>
      <c r="U39" s="1727">
        <f t="shared" si="13"/>
        <v>100</v>
      </c>
      <c r="V39" s="1726" t="s">
        <v>28</v>
      </c>
      <c r="W39" s="1727">
        <f t="shared" si="14"/>
        <v>100</v>
      </c>
      <c r="X39" s="1666"/>
      <c r="Y39" s="3440"/>
      <c r="Z39" s="1728" t="str">
        <f t="shared" si="15"/>
        <v>市政基础设施</v>
      </c>
      <c r="AA39" s="1729">
        <f t="shared" si="3"/>
        <v>1</v>
      </c>
      <c r="AB39" s="1729">
        <f t="shared" si="4"/>
        <v>1</v>
      </c>
      <c r="AC39" s="1729">
        <f t="shared" si="5"/>
        <v>1</v>
      </c>
    </row>
    <row r="40" spans="1:29" ht="15">
      <c r="A40" s="1773"/>
      <c r="B40" s="1696" t="s">
        <v>2293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38"/>
      <c r="Q40" s="1616" t="str">
        <f t="shared" si="11"/>
        <v>房型</v>
      </c>
      <c r="R40" s="1726" t="s">
        <v>28</v>
      </c>
      <c r="S40" s="1727">
        <f t="shared" si="12"/>
        <v>100</v>
      </c>
      <c r="T40" s="1726" t="s">
        <v>28</v>
      </c>
      <c r="U40" s="1727">
        <f t="shared" si="13"/>
        <v>100</v>
      </c>
      <c r="V40" s="1726" t="s">
        <v>28</v>
      </c>
      <c r="W40" s="1727">
        <f t="shared" si="14"/>
        <v>100</v>
      </c>
      <c r="X40" s="1666"/>
      <c r="Y40" s="3440"/>
      <c r="Z40" s="1728" t="str">
        <f t="shared" si="15"/>
        <v>房型</v>
      </c>
      <c r="AA40" s="1729">
        <f t="shared" si="3"/>
        <v>1</v>
      </c>
      <c r="AB40" s="1729">
        <f t="shared" si="4"/>
        <v>1</v>
      </c>
      <c r="AC40" s="1729">
        <f t="shared" si="5"/>
        <v>1</v>
      </c>
    </row>
    <row r="41" spans="1:29" s="1772" customFormat="1" ht="28.5">
      <c r="A41" s="1765"/>
      <c r="B41" s="1696" t="s">
        <v>2294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38"/>
      <c r="Q41" s="1767" t="str">
        <f t="shared" si="11"/>
        <v>单套/主力户型建筑面积</v>
      </c>
      <c r="R41" s="1768" t="s">
        <v>28</v>
      </c>
      <c r="S41" s="1769">
        <f t="shared" si="12"/>
        <v>100</v>
      </c>
      <c r="T41" s="1768" t="s">
        <v>28</v>
      </c>
      <c r="U41" s="1769">
        <f t="shared" si="13"/>
        <v>100</v>
      </c>
      <c r="V41" s="1768" t="s">
        <v>28</v>
      </c>
      <c r="W41" s="1769">
        <f t="shared" si="14"/>
        <v>100</v>
      </c>
      <c r="X41" s="1770"/>
      <c r="Y41" s="3440"/>
      <c r="Z41" s="1771" t="str">
        <f t="shared" si="15"/>
        <v>单套/主力户型建筑面积</v>
      </c>
      <c r="AA41" s="1729">
        <f t="shared" si="3"/>
        <v>1</v>
      </c>
      <c r="AB41" s="1729">
        <f t="shared" si="4"/>
        <v>1</v>
      </c>
      <c r="AC41" s="1729">
        <f t="shared" si="5"/>
        <v>1</v>
      </c>
    </row>
    <row r="42" spans="1:29" ht="15">
      <c r="A42" s="1773"/>
      <c r="B42" s="1696" t="s">
        <v>2295</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38"/>
      <c r="Q42" s="1616" t="str">
        <f t="shared" si="11"/>
        <v>内部装修</v>
      </c>
      <c r="R42" s="1726" t="s">
        <v>28</v>
      </c>
      <c r="S42" s="1727">
        <f t="shared" si="12"/>
        <v>100</v>
      </c>
      <c r="T42" s="1726" t="s">
        <v>28</v>
      </c>
      <c r="U42" s="1727">
        <f t="shared" si="13"/>
        <v>100</v>
      </c>
      <c r="V42" s="1726" t="s">
        <v>28</v>
      </c>
      <c r="W42" s="1727">
        <f t="shared" si="14"/>
        <v>100</v>
      </c>
      <c r="X42" s="1666"/>
      <c r="Y42" s="3440"/>
      <c r="Z42" s="1728" t="str">
        <f t="shared" si="15"/>
        <v>内部装修</v>
      </c>
      <c r="AA42" s="1729">
        <f t="shared" si="3"/>
        <v>1</v>
      </c>
      <c r="AB42" s="1729">
        <f t="shared" si="4"/>
        <v>1</v>
      </c>
      <c r="AC42" s="1729">
        <f t="shared" si="5"/>
        <v>1</v>
      </c>
    </row>
    <row r="43" spans="1:29" ht="15">
      <c r="A43" s="1773"/>
      <c r="B43" s="1696" t="s">
        <v>2296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38"/>
      <c r="Q43" s="1616" t="str">
        <f t="shared" si="11"/>
        <v>内部装修维护情况</v>
      </c>
      <c r="R43" s="1726" t="s">
        <v>28</v>
      </c>
      <c r="S43" s="1727">
        <f t="shared" si="12"/>
        <v>100</v>
      </c>
      <c r="T43" s="1726" t="s">
        <v>28</v>
      </c>
      <c r="U43" s="1727">
        <f t="shared" si="13"/>
        <v>100</v>
      </c>
      <c r="V43" s="1726" t="s">
        <v>28</v>
      </c>
      <c r="W43" s="1727">
        <f t="shared" si="14"/>
        <v>100</v>
      </c>
      <c r="X43" s="1666"/>
      <c r="Y43" s="3440"/>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38"/>
      <c r="Q44" s="1635">
        <f t="shared" si="11"/>
        <v>111</v>
      </c>
      <c r="R44" s="1681" t="s">
        <v>28</v>
      </c>
      <c r="S44" s="1682">
        <f t="shared" si="12"/>
        <v>100</v>
      </c>
      <c r="T44" s="1681" t="s">
        <v>28</v>
      </c>
      <c r="U44" s="1682">
        <f t="shared" si="13"/>
        <v>100</v>
      </c>
      <c r="V44" s="1681" t="s">
        <v>28</v>
      </c>
      <c r="W44" s="1682">
        <f t="shared" si="14"/>
        <v>100</v>
      </c>
      <c r="X44" s="1683"/>
      <c r="Y44" s="3440"/>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38"/>
      <c r="Q45" s="1616">
        <f t="shared" si="11"/>
        <v>111</v>
      </c>
      <c r="R45" s="1726" t="s">
        <v>28</v>
      </c>
      <c r="S45" s="1727">
        <f t="shared" si="12"/>
        <v>100</v>
      </c>
      <c r="T45" s="1726" t="s">
        <v>28</v>
      </c>
      <c r="U45" s="1727">
        <f t="shared" si="13"/>
        <v>100</v>
      </c>
      <c r="V45" s="1726" t="s">
        <v>28</v>
      </c>
      <c r="W45" s="1727">
        <f t="shared" si="14"/>
        <v>100</v>
      </c>
      <c r="X45" s="1666"/>
      <c r="Y45" s="3440"/>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39"/>
      <c r="Q46" s="1616">
        <f t="shared" si="11"/>
        <v>111</v>
      </c>
      <c r="R46" s="1726" t="s">
        <v>27</v>
      </c>
      <c r="S46" s="1727">
        <f t="shared" si="12"/>
        <v>100</v>
      </c>
      <c r="T46" s="1726" t="s">
        <v>27</v>
      </c>
      <c r="U46" s="1727">
        <f t="shared" si="13"/>
        <v>100</v>
      </c>
      <c r="V46" s="1726" t="s">
        <v>27</v>
      </c>
      <c r="W46" s="1727">
        <f t="shared" si="14"/>
        <v>100</v>
      </c>
      <c r="X46" s="1666"/>
      <c r="Y46" s="3441"/>
      <c r="Z46" s="1728">
        <f t="shared" si="15"/>
        <v>111</v>
      </c>
      <c r="AA46" s="1729">
        <f t="shared" si="3"/>
        <v>1</v>
      </c>
      <c r="AB46" s="1729">
        <f t="shared" si="4"/>
        <v>1</v>
      </c>
      <c r="AC46" s="1729">
        <f t="shared" si="5"/>
        <v>1</v>
      </c>
    </row>
    <row r="47" spans="1:29" ht="15">
      <c r="A47" s="1782" t="s">
        <v>2297</v>
      </c>
      <c r="B47" s="1783"/>
      <c r="C47" s="1784" t="s">
        <v>26</v>
      </c>
      <c r="D47" s="1785"/>
      <c r="E47" s="1786"/>
      <c r="F47" s="1787"/>
      <c r="G47" s="1788"/>
      <c r="H47" s="1789"/>
      <c r="I47" s="1786"/>
      <c r="J47" s="1789"/>
      <c r="K47" s="1790"/>
      <c r="L47" s="3003"/>
      <c r="N47" s="2998"/>
      <c r="P47" s="3432" t="str">
        <f>A47</f>
        <v>成交单价（元/平方米）</v>
      </c>
      <c r="Q47" s="3432"/>
      <c r="R47" s="3428">
        <f>E47</f>
        <v>0</v>
      </c>
      <c r="S47" s="3428"/>
      <c r="T47" s="3428">
        <f>G47</f>
        <v>0</v>
      </c>
      <c r="U47" s="3428"/>
      <c r="V47" s="3428">
        <f>I47</f>
        <v>0</v>
      </c>
      <c r="W47" s="3428"/>
      <c r="X47" s="1792"/>
      <c r="Y47" s="1793"/>
      <c r="Z47" s="1792"/>
      <c r="AA47" s="1792"/>
      <c r="AB47" s="1792"/>
      <c r="AC47" s="1792"/>
    </row>
    <row r="48" spans="1:29" ht="15.75" thickBot="1">
      <c r="A48" s="1794" t="s">
        <v>2298</v>
      </c>
      <c r="B48" s="1795"/>
      <c r="C48" s="1796" t="e">
        <f>R49</f>
        <v>#DIV/0!</v>
      </c>
      <c r="D48" s="1797" t="s">
        <v>2753</v>
      </c>
      <c r="E48" s="1798" t="e">
        <f>R48</f>
        <v>#DIV/0!</v>
      </c>
      <c r="F48" s="1799"/>
      <c r="G48" s="1796" t="e">
        <f>T48</f>
        <v>#DIV/0!</v>
      </c>
      <c r="H48" s="1799"/>
      <c r="I48" s="1798" t="e">
        <f>V48</f>
        <v>#DIV/0!</v>
      </c>
      <c r="J48" s="1799"/>
      <c r="K48" s="2513">
        <f>F48+H48+J48</f>
        <v>0</v>
      </c>
      <c r="L48" s="3003"/>
      <c r="P48" s="3432" t="str">
        <f>A48</f>
        <v>比较价值（元/平方米）</v>
      </c>
      <c r="Q48" s="3432"/>
      <c r="R48" s="3428" t="e">
        <f>IF(E1="售价",ROUND(PRODUCT(R47,AA7:AA46),0),ROUND(PRODUCT(R47,AA7:AA46),1))</f>
        <v>#DIV/0!</v>
      </c>
      <c r="S48" s="3428"/>
      <c r="T48" s="3426" t="e">
        <f>IF(E1="售价",ROUND(PRODUCT(T47,AB7:AB46),0),ROUND(PRODUCT(T47,AB7:AB46),1))</f>
        <v>#DIV/0!</v>
      </c>
      <c r="U48" s="3427"/>
      <c r="V48" s="3428" t="e">
        <f>IF(E1="售价",ROUND(PRODUCT(V47,AC7:AC46),0),ROUND(PRODUCT(V47,AC7:AC46),1))</f>
        <v>#DIV/0!</v>
      </c>
      <c r="W48" s="3428"/>
      <c r="X48" s="1792"/>
      <c r="Y48" s="1792"/>
      <c r="Z48" s="1792"/>
      <c r="AA48" s="1792"/>
      <c r="AB48" s="1792"/>
      <c r="AC48" s="1792"/>
    </row>
    <row r="49" spans="1:29" ht="15.75" thickBot="1">
      <c r="A49" s="1800" t="s">
        <v>2299</v>
      </c>
      <c r="B49" s="1801"/>
      <c r="C49" s="1802" t="e">
        <f>R49</f>
        <v>#DIV/0!</v>
      </c>
      <c r="D49" s="1803"/>
      <c r="E49" s="1803"/>
      <c r="F49" s="1803"/>
      <c r="G49" s="1803"/>
      <c r="H49" s="1803"/>
      <c r="I49" s="1803"/>
      <c r="J49" s="1803"/>
      <c r="K49" s="1804"/>
      <c r="L49" s="3003"/>
      <c r="P49" s="3429" t="str">
        <f>A49</f>
        <v>估价对象XX用房的比较价值（楼面单价，元/平方米）</v>
      </c>
      <c r="Q49" s="3430"/>
      <c r="R49" s="3431" t="e">
        <f>IF(E1="售价",ROUND(IF(D48="简单平均",AVERAGE(R48:V48),R48*F48+T48*H48+V48*J48),0),ROUND(IF(D48="简单平均",AVERAGE(R48:V48),R48*F48+T48*H48+V48*J48),1))</f>
        <v>#DIV/0!</v>
      </c>
      <c r="S49" s="3431"/>
      <c r="T49" s="3431"/>
      <c r="U49" s="3431"/>
      <c r="V49" s="3431"/>
      <c r="W49" s="3431"/>
      <c r="X49" s="1792"/>
      <c r="Y49" s="1792"/>
      <c r="Z49" s="1792"/>
      <c r="AA49" s="1792"/>
      <c r="AB49" s="1792"/>
      <c r="AC49" s="1792"/>
    </row>
    <row r="50" spans="1:29">
      <c r="G50" s="3007"/>
    </row>
    <row r="52" spans="1:29" ht="13.5" customHeight="1">
      <c r="C52" s="383" t="s">
        <v>2300</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2301</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2302</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2303</v>
      </c>
      <c r="B57" s="1792"/>
      <c r="C57" s="1818"/>
      <c r="D57" s="1818"/>
      <c r="E57" s="1818"/>
      <c r="F57" s="1818"/>
      <c r="G57" s="1818"/>
      <c r="H57" s="1818"/>
      <c r="I57" s="1818"/>
      <c r="J57" s="1818"/>
      <c r="K57" s="1819"/>
      <c r="L57" s="3005"/>
      <c r="M57" s="3006"/>
      <c r="N57" s="3006"/>
      <c r="O57" s="3006"/>
      <c r="P57" s="1821"/>
      <c r="Q57" s="1822"/>
    </row>
    <row r="58" spans="1:29" s="1828" customFormat="1" ht="15">
      <c r="A58" s="1823" t="s">
        <v>2304</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2306</v>
      </c>
      <c r="B61" s="1830"/>
      <c r="C61" s="1841" t="s">
        <v>2307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2308</v>
      </c>
      <c r="B63" s="1848" t="s">
        <v>2273</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2277</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1715</v>
      </c>
      <c r="C82" s="1860" t="s">
        <v>2324</v>
      </c>
      <c r="D82" s="1860" t="s">
        <v>2325</v>
      </c>
      <c r="E82" s="1860" t="s">
        <v>2326</v>
      </c>
      <c r="F82" s="1860" t="s">
        <v>2327</v>
      </c>
      <c r="G82" s="1860" t="s">
        <v>2328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2330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2283</v>
      </c>
      <c r="B100" s="1848" t="s">
        <v>2332</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2334</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2338</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2339</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2340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2341</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2343</v>
      </c>
    </row>
    <row r="137" spans="1:17" ht="15">
      <c r="B137" s="1912" t="s">
        <v>2344</v>
      </c>
      <c r="C137" s="1913"/>
      <c r="D137" s="1913"/>
      <c r="E137" s="1913"/>
      <c r="F137" s="1913"/>
      <c r="G137" s="1914"/>
      <c r="H137" s="1915"/>
      <c r="I137" s="1916" t="s">
        <v>2345</v>
      </c>
      <c r="J137" s="1913"/>
      <c r="K137" s="1917"/>
    </row>
    <row r="138" spans="1:17" ht="15">
      <c r="B138" s="1918"/>
      <c r="C138" s="1919" t="s">
        <v>2346</v>
      </c>
      <c r="D138" s="1919" t="s">
        <v>2347</v>
      </c>
      <c r="E138" s="1920" t="s">
        <v>2348</v>
      </c>
      <c r="F138" s="1921" t="s">
        <v>2349</v>
      </c>
      <c r="G138" s="1919" t="s">
        <v>2347</v>
      </c>
      <c r="H138" s="1922" t="s">
        <v>2348</v>
      </c>
      <c r="I138" s="1923"/>
      <c r="J138" s="1919" t="s">
        <v>2350</v>
      </c>
      <c r="K138" s="1922" t="s">
        <v>2351</v>
      </c>
    </row>
    <row r="139" spans="1:17" ht="15">
      <c r="B139" s="1924">
        <v>6</v>
      </c>
      <c r="C139" s="1925">
        <v>96</v>
      </c>
      <c r="D139" s="1926" t="s">
        <v>2352</v>
      </c>
      <c r="E139" s="1927">
        <v>100</v>
      </c>
      <c r="F139" s="1928">
        <v>102.5</v>
      </c>
      <c r="G139" s="1926" t="s">
        <v>2352</v>
      </c>
      <c r="H139" s="1929">
        <v>105</v>
      </c>
      <c r="I139" s="1930" t="s">
        <v>2353</v>
      </c>
      <c r="J139" s="1925">
        <v>20</v>
      </c>
      <c r="K139" s="1931">
        <f>C145/(J139-2)</f>
        <v>4.0555555555555553E-3</v>
      </c>
    </row>
    <row r="140" spans="1:17" ht="15">
      <c r="B140" s="1932">
        <v>5</v>
      </c>
      <c r="C140" s="1933">
        <v>100</v>
      </c>
      <c r="D140" s="1933"/>
      <c r="E140" s="1934"/>
      <c r="F140" s="1935">
        <v>102</v>
      </c>
      <c r="G140" s="1933"/>
      <c r="H140" s="1936"/>
      <c r="I140" s="1937" t="s">
        <v>2354</v>
      </c>
      <c r="J140" s="1938">
        <f>ROUNDUP((J139-1)/2,0)</f>
        <v>10</v>
      </c>
      <c r="K140" s="1939">
        <v>100</v>
      </c>
    </row>
    <row r="141" spans="1:17" ht="15">
      <c r="B141" s="1932">
        <v>4</v>
      </c>
      <c r="C141" s="1933">
        <v>102</v>
      </c>
      <c r="D141" s="1933"/>
      <c r="E141" s="1934"/>
      <c r="F141" s="1935">
        <v>101.5</v>
      </c>
      <c r="G141" s="1933"/>
      <c r="H141" s="1936"/>
      <c r="I141" s="1937" t="s">
        <v>2355</v>
      </c>
      <c r="J141" s="1938">
        <v>1</v>
      </c>
      <c r="K141" s="1940">
        <f>ROUND(100+(J141-J140)*K139*100,1)</f>
        <v>96.4</v>
      </c>
    </row>
    <row r="142" spans="1:17" ht="15">
      <c r="B142" s="1932">
        <v>3</v>
      </c>
      <c r="C142" s="1933">
        <v>103</v>
      </c>
      <c r="D142" s="1933"/>
      <c r="E142" s="1934"/>
      <c r="F142" s="1935">
        <v>101</v>
      </c>
      <c r="G142" s="1933"/>
      <c r="H142" s="1936"/>
      <c r="I142" s="1937" t="s">
        <v>2356</v>
      </c>
      <c r="J142" s="1938">
        <f>J139</f>
        <v>20</v>
      </c>
      <c r="K142" s="1941">
        <v>95</v>
      </c>
    </row>
    <row r="143" spans="1:17" ht="15">
      <c r="B143" s="1932">
        <v>2</v>
      </c>
      <c r="C143" s="1933">
        <v>100</v>
      </c>
      <c r="D143" s="1933"/>
      <c r="E143" s="1934"/>
      <c r="F143" s="1935">
        <v>100.5</v>
      </c>
      <c r="G143" s="1933"/>
      <c r="H143" s="1936"/>
      <c r="I143" s="1937" t="s">
        <v>2357</v>
      </c>
      <c r="J143" s="1933">
        <v>15</v>
      </c>
      <c r="K143" s="1940">
        <f>ROUND(100+(J143-J140)*K139*100,1)</f>
        <v>102</v>
      </c>
    </row>
    <row r="144" spans="1:17" ht="15">
      <c r="B144" s="1932">
        <v>1</v>
      </c>
      <c r="C144" s="1933">
        <v>98</v>
      </c>
      <c r="D144" s="1420" t="s">
        <v>2358</v>
      </c>
      <c r="E144" s="1934">
        <v>102</v>
      </c>
      <c r="F144" s="1942">
        <v>100</v>
      </c>
      <c r="G144" s="1420" t="s">
        <v>2358</v>
      </c>
      <c r="H144" s="1936">
        <v>105</v>
      </c>
      <c r="I144" s="1937" t="s">
        <v>2357</v>
      </c>
      <c r="J144" s="1933">
        <v>18</v>
      </c>
      <c r="K144" s="1940">
        <f>ROUND(100+(J144-J140)*K139*100,1)</f>
        <v>103.2</v>
      </c>
    </row>
    <row r="145" spans="2:11" ht="15.75" thickBot="1">
      <c r="B145" s="1943" t="s">
        <v>2359</v>
      </c>
      <c r="C145" s="1944">
        <f>ROUND(MAX(C139:C144)/MIN(C139:C144)-1,3)</f>
        <v>7.2999999999999995E-2</v>
      </c>
      <c r="D145" s="1945"/>
      <c r="E145" s="1945"/>
      <c r="F145" s="1574" t="s">
        <v>2360</v>
      </c>
      <c r="G145" s="1946"/>
      <c r="H145" s="1947"/>
      <c r="I145" s="1948" t="s">
        <v>2357</v>
      </c>
      <c r="J145" s="1949">
        <v>8</v>
      </c>
      <c r="K145" s="1950">
        <f>ROUND(100+(J145-J140)*K139*100,1)</f>
        <v>99.2</v>
      </c>
    </row>
    <row r="147" spans="2:11">
      <c r="B147" s="1573" t="s">
        <v>2361</v>
      </c>
    </row>
    <row r="148" spans="2:11">
      <c r="B148" s="1573" t="s">
        <v>2362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2" zoomScale="90" zoomScaleNormal="90" zoomScaleSheetLayoutView="90" workbookViewId="0">
      <selection activeCell="E3" sqref="E3"/>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2505</v>
      </c>
      <c r="B1" s="2098"/>
      <c r="C1" s="2099" t="s">
        <v>2506</v>
      </c>
      <c r="D1" s="2100">
        <f>SUM(D29:D30,D33:D39)</f>
        <v>191.89</v>
      </c>
      <c r="E1" s="2100"/>
      <c r="F1" s="2100"/>
      <c r="G1" s="2100"/>
      <c r="H1" s="2100"/>
      <c r="I1" s="2100"/>
      <c r="J1" s="2100"/>
      <c r="K1" s="3050"/>
      <c r="L1" s="2101" t="s">
        <v>2507</v>
      </c>
      <c r="M1" s="2102">
        <f>SUMPRODUCT((区片价!B5:B9=I2)*(区片价!C3:F3=E2)*(区片价!C5:F9))</f>
        <v>30890</v>
      </c>
      <c r="N1" s="2103">
        <f>SUMPRODUCT((因素修正幅度!B5:B9=I2)*(因素修正幅度!C3:F3=E2)*(因素修正幅度!C5:F9))</f>
        <v>9.9000000000000005E-2</v>
      </c>
      <c r="O1" s="3050"/>
      <c r="P1" s="3050"/>
      <c r="Q1" s="3050"/>
      <c r="R1" s="2104" t="s">
        <v>2508</v>
      </c>
      <c r="S1" s="2104" t="s">
        <v>2509</v>
      </c>
      <c r="T1" s="2104" t="s">
        <v>2510</v>
      </c>
      <c r="U1" s="2104" t="s">
        <v>2511</v>
      </c>
      <c r="V1" s="2104" t="s">
        <v>2512</v>
      </c>
      <c r="W1" s="2105"/>
      <c r="X1" s="2105"/>
      <c r="Y1" s="2105"/>
      <c r="Z1" s="2105"/>
      <c r="AA1" s="2105"/>
      <c r="AB1" s="2105"/>
      <c r="AC1" s="2105"/>
      <c r="AD1" s="2106"/>
      <c r="AE1" s="2106"/>
      <c r="AF1" s="2106"/>
      <c r="AG1" s="2106"/>
      <c r="AH1" s="2106"/>
      <c r="AI1" s="2106"/>
      <c r="AJ1" s="2107"/>
    </row>
    <row r="2" spans="1:36" ht="24.75">
      <c r="A2" s="1961" t="s">
        <v>2513</v>
      </c>
      <c r="B2" s="1659">
        <f ca="1">C26</f>
        <v>1356</v>
      </c>
      <c r="C2" s="2108" t="s">
        <v>2514</v>
      </c>
      <c r="D2" s="1602" t="s">
        <v>2515</v>
      </c>
      <c r="E2" s="2109" t="s">
        <v>2902</v>
      </c>
      <c r="F2" s="1602" t="s">
        <v>2516</v>
      </c>
      <c r="G2" s="2110" t="str">
        <f>项目基本情况!F9</f>
        <v>一级</v>
      </c>
      <c r="H2" s="1603" t="s">
        <v>2517</v>
      </c>
      <c r="I2" s="2110" t="str">
        <f>项目基本情况!F10</f>
        <v>Ⅰ—04</v>
      </c>
      <c r="J2" s="2111"/>
      <c r="K2" s="3050"/>
      <c r="L2" s="2112" t="s">
        <v>2518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1.9361999999999999</v>
      </c>
      <c r="T2" s="2104">
        <f ca="1">ROUND($C$5*$C$18*$C$19*$C$20*S2*$C$24,0)</f>
        <v>70666</v>
      </c>
      <c r="U2" s="2115">
        <f>'数据-取费表'!B5</f>
        <v>191.89</v>
      </c>
      <c r="V2" s="2104">
        <f ca="1">ROUND(T2*U2/10000,0)</f>
        <v>1356</v>
      </c>
      <c r="W2" s="2105"/>
      <c r="X2" s="2105"/>
      <c r="Y2" s="2105"/>
      <c r="Z2" s="2105"/>
      <c r="AA2" s="2105"/>
      <c r="AB2" s="2105"/>
      <c r="AC2" s="2105"/>
      <c r="AD2" s="2106"/>
      <c r="AE2" s="2106"/>
      <c r="AF2" s="2106"/>
      <c r="AG2" s="2106"/>
      <c r="AH2" s="2106"/>
      <c r="AI2" s="2106"/>
      <c r="AJ2" s="2107"/>
    </row>
    <row r="3" spans="1:36" ht="15.75">
      <c r="A3" s="1659" t="s">
        <v>2519</v>
      </c>
      <c r="B3" s="1659">
        <f ca="1">ROUND(B2/D1,0)</f>
        <v>7</v>
      </c>
      <c r="C3" s="2108" t="s">
        <v>2520</v>
      </c>
      <c r="D3" s="1602" t="s">
        <v>2521</v>
      </c>
      <c r="E3" s="2109" t="s">
        <v>2977</v>
      </c>
      <c r="F3" s="1604" t="s">
        <v>2522</v>
      </c>
      <c r="G3" s="2116">
        <f>项目基本情况!C15</f>
        <v>3.5</v>
      </c>
      <c r="H3" s="50" t="s">
        <v>2523</v>
      </c>
      <c r="I3" s="2117">
        <v>1</v>
      </c>
      <c r="J3" s="2111" t="s">
        <v>2524</v>
      </c>
      <c r="K3" s="3050"/>
      <c r="L3" s="2112" t="s">
        <v>2525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1.4198</v>
      </c>
      <c r="T3" s="2104">
        <f t="shared" ref="T3:T16" ca="1" si="0">ROUND($C$5*$C$18*$C$19*$C$20*S3*$C$24,0)</f>
        <v>51819</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476"/>
      <c r="B4" s="3477"/>
      <c r="C4" s="3477"/>
      <c r="D4" s="3478"/>
      <c r="E4" s="3478"/>
      <c r="F4" s="3478"/>
      <c r="G4" s="3478"/>
      <c r="H4" s="3478"/>
      <c r="I4" s="3478"/>
      <c r="J4" s="3479"/>
      <c r="K4" s="3050"/>
      <c r="L4" s="2112" t="s">
        <v>2526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1.1594</v>
      </c>
      <c r="T4" s="2104">
        <f t="shared" ca="1" si="0"/>
        <v>42315</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2527</v>
      </c>
      <c r="B5" s="1605" t="s">
        <v>2528</v>
      </c>
      <c r="C5" s="2118">
        <f>ROUND(IF(E2="商业",C6*C7+C16,(IF(E2="住宅",C6*C12+C16,C6+C16))),0)</f>
        <v>30890</v>
      </c>
      <c r="D5" s="2119">
        <f>ROUND(C6+C16,0)</f>
        <v>30890</v>
      </c>
      <c r="E5" s="2119"/>
      <c r="F5" s="2120"/>
      <c r="G5" s="2121"/>
      <c r="H5" s="2121"/>
      <c r="I5" s="2121"/>
      <c r="J5" s="2078"/>
      <c r="K5" s="1667"/>
      <c r="L5" s="2112" t="s">
        <v>2529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0.96220000000000006</v>
      </c>
      <c r="T5" s="2104">
        <f t="shared" ca="1" si="0"/>
        <v>35118</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2530</v>
      </c>
      <c r="C6" s="2127">
        <f>SUMIF(L1:L12,G2,M1:M12)</f>
        <v>30890</v>
      </c>
      <c r="D6" s="2128" t="s">
        <v>2531</v>
      </c>
      <c r="E6" s="1606"/>
      <c r="F6" s="1606"/>
      <c r="G6" s="2129"/>
      <c r="H6" s="2129"/>
      <c r="I6" s="2129"/>
      <c r="J6" s="2130"/>
      <c r="K6" s="3051"/>
      <c r="L6" s="2112" t="s">
        <v>2532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0.8417</v>
      </c>
      <c r="T6" s="2104">
        <f t="shared" ca="1" si="0"/>
        <v>30720</v>
      </c>
      <c r="U6" s="2115"/>
      <c r="V6" s="2104">
        <f t="shared" ca="1" si="1"/>
        <v>0</v>
      </c>
      <c r="W6" s="2105"/>
      <c r="X6" s="2105"/>
      <c r="Y6" s="2105"/>
      <c r="Z6" s="2105"/>
      <c r="AA6" s="2105"/>
      <c r="AB6" s="2105"/>
      <c r="AC6" s="2122"/>
      <c r="AD6" s="2123"/>
      <c r="AE6" s="2123"/>
      <c r="AF6" s="2123"/>
      <c r="AG6" s="2123"/>
      <c r="AH6" s="2123"/>
      <c r="AI6" s="2123"/>
      <c r="AJ6" s="2124"/>
    </row>
    <row r="7" spans="1:36" ht="24">
      <c r="A7" s="3480" t="str">
        <f>IF(E2="商业",IF(C8="不临58条商业街","",2),"")</f>
        <v/>
      </c>
      <c r="B7" s="1607" t="s">
        <v>2533</v>
      </c>
      <c r="C7" s="2131">
        <f>IF(C8="不临58条商业街",1,ROUND(1+(1.6*E8+1.2*E9+0.8*E10+0.4*E11)*C9,4))</f>
        <v>1</v>
      </c>
      <c r="D7" s="2132" t="s">
        <v>2534</v>
      </c>
      <c r="E7" s="2133"/>
      <c r="F7" s="2134"/>
      <c r="G7" s="2134"/>
      <c r="H7" s="2134"/>
      <c r="I7" s="2134"/>
      <c r="J7" s="2135"/>
      <c r="K7" s="3051"/>
      <c r="L7" s="2112" t="s">
        <v>2535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0.76080000000000003</v>
      </c>
      <c r="T7" s="2104">
        <f t="shared" ca="1" si="0"/>
        <v>27767</v>
      </c>
      <c r="U7" s="2115"/>
      <c r="V7" s="2104">
        <f t="shared" ca="1" si="1"/>
        <v>0</v>
      </c>
      <c r="W7" s="2136" t="s">
        <v>2536</v>
      </c>
      <c r="X7" s="2137" t="str">
        <f>G2</f>
        <v>一级</v>
      </c>
      <c r="Y7" s="2137" t="s">
        <v>2537</v>
      </c>
      <c r="Z7" s="2138">
        <f>G3</f>
        <v>3.5</v>
      </c>
      <c r="AA7" s="2105"/>
      <c r="AB7" s="2105"/>
      <c r="AC7" s="2105"/>
      <c r="AD7" s="2106"/>
      <c r="AE7" s="2106"/>
      <c r="AF7" s="2106"/>
      <c r="AG7" s="2106"/>
      <c r="AH7" s="2106"/>
      <c r="AI7" s="2106"/>
      <c r="AJ7" s="2107"/>
    </row>
    <row r="8" spans="1:36" ht="15">
      <c r="A8" s="3481"/>
      <c r="B8" s="50" t="s">
        <v>2538</v>
      </c>
      <c r="C8" s="2139" t="s">
        <v>2904</v>
      </c>
      <c r="D8" s="65" t="s">
        <v>89</v>
      </c>
      <c r="E8" s="2140" t="e">
        <f>ROUND(C11/E7,4)</f>
        <v>#DIV/0!</v>
      </c>
      <c r="F8" s="2141" t="s">
        <v>2539</v>
      </c>
      <c r="G8" s="2142"/>
      <c r="H8" s="2142"/>
      <c r="I8" s="2142"/>
      <c r="J8" s="2143"/>
      <c r="K8" s="3050"/>
      <c r="L8" s="2112" t="s">
        <v>2540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ca="1" si="0"/>
        <v>0</v>
      </c>
      <c r="U8" s="2115"/>
      <c r="V8" s="2104">
        <f t="shared" ca="1" si="1"/>
        <v>0</v>
      </c>
      <c r="W8" s="3474" t="s">
        <v>2541</v>
      </c>
      <c r="X8" s="3475"/>
      <c r="Y8" s="2144" t="s">
        <v>2542</v>
      </c>
      <c r="Z8" s="2144" t="s">
        <v>2543</v>
      </c>
      <c r="AA8" s="2144" t="s">
        <v>2544</v>
      </c>
      <c r="AB8" s="2144" t="s">
        <v>2545</v>
      </c>
      <c r="AC8" s="2144" t="s">
        <v>2546</v>
      </c>
      <c r="AD8" s="2144" t="s">
        <v>2547</v>
      </c>
      <c r="AE8" s="2144" t="s">
        <v>2548</v>
      </c>
      <c r="AF8" s="2144" t="s">
        <v>2549</v>
      </c>
      <c r="AG8" s="2144" t="s">
        <v>2550</v>
      </c>
      <c r="AH8" s="2144" t="s">
        <v>2551</v>
      </c>
      <c r="AI8" s="2144" t="s">
        <v>2552</v>
      </c>
      <c r="AJ8" s="2144" t="s">
        <v>2553</v>
      </c>
    </row>
    <row r="9" spans="1:36" ht="15">
      <c r="A9" s="3481"/>
      <c r="B9" s="50" t="s">
        <v>2554</v>
      </c>
      <c r="C9" s="2145">
        <f>SUMIF(修正!C59:C119,C8,修正!E59:E119)</f>
        <v>0</v>
      </c>
      <c r="D9" s="50" t="s">
        <v>90</v>
      </c>
      <c r="E9" s="50" t="e">
        <f>ROUND(C11/E7,4)</f>
        <v>#DIV/0!</v>
      </c>
      <c r="F9" s="2141" t="s">
        <v>2555</v>
      </c>
      <c r="G9" s="2142"/>
      <c r="H9" s="2142"/>
      <c r="I9" s="2142"/>
      <c r="J9" s="2143"/>
      <c r="K9" s="3050"/>
      <c r="L9" s="2112" t="s">
        <v>2556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ca="1" si="0"/>
        <v>0</v>
      </c>
      <c r="U9" s="2115"/>
      <c r="V9" s="2104">
        <f t="shared" ca="1" si="1"/>
        <v>0</v>
      </c>
      <c r="W9" s="3475" t="s">
        <v>2557</v>
      </c>
      <c r="X9" s="2146" t="s">
        <v>2558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481"/>
      <c r="B10" s="50" t="s">
        <v>2559</v>
      </c>
      <c r="C10" s="50">
        <f>SUMIF(修正!C59:C119,C8,修正!F59:F119)</f>
        <v>0</v>
      </c>
      <c r="D10" s="50" t="s">
        <v>91</v>
      </c>
      <c r="E10" s="50" t="e">
        <f>ROUND(C11/E7,4)</f>
        <v>#DIV/0!</v>
      </c>
      <c r="F10" s="2141" t="s">
        <v>2560</v>
      </c>
      <c r="G10" s="2142"/>
      <c r="H10" s="2142"/>
      <c r="I10" s="2142"/>
      <c r="J10" s="2143"/>
      <c r="K10" s="3050"/>
      <c r="L10" s="2112" t="s">
        <v>2561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ca="1" si="0"/>
        <v>0</v>
      </c>
      <c r="U10" s="2115"/>
      <c r="V10" s="2104">
        <f t="shared" ca="1" si="1"/>
        <v>0</v>
      </c>
      <c r="W10" s="3475"/>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481"/>
      <c r="B11" s="1608" t="s">
        <v>2562</v>
      </c>
      <c r="C11" s="1608">
        <f>C10/4</f>
        <v>0</v>
      </c>
      <c r="D11" s="1608" t="s">
        <v>92</v>
      </c>
      <c r="E11" s="1608" t="e">
        <f>ROUND(C11/E7,4)</f>
        <v>#DIV/0!</v>
      </c>
      <c r="F11" s="2150" t="s">
        <v>2563</v>
      </c>
      <c r="G11" s="2151"/>
      <c r="H11" s="2151"/>
      <c r="I11" s="2151"/>
      <c r="J11" s="2152"/>
      <c r="K11" s="3050"/>
      <c r="L11" s="2112" t="s">
        <v>2564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ca="1" si="0"/>
        <v>0</v>
      </c>
      <c r="U11" s="2115"/>
      <c r="V11" s="2104">
        <f t="shared" ca="1" si="1"/>
        <v>0</v>
      </c>
      <c r="W11" s="3475" t="s">
        <v>2565</v>
      </c>
      <c r="X11" s="2153" t="s">
        <v>2566</v>
      </c>
      <c r="Y11" s="2154">
        <f>$G$3</f>
        <v>3.5</v>
      </c>
      <c r="Z11" s="2154">
        <f t="shared" ref="Z11:AJ11" si="3">$G$3</f>
        <v>3.5</v>
      </c>
      <c r="AA11" s="2154">
        <f t="shared" si="3"/>
        <v>3.5</v>
      </c>
      <c r="AB11" s="2154">
        <f t="shared" si="3"/>
        <v>3.5</v>
      </c>
      <c r="AC11" s="2154">
        <f t="shared" si="3"/>
        <v>3.5</v>
      </c>
      <c r="AD11" s="2154">
        <f t="shared" si="3"/>
        <v>3.5</v>
      </c>
      <c r="AE11" s="2154">
        <f t="shared" si="3"/>
        <v>3.5</v>
      </c>
      <c r="AF11" s="2154">
        <f t="shared" si="3"/>
        <v>3.5</v>
      </c>
      <c r="AG11" s="2154">
        <f t="shared" si="3"/>
        <v>3.5</v>
      </c>
      <c r="AH11" s="2154">
        <f t="shared" si="3"/>
        <v>3.5</v>
      </c>
      <c r="AI11" s="2154">
        <f t="shared" si="3"/>
        <v>3.5</v>
      </c>
      <c r="AJ11" s="2154">
        <f t="shared" si="3"/>
        <v>3.5</v>
      </c>
    </row>
    <row r="12" spans="1:36" ht="25.5" hidden="1" thickBot="1">
      <c r="A12" s="3480" t="str">
        <f>IF(E2="住宅",2,"")</f>
        <v/>
      </c>
      <c r="B12" s="1609" t="s">
        <v>2567</v>
      </c>
      <c r="C12" s="2131">
        <f>ROUND(C15*D15*E15*F15*G15*H15*I15*J15,4)</f>
        <v>1.32</v>
      </c>
      <c r="D12" s="2155" t="s">
        <v>2568</v>
      </c>
      <c r="E12" s="2156"/>
      <c r="F12" s="2156"/>
      <c r="G12" s="2156"/>
      <c r="H12" s="2156"/>
      <c r="I12" s="2156"/>
      <c r="J12" s="2157"/>
      <c r="K12" s="3050"/>
      <c r="L12" s="2158" t="s">
        <v>2569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ca="1" si="0"/>
        <v>0</v>
      </c>
      <c r="U12" s="2115"/>
      <c r="V12" s="2104">
        <f t="shared" ca="1" si="1"/>
        <v>0</v>
      </c>
      <c r="W12" s="3475"/>
      <c r="X12" s="2161" t="s">
        <v>2570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hidden="1">
      <c r="A13" s="3482"/>
      <c r="B13" s="1610" t="s">
        <v>2571</v>
      </c>
      <c r="C13" s="2162" t="s">
        <v>2572</v>
      </c>
      <c r="D13" s="1611" t="s">
        <v>2573</v>
      </c>
      <c r="E13" s="1611" t="s">
        <v>2574</v>
      </c>
      <c r="F13" s="264" t="s">
        <v>2575</v>
      </c>
      <c r="G13" s="2163" t="s">
        <v>2576</v>
      </c>
      <c r="H13" s="2163" t="s">
        <v>2576</v>
      </c>
      <c r="I13" s="2163" t="s">
        <v>2576</v>
      </c>
      <c r="J13" s="2164" t="s">
        <v>2576</v>
      </c>
      <c r="K13" s="3050"/>
      <c r="L13" s="3050"/>
      <c r="M13" s="3050"/>
      <c r="N13" s="3050"/>
      <c r="O13" s="3050"/>
      <c r="P13" s="3050"/>
      <c r="Q13" s="3050"/>
      <c r="R13" s="2104">
        <v>12</v>
      </c>
      <c r="S13" s="2115"/>
      <c r="T13" s="2104">
        <f t="shared" ca="1" si="0"/>
        <v>0</v>
      </c>
      <c r="U13" s="2115"/>
      <c r="V13" s="2104">
        <f t="shared" ca="1" si="1"/>
        <v>0</v>
      </c>
      <c r="W13" s="3475"/>
      <c r="X13" s="2161"/>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6" ht="15" hidden="1">
      <c r="A14" s="3482"/>
      <c r="B14" s="1611"/>
      <c r="C14" s="2165" t="s">
        <v>2577</v>
      </c>
      <c r="D14" s="2166" t="s">
        <v>2578</v>
      </c>
      <c r="E14" s="2166" t="s">
        <v>2578</v>
      </c>
      <c r="F14" s="2167" t="s">
        <v>2579</v>
      </c>
      <c r="G14" s="2168" t="s">
        <v>2580</v>
      </c>
      <c r="H14" s="2169"/>
      <c r="I14" s="2170"/>
      <c r="J14" s="2171"/>
      <c r="K14" s="3050"/>
      <c r="L14" s="3050"/>
      <c r="M14" s="3050"/>
      <c r="N14" s="3050"/>
      <c r="O14" s="3050"/>
      <c r="P14" s="3050"/>
      <c r="Q14" s="3050"/>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hidden="1" thickBot="1">
      <c r="A15" s="3483"/>
      <c r="B15" s="1612" t="s">
        <v>2581</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484">
        <f>IF(E2="办公",2,IF(E2="工业",2,IF(E2="住宅",3,IF(E2="商业",IF(C8="不临58条商业街",2,3)))))</f>
        <v>2</v>
      </c>
      <c r="B16" s="1631" t="s">
        <v>2587</v>
      </c>
      <c r="C16" s="1607">
        <f>ROUND(IF(F17="与级别开发程度一致",0,(G17-E17)/C17),0)</f>
        <v>0</v>
      </c>
      <c r="D16" s="3497" t="s">
        <v>2591</v>
      </c>
      <c r="E16" s="3498"/>
      <c r="F16" s="3497" t="s">
        <v>2588</v>
      </c>
      <c r="G16" s="3498"/>
      <c r="H16" s="2175"/>
      <c r="I16" s="2175"/>
      <c r="J16" s="2176"/>
      <c r="K16" s="2175"/>
      <c r="L16" s="2175"/>
      <c r="M16" s="2175"/>
      <c r="N16" s="2175"/>
      <c r="O16" s="2177"/>
      <c r="P16" s="3050"/>
      <c r="Q16" s="3050"/>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485"/>
      <c r="B17" s="1632" t="s">
        <v>2590</v>
      </c>
      <c r="C17" s="2178">
        <f>SUMPRODUCT((修正!A2:A5=E2)*(修正!B1:M1=G2)*(修正!B2:M5))</f>
        <v>3.5</v>
      </c>
      <c r="D17" s="2172" t="str">
        <f>IF(OR(G2="八级",G2="九级",G2="十级",G2="十一级",G2="十二级"),"五通一平","七通一平")</f>
        <v>七通一平</v>
      </c>
      <c r="E17" s="2179">
        <f>SUMPRODUCT((修正!B1:M1=G2)*(修正!B15:M15))</f>
        <v>375</v>
      </c>
      <c r="F17" s="2180" t="s">
        <v>2905</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2593</v>
      </c>
      <c r="B18" s="1630" t="s">
        <v>2594</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2595</v>
      </c>
      <c r="B19" s="1613" t="s">
        <v>2596</v>
      </c>
      <c r="C19" s="2189">
        <f>ROUND(IF(H19="按公示增长率计算",SUMPRODUCT((地价!A3:A33=YEAR(G19)&amp;"-"&amp;ROUNDUP(MONTH(G19)/3,0))*(地价!X2:AB2=E2)*(地价!X3:AB33)),IF(H19="地价指数",M20/M19,(1+I19)^O19)),4)</f>
        <v>1.3420000000000001</v>
      </c>
      <c r="D19" s="2190" t="s">
        <v>2597</v>
      </c>
      <c r="E19" s="2191">
        <v>41640</v>
      </c>
      <c r="F19" s="2190" t="s">
        <v>2598</v>
      </c>
      <c r="G19" s="2192">
        <f>'数据-取费表'!B2</f>
        <v>44195</v>
      </c>
      <c r="H19" s="2193" t="s">
        <v>2734</v>
      </c>
      <c r="I19" s="2194" t="str">
        <f>IF(H19="季度增幅（自定义）",SUMIF(N21:N24,E2,O21:O24),"")</f>
        <v/>
      </c>
      <c r="J19" s="2195"/>
      <c r="K19" s="3052"/>
      <c r="L19" s="2076" t="s">
        <v>2599</v>
      </c>
      <c r="M19" s="2196">
        <f>ROUND(SUMIF(地价!B2:F2,E2,地价!B33:F33),0)</f>
        <v>258</v>
      </c>
      <c r="N19" s="2197" t="s">
        <v>2600</v>
      </c>
      <c r="O19" s="2198">
        <f>ROUNDDOWN(DATEDIF(E19,G19,"M")/3,0)</f>
        <v>27</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2601</v>
      </c>
      <c r="B20" s="1614" t="s">
        <v>2602</v>
      </c>
      <c r="C20" s="2201">
        <f ca="1">ROUND(POWER(1+G20,J20-I20)*(POWER(1+G20,I20)-1)/(POWER(1+G20,J20)-1),4)</f>
        <v>0.83309999999999995</v>
      </c>
      <c r="D20" s="2202" t="s">
        <v>2603</v>
      </c>
      <c r="E20" s="2203">
        <f ca="1">存贷款利率!D4/100</f>
        <v>4.3499999999999997E-2</v>
      </c>
      <c r="F20" s="2202" t="s">
        <v>2592</v>
      </c>
      <c r="G20" s="2204">
        <f ca="1">SUMIF(M26:P26,E2,M28:P28)</f>
        <v>5.3999999999999999E-2</v>
      </c>
      <c r="H20" s="2202" t="s">
        <v>2604</v>
      </c>
      <c r="I20" s="2205">
        <f>'数据-取费表'!B13</f>
        <v>25</v>
      </c>
      <c r="J20" s="2206">
        <f>IF(E2="住宅",70,IF(E2="商业",40,50))</f>
        <v>40</v>
      </c>
      <c r="K20" s="3052"/>
      <c r="L20" s="2207" t="s">
        <v>2605</v>
      </c>
      <c r="M20" s="2208">
        <f>ROUND(SUMPRODUCT((地价!A4:A33=YEAR(G19)&amp;"-"&amp;ROUNDUP(MONTH(G19)/3,0))*(地价!B2:F2=E2)*(地价!B4:F33)),0)</f>
        <v>346</v>
      </c>
      <c r="N20" s="2209" t="s">
        <v>2606</v>
      </c>
      <c r="O20" s="2210" t="s">
        <v>2607</v>
      </c>
      <c r="P20" s="2211" t="s">
        <v>2608</v>
      </c>
      <c r="Q20" s="3052"/>
      <c r="R20" s="3050"/>
      <c r="S20" s="3050"/>
      <c r="T20" s="3050"/>
      <c r="U20" s="3050"/>
      <c r="V20" s="3050"/>
      <c r="W20" s="3050"/>
      <c r="X20" s="1623"/>
      <c r="Y20" s="1623"/>
      <c r="Z20" s="1623"/>
      <c r="AA20" s="1623"/>
      <c r="AB20" s="1623"/>
      <c r="AC20" s="1623"/>
      <c r="AD20" s="1623"/>
      <c r="AE20" s="2188"/>
      <c r="AF20" s="2188"/>
    </row>
    <row r="21" spans="1:35" s="2125" customFormat="1" ht="15">
      <c r="A21" s="2212" t="s">
        <v>2609</v>
      </c>
      <c r="B21" s="1615" t="s">
        <v>2906</v>
      </c>
      <c r="C21" s="2213">
        <f>IF(B21="容积率修正",IF(G3&lt;=10,D22,J22),C23)</f>
        <v>1.9361999999999999</v>
      </c>
      <c r="D21" s="2214"/>
      <c r="E21" s="2214"/>
      <c r="F21" s="2214"/>
      <c r="G21" s="2214"/>
      <c r="H21" s="2214"/>
      <c r="I21" s="2214"/>
      <c r="J21" s="2077"/>
      <c r="K21" s="3052"/>
      <c r="L21" s="3052"/>
      <c r="M21" s="3052"/>
      <c r="N21" s="2215" t="s">
        <v>2610</v>
      </c>
      <c r="O21" s="2216"/>
      <c r="P21" s="2217">
        <f>SUMPRODUCT((地价!A3:A33=YEAR(G19)&amp;"-"&amp;ROUNDUP(MONTH(G19)/3,0))*(地价!AD2:AH2=N21)*(地价!AD3:AH33))</f>
        <v>1.14E-2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2611</v>
      </c>
      <c r="C22" s="2072" t="s">
        <v>2612</v>
      </c>
      <c r="D22" s="2072">
        <f>IF(E22=G22,F22,IF(G3&lt;=10,ROUND(F22+(H22-F22)*(G3-E22)/(G22-E22),4),"——"))</f>
        <v>1</v>
      </c>
      <c r="E22" s="2116">
        <f>ROUNDDOWN(G3,1)</f>
        <v>3.5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3.5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2"/>
      <c r="L22" s="3052"/>
      <c r="M22" s="3052"/>
      <c r="N22" s="2215" t="s">
        <v>2613</v>
      </c>
      <c r="O22" s="2216"/>
      <c r="P22" s="2217">
        <f>SUMPRODUCT((地价!A3:A33=YEAR(G19)&amp;"-"&amp;ROUNDUP(MONTH(G19)/3,0))*(地价!AD2:AH2=N22)*(地价!AD3:AH33))</f>
        <v>1.14E-2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2614</v>
      </c>
      <c r="C23" s="2219">
        <f>ROUND(IF(G3&gt;1,IF(I3&lt;7,SUMPRODUCT((B93:B98=I3)*(C92:N92=G2)*(C93:N98)),SUMIF(C92:N92,G2,C100:N100)),IF(I3&lt;7,SUMPRODUCT((B102:B107=I3)*(C92:N92=G2)*(C102:N107)),SUMIF(C92:N92,G2,C109:N109))),4)</f>
        <v>1.9361999999999999</v>
      </c>
      <c r="D23" s="2169"/>
      <c r="E23" s="2169"/>
      <c r="F23" s="2220"/>
      <c r="G23" s="2221"/>
      <c r="H23" s="1620"/>
      <c r="I23" s="2072"/>
      <c r="J23" s="2218"/>
      <c r="K23" s="3050"/>
      <c r="L23" s="3050"/>
      <c r="M23" s="3050"/>
      <c r="N23" s="2215" t="s">
        <v>2615</v>
      </c>
      <c r="O23" s="2216"/>
      <c r="P23" s="2217">
        <f>SUMPRODUCT((地价!A3:A33=YEAR(G19)&amp;"-"&amp;ROUNDUP(MONTH(G19)/3,0))*(地价!AD2:AH2=N23)*(地价!AD3:AH33))</f>
        <v>1.9199999999999998E-2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2" t="s">
        <v>2616</v>
      </c>
      <c r="B24" s="1617" t="s">
        <v>2617</v>
      </c>
      <c r="C24" s="2223">
        <f>SUMIF(A46:A88,E2,B46:B88)</f>
        <v>1.0568</v>
      </c>
      <c r="D24" s="2224"/>
      <c r="E24" s="2225"/>
      <c r="F24" s="2225"/>
      <c r="G24" s="2225"/>
      <c r="H24" s="2225"/>
      <c r="I24" s="2225"/>
      <c r="J24" s="2226"/>
      <c r="K24" s="3052"/>
      <c r="L24" s="3052"/>
      <c r="M24" s="3052"/>
      <c r="N24" s="2227" t="s">
        <v>2618</v>
      </c>
      <c r="O24" s="2228"/>
      <c r="P24" s="2229">
        <f>SUMPRODUCT((地价!A3:A33=YEAR(G19)&amp;"-"&amp;ROUNDUP(MONTH(G19)/3,0))*(地价!AD2:AH2=N24)*(地价!AD3:AH33))</f>
        <v>1.23E-2</v>
      </c>
      <c r="Q24" s="3052"/>
      <c r="R24" s="3050"/>
      <c r="S24" s="3050"/>
      <c r="T24" s="3050"/>
      <c r="U24" s="3050"/>
      <c r="V24" s="3050"/>
      <c r="W24" s="3050"/>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0"/>
      <c r="L25" s="3050"/>
      <c r="M25" s="3050"/>
      <c r="N25" s="3053" t="s">
        <v>2621</v>
      </c>
      <c r="O25" s="3054"/>
      <c r="P25" s="3055">
        <f>SUMPRODUCT((地价!A3:A33=YEAR(G19)&amp;"-"&amp;ROUNDUP(MONTH(G19)/3,0))*(地价!AD2:AH2=N25)*(地价!AD3:AH33))</f>
        <v>1.7399999999999999E-2</v>
      </c>
      <c r="Q25" s="3050"/>
      <c r="R25" s="3050"/>
      <c r="S25" s="3050"/>
      <c r="T25" s="3050"/>
      <c r="U25" s="3050"/>
      <c r="V25" s="3050"/>
      <c r="W25" s="3050"/>
      <c r="X25" s="1623"/>
      <c r="Y25" s="1623"/>
      <c r="Z25" s="1623"/>
      <c r="AA25" s="1623"/>
      <c r="AB25" s="1623"/>
      <c r="AC25" s="1623"/>
      <c r="AD25" s="1623"/>
      <c r="AE25" s="1623"/>
      <c r="AF25" s="1623"/>
    </row>
    <row r="26" spans="1:35" ht="15">
      <c r="A26" s="1703"/>
      <c r="B26" s="2072" t="s">
        <v>2622</v>
      </c>
      <c r="C26" s="2890">
        <f ca="1">IF(B21="容积率修正",E29+SUM(E33:E39),SUM(V2:V16)+SUM(E33:E39))</f>
        <v>1356</v>
      </c>
      <c r="D26" s="2232"/>
      <c r="E26" s="2169"/>
      <c r="F26" s="1478"/>
      <c r="G26" s="2169"/>
      <c r="H26" s="2169"/>
      <c r="I26" s="2169"/>
      <c r="J26" s="2233"/>
      <c r="K26" s="3050"/>
      <c r="L26" s="3056" t="s">
        <v>2582</v>
      </c>
      <c r="M26" s="2132" t="s">
        <v>2583</v>
      </c>
      <c r="N26" s="2132" t="s">
        <v>2584</v>
      </c>
      <c r="O26" s="2132" t="s">
        <v>2585</v>
      </c>
      <c r="P26" s="3057" t="s">
        <v>2586</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2623</v>
      </c>
      <c r="C27" s="2234">
        <f ca="1">E30+SUM(I33:I39)</f>
        <v>0</v>
      </c>
      <c r="D27" s="2181"/>
      <c r="E27" s="2235"/>
      <c r="F27" s="2236"/>
      <c r="G27" s="2235"/>
      <c r="H27" s="2235"/>
      <c r="I27" s="2235"/>
      <c r="J27" s="2237"/>
      <c r="K27" s="3050"/>
      <c r="L27" s="2238" t="s">
        <v>2589</v>
      </c>
      <c r="M27" s="2145">
        <v>0.25</v>
      </c>
      <c r="N27" s="2145">
        <v>0.2</v>
      </c>
      <c r="O27" s="2145">
        <v>0.15</v>
      </c>
      <c r="P27" s="2239">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0"/>
      <c r="L28" s="2243" t="s">
        <v>2592</v>
      </c>
      <c r="M28" s="2244">
        <f ca="1">ROUND($E$20*(1+M27),3)</f>
        <v>5.3999999999999999E-2</v>
      </c>
      <c r="N28" s="2244">
        <f ca="1">ROUND($E$20*(1+N27),3)</f>
        <v>5.1999999999999998E-2</v>
      </c>
      <c r="O28" s="2244">
        <f ca="1">ROUND($E$20*(1+O27),3)</f>
        <v>0.05</v>
      </c>
      <c r="P28" s="2160">
        <f ca="1">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5"/>
      <c r="B29" s="1620" t="s">
        <v>2628</v>
      </c>
      <c r="C29" s="54">
        <f ca="1">ROUND(C5*C18*C19*C20*C21*C24,0)</f>
        <v>70666</v>
      </c>
      <c r="D29" s="2246">
        <f>'数据-取费表'!B5</f>
        <v>191.89</v>
      </c>
      <c r="E29" s="2031">
        <f ca="1">ROUND(C29*D29,0)</f>
        <v>13560099</v>
      </c>
      <c r="F29" s="2247" t="s">
        <v>2629</v>
      </c>
      <c r="G29" s="2248"/>
      <c r="H29" s="2248"/>
      <c r="I29" s="2248"/>
      <c r="J29" s="2249"/>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50"/>
      <c r="B30" s="1621" t="s">
        <v>2630</v>
      </c>
      <c r="C30" s="2172">
        <f ca="1">ROUND(IF(E2="工业",C29*M39,C29*M38),0)</f>
        <v>17667</v>
      </c>
      <c r="D30" s="2251"/>
      <c r="E30" s="2031">
        <f ca="1">ROUND(C30*D30,0)</f>
        <v>0</v>
      </c>
      <c r="F30" s="2252" t="s">
        <v>2631</v>
      </c>
      <c r="G30" s="2253"/>
      <c r="H30" s="2253"/>
      <c r="I30" s="2253"/>
      <c r="J30" s="2254"/>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494" t="s">
        <v>2636</v>
      </c>
      <c r="B33" s="2259" t="s">
        <v>2637</v>
      </c>
      <c r="C33" s="54">
        <f ca="1">ROUND(D5*C19*C20*C24*F33,0)</f>
        <v>29198</v>
      </c>
      <c r="D33" s="2246"/>
      <c r="E33" s="50">
        <f t="shared" ref="E33:E39" ca="1" si="6">ROUND(C33*D33,0)</f>
        <v>0</v>
      </c>
      <c r="F33" s="50">
        <f>SUMIF(修正!A45:A56,G2,修正!B45:B56)</f>
        <v>0.8</v>
      </c>
      <c r="G33" s="50">
        <f t="shared" ref="G33" ca="1" si="7">ROUND(IF(E2="工业",C33*$M$39,C33*$M$38),0)</f>
        <v>7300</v>
      </c>
      <c r="H33" s="50">
        <f>D33</f>
        <v>0</v>
      </c>
      <c r="I33" s="50">
        <f t="shared" ref="I33:I39" ca="1" si="8">ROUND(G33*H33,0)</f>
        <v>0</v>
      </c>
      <c r="J33" s="2233"/>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495"/>
      <c r="B34" s="2162" t="s">
        <v>2638</v>
      </c>
      <c r="C34" s="54">
        <f ca="1">ROUND(D5*C19*C20*C24*F34,0)</f>
        <v>18249</v>
      </c>
      <c r="D34" s="2246"/>
      <c r="E34" s="50">
        <f t="shared" ca="1" si="6"/>
        <v>0</v>
      </c>
      <c r="F34" s="50">
        <f>SUMIF(修正!A45:A56,G2,修正!C45:C56)</f>
        <v>0.5</v>
      </c>
      <c r="G34" s="50">
        <f ca="1">ROUND(IF(E2="工业",C34*$M$39,C34*$M$38),0)</f>
        <v>4562</v>
      </c>
      <c r="H34" s="50">
        <f t="shared" ref="H34:H39" si="9">D34</f>
        <v>0</v>
      </c>
      <c r="I34" s="50">
        <f t="shared" ca="1" si="8"/>
        <v>0</v>
      </c>
      <c r="J34" s="2233"/>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495"/>
      <c r="B35" s="2162" t="s">
        <v>2639</v>
      </c>
      <c r="C35" s="54">
        <f ca="1">ROUND(D5*C19*C20*C24*F35,0)</f>
        <v>13139</v>
      </c>
      <c r="D35" s="2246"/>
      <c r="E35" s="50">
        <f t="shared" ca="1" si="6"/>
        <v>0</v>
      </c>
      <c r="F35" s="50">
        <f>SUMIF(修正!A45:A56,G2,修正!D45:D56)</f>
        <v>0.36</v>
      </c>
      <c r="G35" s="50">
        <f ca="1">ROUND(IF(E2="工业",C35*$M$39,C35*$M$38),0)</f>
        <v>3285</v>
      </c>
      <c r="H35" s="50">
        <f t="shared" si="9"/>
        <v>0</v>
      </c>
      <c r="I35" s="50">
        <f t="shared" ca="1" si="8"/>
        <v>0</v>
      </c>
      <c r="J35" s="2233"/>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496"/>
      <c r="B36" s="2162" t="s">
        <v>2640</v>
      </c>
      <c r="C36" s="54">
        <f ca="1">ROUND(D5*C19*C20*C24*F36,0)</f>
        <v>10949</v>
      </c>
      <c r="D36" s="2246"/>
      <c r="E36" s="50">
        <f t="shared" ca="1" si="6"/>
        <v>0</v>
      </c>
      <c r="F36" s="50">
        <f>SUMIF(修正!A45:A56,G2,修正!E45:E56)</f>
        <v>0.3</v>
      </c>
      <c r="G36" s="50">
        <f ca="1">ROUND(IF(E2="工业",C36*$M$39,C36*$M$38),0)</f>
        <v>2737</v>
      </c>
      <c r="H36" s="50">
        <f t="shared" si="9"/>
        <v>0</v>
      </c>
      <c r="I36" s="50">
        <f t="shared" ca="1" si="8"/>
        <v>0</v>
      </c>
      <c r="J36" s="2233"/>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60"/>
      <c r="B37" s="2162" t="s">
        <v>2641</v>
      </c>
      <c r="C37" s="50">
        <f ca="1">ROUND(D5*C19*C20*C24*F37,0)</f>
        <v>10949</v>
      </c>
      <c r="D37" s="2246"/>
      <c r="E37" s="50">
        <f t="shared" ca="1" si="6"/>
        <v>0</v>
      </c>
      <c r="F37" s="54">
        <f>SUMIF(修正!A45:A56,G2,修正!F45:F56)</f>
        <v>0.3</v>
      </c>
      <c r="G37" s="50">
        <f ca="1">ROUND(IF(E2="工业",C37*$M$39,C37*$M$38),0)</f>
        <v>2737</v>
      </c>
      <c r="H37" s="50">
        <f t="shared" si="9"/>
        <v>0</v>
      </c>
      <c r="I37" s="50">
        <f t="shared" ca="1" si="8"/>
        <v>0</v>
      </c>
      <c r="J37" s="2233"/>
      <c r="K37" s="3050"/>
      <c r="L37" s="2261" t="s">
        <v>2642</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60"/>
      <c r="B38" s="2162" t="s">
        <v>2643</v>
      </c>
      <c r="C38" s="50">
        <f ca="1">ROUND(D5*C19*C41*C24*F38,0)</f>
        <v>0</v>
      </c>
      <c r="D38" s="2246"/>
      <c r="E38" s="50">
        <f t="shared" ca="1" si="6"/>
        <v>0</v>
      </c>
      <c r="F38" s="54">
        <f>SUMIF(修正!A45:A56,G2,修正!G45:G56)</f>
        <v>0.3</v>
      </c>
      <c r="G38" s="50">
        <f ca="1">ROUND(IF(E2="工业",C38*$M$39,C38*$M$38),0)</f>
        <v>0</v>
      </c>
      <c r="H38" s="50">
        <f t="shared" si="9"/>
        <v>0</v>
      </c>
      <c r="I38" s="50">
        <f t="shared" ca="1" si="8"/>
        <v>0</v>
      </c>
      <c r="J38" s="2233"/>
      <c r="K38" s="3050"/>
      <c r="L38" s="2262" t="s">
        <v>2644</v>
      </c>
      <c r="M38" s="2263">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50"/>
      <c r="B39" s="2264" t="s">
        <v>2645</v>
      </c>
      <c r="C39" s="2172">
        <f ca="1">ROUND(D5*C19*C41*C24*F39,0)</f>
        <v>0</v>
      </c>
      <c r="D39" s="2251"/>
      <c r="E39" s="2172">
        <f t="shared" ca="1" si="6"/>
        <v>0</v>
      </c>
      <c r="F39" s="56">
        <f>SUMIF(修正!A45:A56,G2,修正!H45:H56)</f>
        <v>0.25</v>
      </c>
      <c r="G39" s="2172">
        <f ca="1">ROUND(IF(E2="工业",C39*$M$39,C39*$M$38),0)</f>
        <v>0</v>
      </c>
      <c r="H39" s="2172">
        <f t="shared" si="9"/>
        <v>0</v>
      </c>
      <c r="I39" s="2172">
        <f t="shared" ca="1" si="8"/>
        <v>0</v>
      </c>
      <c r="J39" s="2237"/>
      <c r="K39" s="3050"/>
      <c r="L39" s="2265" t="s">
        <v>2586</v>
      </c>
      <c r="M39" s="2266">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7" customFormat="1">
      <c r="A41" s="1623"/>
      <c r="B41" s="2268" t="s">
        <v>2725</v>
      </c>
      <c r="C41" s="50">
        <f ca="1">ROUND(POWER(1+E41,H41-G41)*(POWER(1+E41,G41)-1)/(POWER(1+E41,H41)-1),4)</f>
        <v>0</v>
      </c>
      <c r="D41" s="50" t="s">
        <v>2723</v>
      </c>
      <c r="E41" s="2269">
        <f ca="1">G20</f>
        <v>5.3999999999999999E-2</v>
      </c>
      <c r="F41" s="50" t="s">
        <v>2724</v>
      </c>
      <c r="G41" s="2270"/>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7"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7"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7"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7" customFormat="1" ht="15">
      <c r="A46" s="2273" t="s">
        <v>2647</v>
      </c>
      <c r="B46" s="2274">
        <f>1+E48</f>
        <v>1.0568</v>
      </c>
      <c r="C46" s="2275"/>
      <c r="D46" s="2276"/>
      <c r="E46" s="2277"/>
      <c r="F46" s="2278"/>
      <c r="G46" s="608"/>
      <c r="H46" s="608"/>
      <c r="I46" s="608"/>
      <c r="J46" s="608"/>
      <c r="K46" s="608"/>
      <c r="L46" s="608"/>
      <c r="M46" s="2100"/>
      <c r="N46" s="2279"/>
      <c r="O46" s="1623"/>
      <c r="P46" s="1623"/>
      <c r="Q46" s="3050"/>
      <c r="R46" s="3050"/>
      <c r="S46" s="3050"/>
      <c r="T46" s="3050"/>
      <c r="U46" s="3050"/>
      <c r="V46" s="3050"/>
      <c r="W46" s="3050"/>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t="s">
        <v>30</v>
      </c>
      <c r="D48" s="2285">
        <f t="shared" ref="D48:D56" si="10">SUMIF($J$47:$N$47,C48,J48:N48)</f>
        <v>1.6299999999999999E-2</v>
      </c>
      <c r="E48" s="2286">
        <f>ROUND(SUM(D48:D56),4)</f>
        <v>5.6800000000000003E-2</v>
      </c>
      <c r="F48" s="2287">
        <f>IF(E2="商业",SUMIF(L1:L12,G2,N1:N12),"——")</f>
        <v>9.9000000000000005E-2</v>
      </c>
      <c r="G48" s="2288">
        <v>1.6299999999999999E-2</v>
      </c>
      <c r="H48" s="2289">
        <f t="shared" ref="H48:H56" si="11">IFERROR(ROUNDDOWN($F$48*I48/2,4),"——")</f>
        <v>1.6299999999999999E-2</v>
      </c>
      <c r="I48" s="2290">
        <v>0.33</v>
      </c>
      <c r="J48" s="2291">
        <f t="shared" ref="J48:J56" si="12">K48+$G48</f>
        <v>3.2599999999999997E-2</v>
      </c>
      <c r="K48" s="2291">
        <f t="shared" ref="K48:K56" si="13">$L48+$G48</f>
        <v>1.6299999999999999E-2</v>
      </c>
      <c r="L48" s="2291">
        <v>0</v>
      </c>
      <c r="M48" s="2291">
        <f t="shared" ref="M48:N56" si="14">L48-$G48</f>
        <v>-1.6299999999999999E-2</v>
      </c>
      <c r="N48" s="2291">
        <f t="shared" si="14"/>
        <v>-3.2599999999999997E-2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7" customFormat="1" ht="51">
      <c r="A49" s="2280" t="s">
        <v>2663</v>
      </c>
      <c r="B49" s="2292" t="str">
        <f>估价对象房地状况!C18</f>
        <v>估价对象周边道路状况、公共交通通达情况、停车便捷程度，综合评价交通便捷度较好</v>
      </c>
      <c r="C49" s="2166" t="s">
        <v>29</v>
      </c>
      <c r="D49" s="2285">
        <f t="shared" si="10"/>
        <v>2.46E-2</v>
      </c>
      <c r="E49" s="2293"/>
      <c r="F49" s="2287"/>
      <c r="G49" s="2288">
        <v>1.23E-2</v>
      </c>
      <c r="H49" s="2289">
        <f t="shared" si="11"/>
        <v>1.23E-2</v>
      </c>
      <c r="I49" s="2290">
        <v>0.25</v>
      </c>
      <c r="J49" s="2291">
        <f t="shared" si="12"/>
        <v>2.46E-2</v>
      </c>
      <c r="K49" s="2291">
        <f t="shared" si="13"/>
        <v>1.23E-2</v>
      </c>
      <c r="L49" s="2291">
        <v>0</v>
      </c>
      <c r="M49" s="2291">
        <f t="shared" si="14"/>
        <v>-1.23E-2</v>
      </c>
      <c r="N49" s="2291">
        <f t="shared" si="14"/>
        <v>-2.46E-2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7" customFormat="1" ht="24">
      <c r="A50" s="2280" t="s">
        <v>2664</v>
      </c>
      <c r="B50" s="2292">
        <f>估价对象房地状况!C19</f>
        <v>0</v>
      </c>
      <c r="C50" s="2166" t="s">
        <v>30</v>
      </c>
      <c r="D50" s="2285">
        <f t="shared" si="10"/>
        <v>2.3999999999999998E-3</v>
      </c>
      <c r="E50" s="2293"/>
      <c r="F50" s="2287"/>
      <c r="G50" s="2288">
        <v>2.3999999999999998E-3</v>
      </c>
      <c r="H50" s="2289">
        <f t="shared" si="11"/>
        <v>2.3999999999999998E-3</v>
      </c>
      <c r="I50" s="2290">
        <v>0.05</v>
      </c>
      <c r="J50" s="2291">
        <f t="shared" si="12"/>
        <v>4.7999999999999996E-3</v>
      </c>
      <c r="K50" s="2291">
        <f t="shared" si="13"/>
        <v>2.3999999999999998E-3</v>
      </c>
      <c r="L50" s="2291">
        <v>0</v>
      </c>
      <c r="M50" s="2291">
        <f t="shared" si="14"/>
        <v>-2.3999999999999998E-3</v>
      </c>
      <c r="N50" s="2291">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7" customFormat="1" ht="36.75">
      <c r="A51" s="2280" t="s">
        <v>2665</v>
      </c>
      <c r="B51" s="2294" t="s">
        <v>2666</v>
      </c>
      <c r="C51" s="2166" t="s">
        <v>30</v>
      </c>
      <c r="D51" s="2285">
        <f t="shared" si="10"/>
        <v>2.3999999999999998E-3</v>
      </c>
      <c r="E51" s="2293"/>
      <c r="F51" s="2287"/>
      <c r="G51" s="2288">
        <v>2.3999999999999998E-3</v>
      </c>
      <c r="H51" s="2289">
        <f t="shared" si="11"/>
        <v>2.3999999999999998E-3</v>
      </c>
      <c r="I51" s="2290">
        <v>0.05</v>
      </c>
      <c r="J51" s="2291">
        <f t="shared" si="12"/>
        <v>4.7999999999999996E-3</v>
      </c>
      <c r="K51" s="2291">
        <f t="shared" si="13"/>
        <v>2.3999999999999998E-3</v>
      </c>
      <c r="L51" s="2291">
        <v>0</v>
      </c>
      <c r="M51" s="2291">
        <f t="shared" si="14"/>
        <v>-2.3999999999999998E-3</v>
      </c>
      <c r="N51" s="2291">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7" customFormat="1" ht="24">
      <c r="A52" s="2280" t="s">
        <v>2667</v>
      </c>
      <c r="B52" s="2292">
        <f>估价对象房地状况!C24</f>
        <v>0</v>
      </c>
      <c r="C52" s="2166" t="s">
        <v>35</v>
      </c>
      <c r="D52" s="2285">
        <f t="shared" si="10"/>
        <v>-7.7999999999999996E-3</v>
      </c>
      <c r="E52" s="2293"/>
      <c r="F52" s="2287"/>
      <c r="G52" s="2288">
        <v>3.8999999999999998E-3</v>
      </c>
      <c r="H52" s="2289">
        <f t="shared" si="11"/>
        <v>3.8999999999999998E-3</v>
      </c>
      <c r="I52" s="2290">
        <v>0.08</v>
      </c>
      <c r="J52" s="2291">
        <f t="shared" si="12"/>
        <v>7.7999999999999996E-3</v>
      </c>
      <c r="K52" s="2291">
        <f t="shared" si="13"/>
        <v>3.8999999999999998E-3</v>
      </c>
      <c r="L52" s="2291">
        <v>0</v>
      </c>
      <c r="M52" s="2291">
        <f t="shared" si="14"/>
        <v>-3.8999999999999998E-3</v>
      </c>
      <c r="N52" s="2291">
        <f t="shared" si="14"/>
        <v>-7.7999999999999996E-3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7" customFormat="1" ht="24">
      <c r="A53" s="2280" t="s">
        <v>2668</v>
      </c>
      <c r="B53" s="2295" t="s">
        <v>2669</v>
      </c>
      <c r="C53" s="2166" t="s">
        <v>30</v>
      </c>
      <c r="D53" s="2285">
        <f t="shared" si="10"/>
        <v>1.4E-3</v>
      </c>
      <c r="E53" s="2293"/>
      <c r="F53" s="2287"/>
      <c r="G53" s="2288">
        <v>1.4E-3</v>
      </c>
      <c r="H53" s="2289">
        <f t="shared" si="11"/>
        <v>1.4E-3</v>
      </c>
      <c r="I53" s="2290">
        <v>0.03</v>
      </c>
      <c r="J53" s="2291">
        <f t="shared" si="12"/>
        <v>2.8E-3</v>
      </c>
      <c r="K53" s="2291">
        <f t="shared" si="13"/>
        <v>1.4E-3</v>
      </c>
      <c r="L53" s="2291">
        <v>0</v>
      </c>
      <c r="M53" s="2291">
        <f t="shared" si="14"/>
        <v>-1.4E-3</v>
      </c>
      <c r="N53" s="2291">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t="s">
        <v>29</v>
      </c>
      <c r="D54" s="2285">
        <f t="shared" si="10"/>
        <v>4.7999999999999996E-3</v>
      </c>
      <c r="E54" s="2293"/>
      <c r="F54" s="2287"/>
      <c r="G54" s="2288">
        <v>2.3999999999999998E-3</v>
      </c>
      <c r="H54" s="2289">
        <f t="shared" si="11"/>
        <v>2.3999999999999998E-3</v>
      </c>
      <c r="I54" s="2290">
        <v>0.05</v>
      </c>
      <c r="J54" s="2291">
        <f t="shared" si="12"/>
        <v>4.7999999999999996E-3</v>
      </c>
      <c r="K54" s="2291">
        <f t="shared" si="13"/>
        <v>2.3999999999999998E-3</v>
      </c>
      <c r="L54" s="2291">
        <v>0</v>
      </c>
      <c r="M54" s="2291">
        <f t="shared" si="14"/>
        <v>-2.3999999999999998E-3</v>
      </c>
      <c r="N54" s="2291">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7" customFormat="1" ht="25.5">
      <c r="A55" s="2296" t="s">
        <v>2671</v>
      </c>
      <c r="B55" s="2292" t="str">
        <f>估价对象房地状况!C22</f>
        <v>估价对象所在区域基础设施水平</v>
      </c>
      <c r="C55" s="2166" t="s">
        <v>29</v>
      </c>
      <c r="D55" s="2285">
        <f t="shared" si="10"/>
        <v>9.7999999999999997E-3</v>
      </c>
      <c r="E55" s="2293"/>
      <c r="F55" s="2287"/>
      <c r="G55" s="2288">
        <v>4.8999999999999998E-3</v>
      </c>
      <c r="H55" s="2289">
        <f t="shared" si="11"/>
        <v>4.8999999999999998E-3</v>
      </c>
      <c r="I55" s="2290">
        <v>0.1</v>
      </c>
      <c r="J55" s="2291">
        <f t="shared" si="12"/>
        <v>9.7999999999999997E-3</v>
      </c>
      <c r="K55" s="2291">
        <f t="shared" si="13"/>
        <v>4.8999999999999998E-3</v>
      </c>
      <c r="L55" s="2291">
        <v>0</v>
      </c>
      <c r="M55" s="2291">
        <f t="shared" si="14"/>
        <v>-4.8999999999999998E-3</v>
      </c>
      <c r="N55" s="2291">
        <f t="shared" si="14"/>
        <v>-9.7999999999999997E-3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7" customFormat="1" ht="39" thickBot="1">
      <c r="A56" s="2298" t="s">
        <v>2672</v>
      </c>
      <c r="B56" s="2299" t="str">
        <f>估价对象房地状况!C20</f>
        <v>区域自然环境：；人文环境；综合评价环境状况一般</v>
      </c>
      <c r="C56" s="2166" t="s">
        <v>30</v>
      </c>
      <c r="D56" s="2285">
        <f t="shared" si="10"/>
        <v>2.8999999999999998E-3</v>
      </c>
      <c r="E56" s="2300"/>
      <c r="F56" s="2287"/>
      <c r="G56" s="2288">
        <v>2.8999999999999998E-3</v>
      </c>
      <c r="H56" s="2289">
        <f t="shared" si="11"/>
        <v>2.8999999999999998E-3</v>
      </c>
      <c r="I56" s="2301">
        <v>0.06</v>
      </c>
      <c r="J56" s="2291">
        <f t="shared" si="12"/>
        <v>5.7999999999999996E-3</v>
      </c>
      <c r="K56" s="2291">
        <f t="shared" si="13"/>
        <v>2.8999999999999998E-3</v>
      </c>
      <c r="L56" s="2291">
        <v>0</v>
      </c>
      <c r="M56" s="2291">
        <f t="shared" si="14"/>
        <v>-2.8999999999999998E-3</v>
      </c>
      <c r="N56" s="2291">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2317</v>
      </c>
      <c r="K58" s="1906" t="s">
        <v>2318</v>
      </c>
      <c r="L58" s="1906" t="s">
        <v>2319</v>
      </c>
      <c r="M58" s="1906" t="s">
        <v>2320</v>
      </c>
      <c r="N58" s="1906" t="s">
        <v>2321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7" customFormat="1" ht="5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7" customFormat="1" ht="24">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7" customFormat="1" ht="25.5">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7" customFormat="1" ht="39"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2317</v>
      </c>
      <c r="K69" s="1906" t="s">
        <v>2318</v>
      </c>
      <c r="L69" s="1906" t="s">
        <v>2319</v>
      </c>
      <c r="M69" s="1906" t="s">
        <v>2320</v>
      </c>
      <c r="N69" s="1906" t="s">
        <v>2321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7" customFormat="1" ht="14.25">
      <c r="A73" s="2280" t="s">
        <v>2680</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58"/>
      <c r="R76" s="3058"/>
      <c r="S76" s="3058"/>
      <c r="T76" s="3058"/>
      <c r="U76" s="3058"/>
      <c r="V76" s="3058"/>
      <c r="W76" s="3058"/>
      <c r="AA76" s="1624"/>
      <c r="AG76" s="2267"/>
    </row>
    <row r="77" spans="1:33" ht="38.25">
      <c r="A77" s="2280" t="s">
        <v>2672</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58"/>
      <c r="R77" s="3058"/>
      <c r="S77" s="3058"/>
      <c r="T77" s="3058"/>
      <c r="U77" s="3058"/>
      <c r="V77" s="3058"/>
      <c r="W77" s="3058"/>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58"/>
      <c r="R78" s="3058"/>
      <c r="S78" s="3058"/>
      <c r="T78" s="3058"/>
      <c r="U78" s="3058"/>
      <c r="V78" s="3058"/>
      <c r="W78" s="3058"/>
      <c r="AA78" s="1624"/>
      <c r="AG78" s="2267"/>
    </row>
    <row r="79" spans="1:33" ht="15">
      <c r="A79" s="2273" t="s">
        <v>2682</v>
      </c>
      <c r="B79" s="2302">
        <f>1+E81</f>
        <v>1</v>
      </c>
      <c r="C79" s="2276"/>
      <c r="D79" s="2276"/>
      <c r="E79" s="2277"/>
      <c r="F79" s="2278"/>
      <c r="G79" s="608"/>
      <c r="H79" s="608"/>
      <c r="I79" s="608"/>
      <c r="J79" s="608"/>
      <c r="K79" s="608"/>
      <c r="L79" s="608"/>
      <c r="M79" s="608"/>
      <c r="N79" s="608"/>
      <c r="Q79" s="3058"/>
      <c r="R79" s="3058"/>
      <c r="S79" s="3058"/>
      <c r="T79" s="3058"/>
      <c r="U79" s="3058"/>
      <c r="V79" s="3058"/>
      <c r="W79" s="3058"/>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2317</v>
      </c>
      <c r="K80" s="1906" t="s">
        <v>2318</v>
      </c>
      <c r="L80" s="1906" t="s">
        <v>2319</v>
      </c>
      <c r="M80" s="1906" t="s">
        <v>2320</v>
      </c>
      <c r="N80" s="1906" t="s">
        <v>2321</v>
      </c>
      <c r="Q80" s="3058"/>
      <c r="R80" s="3058"/>
      <c r="S80" s="3058"/>
      <c r="T80" s="3058"/>
      <c r="U80" s="3058"/>
      <c r="V80" s="3058"/>
      <c r="W80" s="3058"/>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58"/>
      <c r="R81" s="3058"/>
      <c r="S81" s="3058"/>
      <c r="T81" s="3058"/>
      <c r="U81" s="3058"/>
      <c r="V81" s="3058"/>
      <c r="W81" s="3058"/>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58"/>
      <c r="R82" s="3058"/>
      <c r="S82" s="3058"/>
      <c r="T82" s="3058"/>
      <c r="U82" s="3058"/>
      <c r="V82" s="3058"/>
      <c r="W82" s="3058"/>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58"/>
      <c r="R83" s="3058"/>
      <c r="S83" s="3058"/>
      <c r="T83" s="3058"/>
      <c r="U83" s="3058"/>
      <c r="V83" s="3058"/>
      <c r="W83" s="3058"/>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58"/>
      <c r="R84" s="3058"/>
      <c r="S84" s="3058"/>
      <c r="T84" s="3058"/>
      <c r="U84" s="3058"/>
      <c r="V84" s="3058"/>
      <c r="W84" s="3058"/>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58"/>
      <c r="R85" s="3058"/>
      <c r="S85" s="3058"/>
      <c r="T85" s="3058"/>
      <c r="U85" s="3058"/>
      <c r="V85" s="3058"/>
      <c r="W85" s="3058"/>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58"/>
      <c r="R86" s="3058"/>
      <c r="S86" s="3058"/>
      <c r="T86" s="3058"/>
      <c r="U86" s="3058"/>
      <c r="V86" s="3058"/>
      <c r="W86" s="3058"/>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58"/>
      <c r="R87" s="3058"/>
      <c r="S87" s="3058"/>
      <c r="T87" s="3058"/>
      <c r="U87" s="3058"/>
      <c r="V87" s="3058"/>
      <c r="W87" s="3058"/>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58"/>
      <c r="R88" s="3058"/>
      <c r="S88" s="3058"/>
      <c r="T88" s="3058"/>
      <c r="U88" s="3058"/>
      <c r="V88" s="3058"/>
      <c r="W88" s="3058"/>
      <c r="AA88" s="1624"/>
      <c r="AG88" s="2267"/>
    </row>
    <row r="89" spans="1:33">
      <c r="Q89" s="3058"/>
      <c r="R89" s="3058"/>
      <c r="S89" s="3058"/>
      <c r="T89" s="3058"/>
      <c r="U89" s="3058"/>
      <c r="V89" s="3058"/>
      <c r="W89" s="3058"/>
    </row>
    <row r="90" spans="1:33">
      <c r="A90" s="3486" t="s">
        <v>2685</v>
      </c>
      <c r="B90" s="3486"/>
      <c r="C90" s="3486"/>
      <c r="D90" s="3486"/>
      <c r="E90" s="3486"/>
      <c r="F90" s="3486"/>
      <c r="G90" s="3486"/>
      <c r="H90" s="3486"/>
      <c r="I90" s="3486"/>
      <c r="J90" s="3486"/>
      <c r="K90" s="2308"/>
      <c r="L90" s="2308"/>
      <c r="M90" s="2308"/>
      <c r="N90" s="2308"/>
      <c r="Q90" s="3058"/>
      <c r="R90" s="3058"/>
      <c r="S90" s="3058"/>
      <c r="T90" s="3058"/>
      <c r="U90" s="3058"/>
      <c r="V90" s="3058"/>
      <c r="W90" s="3058"/>
    </row>
    <row r="91" spans="1:33">
      <c r="A91" s="3488" t="s">
        <v>2686</v>
      </c>
      <c r="B91" s="3488" t="s">
        <v>2687</v>
      </c>
      <c r="C91" s="2247" t="s">
        <v>2688</v>
      </c>
      <c r="D91" s="2248"/>
      <c r="E91" s="2248"/>
      <c r="F91" s="2248"/>
      <c r="G91" s="2248"/>
      <c r="H91" s="2248"/>
      <c r="I91" s="2248"/>
      <c r="J91" s="2310"/>
      <c r="K91" s="2068"/>
      <c r="L91" s="2068"/>
      <c r="M91" s="2068"/>
      <c r="N91" s="2068"/>
      <c r="Q91" s="3058"/>
      <c r="R91" s="3058"/>
      <c r="S91" s="3058"/>
      <c r="T91" s="3058"/>
      <c r="U91" s="3058"/>
      <c r="V91" s="3058"/>
      <c r="W91" s="3058"/>
    </row>
    <row r="92" spans="1:33">
      <c r="A92" s="3488"/>
      <c r="B92" s="3488"/>
      <c r="C92" s="2031" t="s">
        <v>2542</v>
      </c>
      <c r="D92" s="2031" t="s">
        <v>2543</v>
      </c>
      <c r="E92" s="2031" t="s">
        <v>2544</v>
      </c>
      <c r="F92" s="2031" t="s">
        <v>2545</v>
      </c>
      <c r="G92" s="2031" t="s">
        <v>2546</v>
      </c>
      <c r="H92" s="2031" t="s">
        <v>2547</v>
      </c>
      <c r="I92" s="2031" t="s">
        <v>2548</v>
      </c>
      <c r="J92" s="2031" t="s">
        <v>2549</v>
      </c>
      <c r="K92" s="2031" t="s">
        <v>2550</v>
      </c>
      <c r="L92" s="2031" t="s">
        <v>2551</v>
      </c>
      <c r="M92" s="2031" t="s">
        <v>2552</v>
      </c>
      <c r="N92" s="2031" t="s">
        <v>2553</v>
      </c>
      <c r="Q92" s="3058"/>
      <c r="R92" s="3058"/>
      <c r="S92" s="3058"/>
      <c r="T92" s="3058"/>
      <c r="U92" s="3058"/>
      <c r="V92" s="3058"/>
      <c r="W92" s="3058"/>
    </row>
    <row r="93" spans="1:33">
      <c r="A93" s="3489"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58"/>
      <c r="R93" s="3058"/>
      <c r="S93" s="3058"/>
      <c r="T93" s="3058"/>
      <c r="U93" s="3058"/>
      <c r="V93" s="3058"/>
      <c r="W93" s="3058"/>
    </row>
    <row r="94" spans="1:33">
      <c r="A94" s="3490"/>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58"/>
      <c r="R94" s="3058"/>
      <c r="S94" s="3058"/>
      <c r="T94" s="3058"/>
      <c r="U94" s="3058"/>
      <c r="V94" s="3058"/>
      <c r="W94" s="3058"/>
    </row>
    <row r="95" spans="1:33">
      <c r="A95" s="3490"/>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58"/>
      <c r="R95" s="3058"/>
      <c r="S95" s="3058"/>
      <c r="T95" s="3058"/>
      <c r="U95" s="3058"/>
      <c r="V95" s="3058"/>
      <c r="W95" s="3058"/>
    </row>
    <row r="96" spans="1:33">
      <c r="A96" s="3490"/>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58"/>
      <c r="R96" s="3058"/>
      <c r="S96" s="3058"/>
      <c r="T96" s="3058"/>
      <c r="U96" s="3058"/>
      <c r="V96" s="3058"/>
      <c r="W96" s="3058"/>
    </row>
    <row r="97" spans="1:23">
      <c r="A97" s="3490"/>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58"/>
      <c r="R97" s="3058"/>
      <c r="S97" s="3058"/>
      <c r="T97" s="3058"/>
      <c r="U97" s="3058"/>
      <c r="V97" s="3058"/>
      <c r="W97" s="3058"/>
    </row>
    <row r="98" spans="1:23">
      <c r="A98" s="3490"/>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58"/>
      <c r="R98" s="3058"/>
      <c r="S98" s="3058"/>
      <c r="T98" s="3058"/>
      <c r="U98" s="3058"/>
      <c r="V98" s="3058"/>
      <c r="W98" s="3058"/>
    </row>
    <row r="99" spans="1:23">
      <c r="A99" s="3490"/>
      <c r="B99" s="2311" t="s">
        <v>2558</v>
      </c>
      <c r="C99" s="2313">
        <f>$I$3</f>
        <v>1</v>
      </c>
      <c r="D99" s="2313">
        <f t="shared" ref="D99:M99" si="30">$I$3</f>
        <v>1</v>
      </c>
      <c r="E99" s="2313">
        <f t="shared" si="30"/>
        <v>1</v>
      </c>
      <c r="F99" s="2313">
        <f t="shared" si="30"/>
        <v>1</v>
      </c>
      <c r="G99" s="2313">
        <f t="shared" si="30"/>
        <v>1</v>
      </c>
      <c r="H99" s="2313">
        <f t="shared" si="30"/>
        <v>1</v>
      </c>
      <c r="I99" s="2313">
        <f t="shared" si="30"/>
        <v>1</v>
      </c>
      <c r="J99" s="2313">
        <f t="shared" si="30"/>
        <v>1</v>
      </c>
      <c r="K99" s="2313">
        <f t="shared" si="30"/>
        <v>1</v>
      </c>
      <c r="L99" s="2313">
        <f t="shared" si="30"/>
        <v>1</v>
      </c>
      <c r="M99" s="2313">
        <f t="shared" si="30"/>
        <v>1</v>
      </c>
      <c r="N99" s="2313">
        <f>$I$3</f>
        <v>1</v>
      </c>
      <c r="Q99" s="3058"/>
      <c r="R99" s="3058"/>
      <c r="S99" s="3058"/>
      <c r="T99" s="3058"/>
      <c r="U99" s="3058"/>
      <c r="V99" s="3058"/>
      <c r="W99" s="3058"/>
    </row>
    <row r="100" spans="1:23">
      <c r="A100" s="3491"/>
      <c r="B100" s="2311">
        <v>7</v>
      </c>
      <c r="C100" s="2314">
        <f>(-0.163*(C99^2)-0.59*C99+7617)*(10^(-4))</f>
        <v>0.76162470000000004</v>
      </c>
      <c r="D100" s="2314">
        <f>(-0.163*(D99^2)-0.59*D99+7617)*(10^(-4))</f>
        <v>0.76162470000000004</v>
      </c>
      <c r="E100" s="2314">
        <f>(-0.161*(E99^2)-7.509*E99+6533)*(10^(-4))</f>
        <v>0.65253300000000003</v>
      </c>
      <c r="F100" s="2314">
        <f>(-0.161*(F99^2)-7.509*F99+6533)*(10^(-4))</f>
        <v>0.65253300000000003</v>
      </c>
      <c r="G100" s="2314">
        <f>(-0.161*(G99^2)-7.509*G99+6533)*(10^(-4))</f>
        <v>0.65253300000000003</v>
      </c>
      <c r="H100" s="2314">
        <f>(-0.161*(H99^2)-7.509*H99+6533)*(10^(-4))</f>
        <v>0.65253300000000003</v>
      </c>
      <c r="I100" s="2314">
        <f>(-0.161*(I99^2)-7.509*I99+6533)*(10^(-4))</f>
        <v>0.65253300000000003</v>
      </c>
      <c r="J100" s="2314">
        <f>(-0.214*(J99^2)-21.991*J99+4665)*(10^(-4))</f>
        <v>0.46427950000000001</v>
      </c>
      <c r="K100" s="2314">
        <f>(-0.214*(K99^2)-21.991*K99+4665)*(10^(-4))</f>
        <v>0.46427950000000001</v>
      </c>
      <c r="L100" s="2314">
        <f>(-0.214*(L99^2)-21.991*L99+4665)*(10^(-4))</f>
        <v>0.46427950000000001</v>
      </c>
      <c r="M100" s="2314">
        <f>(-0.214*(M99^2)-21.991*M99+4665)*(10^(-4))</f>
        <v>0.46427950000000001</v>
      </c>
      <c r="N100" s="2314">
        <f>(-0.214*(N99^2)-21.991*N99+4665)*(10^(-4))</f>
        <v>0.46427950000000001</v>
      </c>
      <c r="Q100" s="3058"/>
      <c r="R100" s="3058"/>
      <c r="S100" s="3058"/>
      <c r="T100" s="3058"/>
      <c r="U100" s="3058"/>
      <c r="V100" s="3058"/>
      <c r="W100" s="3058"/>
    </row>
    <row r="101" spans="1:23">
      <c r="A101" s="3489" t="s">
        <v>2690</v>
      </c>
      <c r="B101" s="2315" t="s">
        <v>2691</v>
      </c>
      <c r="C101" s="2316">
        <f>$G$3</f>
        <v>3.5</v>
      </c>
      <c r="D101" s="2316">
        <f t="shared" ref="D101:N101" si="31">$G$3</f>
        <v>3.5</v>
      </c>
      <c r="E101" s="2316">
        <f t="shared" si="31"/>
        <v>3.5</v>
      </c>
      <c r="F101" s="2316">
        <f t="shared" si="31"/>
        <v>3.5</v>
      </c>
      <c r="G101" s="2316">
        <f t="shared" si="31"/>
        <v>3.5</v>
      </c>
      <c r="H101" s="2316">
        <f t="shared" si="31"/>
        <v>3.5</v>
      </c>
      <c r="I101" s="2316">
        <f t="shared" si="31"/>
        <v>3.5</v>
      </c>
      <c r="J101" s="2316">
        <f t="shared" si="31"/>
        <v>3.5</v>
      </c>
      <c r="K101" s="2316">
        <f t="shared" si="31"/>
        <v>3.5</v>
      </c>
      <c r="L101" s="2316">
        <f t="shared" si="31"/>
        <v>3.5</v>
      </c>
      <c r="M101" s="2316">
        <f t="shared" si="31"/>
        <v>3.5</v>
      </c>
      <c r="N101" s="2316">
        <f t="shared" si="31"/>
        <v>3.5</v>
      </c>
      <c r="Q101" s="3058"/>
      <c r="R101" s="3058"/>
      <c r="S101" s="3058"/>
      <c r="T101" s="3058"/>
      <c r="U101" s="3058"/>
      <c r="V101" s="3058"/>
      <c r="W101" s="3058"/>
    </row>
    <row r="102" spans="1:23">
      <c r="A102" s="3490"/>
      <c r="B102" s="2311">
        <v>1</v>
      </c>
      <c r="C102" s="2312">
        <f>1.9362/C101</f>
        <v>0.55320000000000003</v>
      </c>
      <c r="D102" s="2312">
        <f>1.9362/D101</f>
        <v>0.55320000000000003</v>
      </c>
      <c r="E102" s="2312">
        <f>1.8629/E101</f>
        <v>0.53225714285714287</v>
      </c>
      <c r="F102" s="2312">
        <f>1.8629/F101</f>
        <v>0.53225714285714287</v>
      </c>
      <c r="G102" s="2312">
        <f>1.8629/G101</f>
        <v>0.53225714285714287</v>
      </c>
      <c r="H102" s="2312">
        <f>1.8629/H101</f>
        <v>0.53225714285714287</v>
      </c>
      <c r="I102" s="2312">
        <f>1.8629/I101</f>
        <v>0.53225714285714287</v>
      </c>
      <c r="J102" s="2312">
        <f>1.942/J101</f>
        <v>0.55485714285714283</v>
      </c>
      <c r="K102" s="2312">
        <f>1.942/K101</f>
        <v>0.55485714285714283</v>
      </c>
      <c r="L102" s="2312">
        <f>1.942/L101</f>
        <v>0.55485714285714283</v>
      </c>
      <c r="M102" s="2312">
        <f>1.942/M101</f>
        <v>0.55485714285714283</v>
      </c>
      <c r="N102" s="2312">
        <f>1.942/N101</f>
        <v>0.55485714285714283</v>
      </c>
      <c r="Q102" s="3058"/>
      <c r="R102" s="3058"/>
      <c r="S102" s="3058"/>
      <c r="T102" s="3058"/>
      <c r="U102" s="3058"/>
      <c r="V102" s="3058"/>
      <c r="W102" s="3058"/>
    </row>
    <row r="103" spans="1:23">
      <c r="A103" s="3490"/>
      <c r="B103" s="2311">
        <v>2</v>
      </c>
      <c r="C103" s="2312">
        <f>1.4198/C101</f>
        <v>0.40565714285714283</v>
      </c>
      <c r="D103" s="2312">
        <f>1.4198/D101</f>
        <v>0.40565714285714283</v>
      </c>
      <c r="E103" s="2312">
        <f>1.3372/E101</f>
        <v>0.38205714285714282</v>
      </c>
      <c r="F103" s="2312">
        <f>1.3372/F101</f>
        <v>0.38205714285714282</v>
      </c>
      <c r="G103" s="2312">
        <f>1.3372/G101</f>
        <v>0.38205714285714282</v>
      </c>
      <c r="H103" s="2312">
        <f>1.3372/H101</f>
        <v>0.38205714285714282</v>
      </c>
      <c r="I103" s="2312">
        <f>1.3372/I101</f>
        <v>0.38205714285714282</v>
      </c>
      <c r="J103" s="2312">
        <f>1.2799/J101</f>
        <v>0.36568571428571428</v>
      </c>
      <c r="K103" s="2312">
        <f>1.2799/K101</f>
        <v>0.36568571428571428</v>
      </c>
      <c r="L103" s="2312">
        <f>1.2799/L101</f>
        <v>0.36568571428571428</v>
      </c>
      <c r="M103" s="2312">
        <f>1.2799/M101</f>
        <v>0.36568571428571428</v>
      </c>
      <c r="N103" s="2312">
        <f>1.2799/N101</f>
        <v>0.36568571428571428</v>
      </c>
      <c r="Q103" s="3058"/>
      <c r="R103" s="3058"/>
      <c r="S103" s="3058"/>
      <c r="T103" s="3058"/>
      <c r="U103" s="3058"/>
      <c r="V103" s="3058"/>
      <c r="W103" s="3058"/>
    </row>
    <row r="104" spans="1:23">
      <c r="A104" s="3490"/>
      <c r="B104" s="2311">
        <v>3</v>
      </c>
      <c r="C104" s="2312">
        <f>1.1594/C101</f>
        <v>0.33125714285714286</v>
      </c>
      <c r="D104" s="2312">
        <f>1.1594/D101</f>
        <v>0.33125714285714286</v>
      </c>
      <c r="E104" s="2312">
        <f>1.0788/E101</f>
        <v>0.30822857142857141</v>
      </c>
      <c r="F104" s="2312">
        <f>1.0788/F101</f>
        <v>0.30822857142857141</v>
      </c>
      <c r="G104" s="2312">
        <f>1.0788/G101</f>
        <v>0.30822857142857141</v>
      </c>
      <c r="H104" s="2312">
        <f>1.0788/H101</f>
        <v>0.30822857142857141</v>
      </c>
      <c r="I104" s="2312">
        <f>1.0788/I101</f>
        <v>0.30822857142857141</v>
      </c>
      <c r="J104" s="2312">
        <f>1.0072/J101</f>
        <v>0.28777142857142862</v>
      </c>
      <c r="K104" s="2312">
        <f>1.0072/K101</f>
        <v>0.28777142857142862</v>
      </c>
      <c r="L104" s="2312">
        <f>1.0072/L101</f>
        <v>0.28777142857142862</v>
      </c>
      <c r="M104" s="2312">
        <f>1.0072/M101</f>
        <v>0.28777142857142862</v>
      </c>
      <c r="N104" s="2312">
        <f>1.0072/N101</f>
        <v>0.28777142857142862</v>
      </c>
      <c r="Q104" s="3058"/>
      <c r="R104" s="3058"/>
      <c r="S104" s="3058"/>
      <c r="T104" s="3058"/>
      <c r="U104" s="3058"/>
      <c r="V104" s="3058"/>
      <c r="W104" s="3058"/>
    </row>
    <row r="105" spans="1:23">
      <c r="A105" s="3490"/>
      <c r="B105" s="2311">
        <v>4</v>
      </c>
      <c r="C105" s="2312">
        <f>0.9622/C101</f>
        <v>0.27491428571428572</v>
      </c>
      <c r="D105" s="2312">
        <f>0.9622/D101</f>
        <v>0.27491428571428572</v>
      </c>
      <c r="E105" s="2312">
        <f>0.8656/E101</f>
        <v>0.24731428571428574</v>
      </c>
      <c r="F105" s="2312">
        <f>0.8656/F101</f>
        <v>0.24731428571428574</v>
      </c>
      <c r="G105" s="2312">
        <f>0.8656/G101</f>
        <v>0.24731428571428574</v>
      </c>
      <c r="H105" s="2312">
        <f>0.8656/H101</f>
        <v>0.24731428571428574</v>
      </c>
      <c r="I105" s="2312">
        <f>0.8656/I101</f>
        <v>0.24731428571428574</v>
      </c>
      <c r="J105" s="2312">
        <f>0.7525/J101</f>
        <v>0.215</v>
      </c>
      <c r="K105" s="2312">
        <f>0.7525/K101</f>
        <v>0.215</v>
      </c>
      <c r="L105" s="2312">
        <f>0.7525/L101</f>
        <v>0.215</v>
      </c>
      <c r="M105" s="2312">
        <f>0.7525/M101</f>
        <v>0.215</v>
      </c>
      <c r="N105" s="2312">
        <f>0.7525/N101</f>
        <v>0.215</v>
      </c>
      <c r="Q105" s="3058"/>
      <c r="R105" s="3058"/>
      <c r="S105" s="3058"/>
      <c r="T105" s="3058"/>
      <c r="U105" s="3058"/>
      <c r="V105" s="3058"/>
      <c r="W105" s="3058"/>
    </row>
    <row r="106" spans="1:23">
      <c r="A106" s="3490"/>
      <c r="B106" s="2311">
        <v>5</v>
      </c>
      <c r="C106" s="2312">
        <f>0.8417/C101</f>
        <v>0.24048571428571427</v>
      </c>
      <c r="D106" s="2312">
        <f>0.8417/D101</f>
        <v>0.24048571428571427</v>
      </c>
      <c r="E106" s="2312">
        <f>0.7371/E101</f>
        <v>0.21059999999999998</v>
      </c>
      <c r="F106" s="2312">
        <f>0.7371/F101</f>
        <v>0.21059999999999998</v>
      </c>
      <c r="G106" s="2312">
        <f>0.7371/G101</f>
        <v>0.21059999999999998</v>
      </c>
      <c r="H106" s="2312">
        <f>0.7371/H101</f>
        <v>0.21059999999999998</v>
      </c>
      <c r="I106" s="2312">
        <f>0.7371/I101</f>
        <v>0.21059999999999998</v>
      </c>
      <c r="J106" s="2312">
        <f>0.5659/J101</f>
        <v>0.16168571428571427</v>
      </c>
      <c r="K106" s="2312">
        <f>0.5659/K101</f>
        <v>0.16168571428571427</v>
      </c>
      <c r="L106" s="2312">
        <f>0.5659/L101</f>
        <v>0.16168571428571427</v>
      </c>
      <c r="M106" s="2312">
        <f>0.5659/M101</f>
        <v>0.16168571428571427</v>
      </c>
      <c r="N106" s="2312">
        <f>0.5659/N101</f>
        <v>0.16168571428571427</v>
      </c>
      <c r="Q106" s="3058"/>
      <c r="R106" s="3058"/>
      <c r="S106" s="3058"/>
      <c r="T106" s="3058"/>
      <c r="U106" s="3058"/>
      <c r="V106" s="3058"/>
      <c r="W106" s="3058"/>
    </row>
    <row r="107" spans="1:23">
      <c r="A107" s="3490"/>
      <c r="B107" s="2311">
        <v>6</v>
      </c>
      <c r="C107" s="2312">
        <f>0.7608/C101</f>
        <v>0.21737142857142858</v>
      </c>
      <c r="D107" s="2312">
        <f>0.7608/D101</f>
        <v>0.21737142857142858</v>
      </c>
      <c r="E107" s="2312">
        <f>0.6482/E101</f>
        <v>0.1852</v>
      </c>
      <c r="F107" s="2312">
        <f>0.6482/F101</f>
        <v>0.1852</v>
      </c>
      <c r="G107" s="2312">
        <f>0.6482/G101</f>
        <v>0.1852</v>
      </c>
      <c r="H107" s="2312">
        <f>0.6482/H101</f>
        <v>0.1852</v>
      </c>
      <c r="I107" s="2312">
        <f>0.6482/I101</f>
        <v>0.1852</v>
      </c>
      <c r="J107" s="2312">
        <f>0.4525/J101</f>
        <v>0.12928571428571428</v>
      </c>
      <c r="K107" s="2312">
        <f>0.4525/K101</f>
        <v>0.12928571428571428</v>
      </c>
      <c r="L107" s="2312">
        <f>0.4525/L101</f>
        <v>0.12928571428571428</v>
      </c>
      <c r="M107" s="2312">
        <f>0.4525/M101</f>
        <v>0.12928571428571428</v>
      </c>
      <c r="N107" s="2312">
        <f>0.4525/N101</f>
        <v>0.12928571428571428</v>
      </c>
      <c r="Q107" s="3058"/>
      <c r="R107" s="3058"/>
      <c r="S107" s="3058"/>
      <c r="T107" s="3058"/>
      <c r="U107" s="3058"/>
      <c r="V107" s="3058"/>
      <c r="W107" s="3058"/>
    </row>
    <row r="108" spans="1:23">
      <c r="A108" s="3490"/>
      <c r="B108" s="3492" t="s">
        <v>2692</v>
      </c>
      <c r="C108" s="2313">
        <f>C99</f>
        <v>1</v>
      </c>
      <c r="D108" s="2313">
        <f t="shared" ref="D108:N108" si="32">D99</f>
        <v>1</v>
      </c>
      <c r="E108" s="2313">
        <f t="shared" si="32"/>
        <v>1</v>
      </c>
      <c r="F108" s="2313">
        <f t="shared" si="32"/>
        <v>1</v>
      </c>
      <c r="G108" s="2313">
        <f t="shared" si="32"/>
        <v>1</v>
      </c>
      <c r="H108" s="2313">
        <f t="shared" si="32"/>
        <v>1</v>
      </c>
      <c r="I108" s="2313">
        <f t="shared" si="32"/>
        <v>1</v>
      </c>
      <c r="J108" s="2313">
        <f t="shared" si="32"/>
        <v>1</v>
      </c>
      <c r="K108" s="2313">
        <f t="shared" si="32"/>
        <v>1</v>
      </c>
      <c r="L108" s="2313">
        <f t="shared" si="32"/>
        <v>1</v>
      </c>
      <c r="M108" s="2313">
        <f t="shared" si="32"/>
        <v>1</v>
      </c>
      <c r="N108" s="2313">
        <f t="shared" si="32"/>
        <v>1</v>
      </c>
      <c r="Q108" s="3058"/>
      <c r="R108" s="3058"/>
      <c r="S108" s="3058"/>
      <c r="T108" s="3058"/>
      <c r="U108" s="3058"/>
      <c r="V108" s="3058"/>
      <c r="W108" s="3058"/>
    </row>
    <row r="109" spans="1:23">
      <c r="A109" s="3491"/>
      <c r="B109" s="3493"/>
      <c r="C109" s="2314">
        <f>(-0.163*(C108^2)-0.59*C108+7617)*(10^(-4))/C101</f>
        <v>0.21760705714285716</v>
      </c>
      <c r="D109" s="2314">
        <f>(-0.163*(D108^2)-0.59*D108+7617)*(10^(-4))/D101</f>
        <v>0.21760705714285716</v>
      </c>
      <c r="E109" s="2314">
        <f>(-0.161*(E108^2)-7.509*E108+6533)*(10^(-4))/E101</f>
        <v>0.18643800000000002</v>
      </c>
      <c r="F109" s="2314">
        <f>(-0.161*(F108^2)-7.509*F108+6533)*(10^(-4))/F101</f>
        <v>0.18643800000000002</v>
      </c>
      <c r="G109" s="2314">
        <f>(-0.161*(G108^2)-7.509*G108+6533)*(10^(-4))/G101</f>
        <v>0.18643800000000002</v>
      </c>
      <c r="H109" s="2314">
        <f>(-0.161*(H108^2)-7.509*H108+6533)*(10^(-4))/H101</f>
        <v>0.18643800000000002</v>
      </c>
      <c r="I109" s="2314">
        <f>(-0.161*(I108^2)-7.509*I108+6533)*(10^(-4))/I101</f>
        <v>0.18643800000000002</v>
      </c>
      <c r="J109" s="2314">
        <f>(-0.214*(J108^2)-21.991*J108+4665)*(10^(-4))/J101</f>
        <v>0.13265128571428572</v>
      </c>
      <c r="K109" s="2314">
        <f>(-0.214*(K108^2)-21.991*K108+4665)*(10^(-4))/K101</f>
        <v>0.13265128571428572</v>
      </c>
      <c r="L109" s="2314">
        <f>(-0.214*(L108^2)-21.991*L108+4665)*(10^(-4))/L101</f>
        <v>0.13265128571428572</v>
      </c>
      <c r="M109" s="2314">
        <f>(-0.214*(M108^2)-21.991*M108+4665)*(10^(-4))/M101</f>
        <v>0.13265128571428572</v>
      </c>
      <c r="N109" s="2314">
        <f>(-0.214*(N108^2)-21.991*N108+4665)*(10^(-4))/N101</f>
        <v>0.13265128571428572</v>
      </c>
      <c r="Q109" s="3058"/>
      <c r="R109" s="3058"/>
      <c r="S109" s="3058"/>
      <c r="T109" s="3058"/>
      <c r="U109" s="3058"/>
      <c r="V109" s="3058"/>
      <c r="W109" s="3058"/>
    </row>
    <row r="110" spans="1:23">
      <c r="A110" s="3487" t="s">
        <v>2693</v>
      </c>
      <c r="B110" s="3487"/>
      <c r="C110" s="3487"/>
      <c r="D110" s="3487"/>
      <c r="E110" s="3487"/>
      <c r="F110" s="3487"/>
      <c r="G110" s="3487"/>
      <c r="H110" s="3487"/>
      <c r="I110" s="3487"/>
      <c r="J110" s="3487"/>
      <c r="K110" s="2080"/>
      <c r="L110" s="2080"/>
      <c r="M110" s="2080"/>
      <c r="N110" s="2080"/>
      <c r="Q110" s="3058"/>
      <c r="R110" s="3058"/>
      <c r="S110" s="3058"/>
      <c r="T110" s="3058"/>
      <c r="U110" s="3058"/>
      <c r="V110" s="3058"/>
      <c r="W110" s="3058"/>
    </row>
    <row r="112" spans="1:23" ht="13.5" thickBot="1"/>
    <row r="113" spans="1:13" ht="25.5" thickBot="1">
      <c r="A113" s="2317" t="s">
        <v>2694</v>
      </c>
      <c r="B113" s="2318">
        <f>G3</f>
        <v>3.5</v>
      </c>
      <c r="C113" s="2319" t="s">
        <v>2695</v>
      </c>
      <c r="D113" s="2320">
        <f>SUMPRODUCT((A115:A118=F113)*(B114:M114=H113)*B115:M118)</f>
        <v>0.90059999999999996</v>
      </c>
      <c r="E113" s="1602" t="s">
        <v>2582</v>
      </c>
      <c r="F113" s="2321" t="str">
        <f>E2</f>
        <v>商业</v>
      </c>
      <c r="G113" s="1602" t="s">
        <v>2516</v>
      </c>
      <c r="H113" s="2321" t="str">
        <f>G2</f>
        <v>一级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2583</v>
      </c>
      <c r="B115" s="2330">
        <f>ROUND(0.9335-0.0094*B113,4)</f>
        <v>0.90059999999999996</v>
      </c>
      <c r="C115" s="2330">
        <f>B115</f>
        <v>0.90059999999999996</v>
      </c>
      <c r="D115" s="2330">
        <f>ROUND(0.8331-0.0109*B113,4)</f>
        <v>0.79500000000000004</v>
      </c>
      <c r="E115" s="2330">
        <f>D115</f>
        <v>0.79500000000000004</v>
      </c>
      <c r="F115" s="2330">
        <f>E115</f>
        <v>0.79500000000000004</v>
      </c>
      <c r="G115" s="2330">
        <f>F115</f>
        <v>0.79500000000000004</v>
      </c>
      <c r="H115" s="2330">
        <f>G115</f>
        <v>0.79500000000000004</v>
      </c>
      <c r="I115" s="2330">
        <f>ROUND(0.689-0.0155*B113,4)</f>
        <v>0.63480000000000003</v>
      </c>
      <c r="J115" s="2330">
        <f t="shared" ref="J115:M118" si="33">I115</f>
        <v>0.63480000000000003</v>
      </c>
      <c r="K115" s="2330">
        <f t="shared" si="33"/>
        <v>0.63480000000000003</v>
      </c>
      <c r="L115" s="2330">
        <f t="shared" si="33"/>
        <v>0.63480000000000003</v>
      </c>
      <c r="M115" s="2331">
        <f t="shared" si="33"/>
        <v>0.63480000000000003</v>
      </c>
    </row>
    <row r="116" spans="1:13">
      <c r="A116" s="2329" t="s">
        <v>2584</v>
      </c>
      <c r="B116" s="2330">
        <f>ROUND(0.949-0.012*B113,4)</f>
        <v>0.90700000000000003</v>
      </c>
      <c r="C116" s="2330">
        <f>B116</f>
        <v>0.90700000000000003</v>
      </c>
      <c r="D116" s="2330">
        <f>ROUND(0.8567-0.013*B113,4)</f>
        <v>0.81120000000000003</v>
      </c>
      <c r="E116" s="2330">
        <f t="shared" ref="E116:H117" si="34">D116</f>
        <v>0.81120000000000003</v>
      </c>
      <c r="F116" s="2330">
        <f t="shared" si="34"/>
        <v>0.81120000000000003</v>
      </c>
      <c r="G116" s="2330">
        <f t="shared" si="34"/>
        <v>0.81120000000000003</v>
      </c>
      <c r="H116" s="2330">
        <f t="shared" si="34"/>
        <v>0.81120000000000003</v>
      </c>
      <c r="I116" s="2330">
        <f>ROUND(0.7694-0.014*B113,4)</f>
        <v>0.72040000000000004</v>
      </c>
      <c r="J116" s="2330">
        <f t="shared" si="33"/>
        <v>0.72040000000000004</v>
      </c>
      <c r="K116" s="2330">
        <f t="shared" si="33"/>
        <v>0.72040000000000004</v>
      </c>
      <c r="L116" s="2330">
        <f t="shared" si="33"/>
        <v>0.72040000000000004</v>
      </c>
      <c r="M116" s="2331">
        <f t="shared" si="33"/>
        <v>0.72040000000000004</v>
      </c>
    </row>
    <row r="117" spans="1:13">
      <c r="A117" s="2329" t="s">
        <v>2585</v>
      </c>
      <c r="B117" s="2330">
        <f>ROUND(0.8808-0.006*B113,4)</f>
        <v>0.85980000000000001</v>
      </c>
      <c r="C117" s="2330">
        <f>B117</f>
        <v>0.85980000000000001</v>
      </c>
      <c r="D117" s="2330">
        <f>ROUND(0.8748-0.008*B113,4)</f>
        <v>0.8468</v>
      </c>
      <c r="E117" s="2330">
        <f t="shared" si="34"/>
        <v>0.8468</v>
      </c>
      <c r="F117" s="2330">
        <f t="shared" si="34"/>
        <v>0.8468</v>
      </c>
      <c r="G117" s="2330">
        <f t="shared" si="34"/>
        <v>0.8468</v>
      </c>
      <c r="H117" s="2330">
        <f t="shared" si="34"/>
        <v>0.8468</v>
      </c>
      <c r="I117" s="2330">
        <f>ROUND(0.7412-0.0095*B113,4)</f>
        <v>0.70799999999999996</v>
      </c>
      <c r="J117" s="2330">
        <f t="shared" si="33"/>
        <v>0.70799999999999996</v>
      </c>
      <c r="K117" s="2330">
        <f t="shared" si="33"/>
        <v>0.70799999999999996</v>
      </c>
      <c r="L117" s="2330">
        <f t="shared" si="33"/>
        <v>0.70799999999999996</v>
      </c>
      <c r="M117" s="2331">
        <f t="shared" si="33"/>
        <v>0.70799999999999996</v>
      </c>
    </row>
    <row r="118" spans="1:13" ht="13.5" thickBot="1">
      <c r="A118" s="2332" t="s">
        <v>2586</v>
      </c>
      <c r="B118" s="2333">
        <f>ROUND(0.7275-0.01*B113,4)</f>
        <v>0.6925</v>
      </c>
      <c r="C118" s="2333">
        <f>B118</f>
        <v>0.6925</v>
      </c>
      <c r="D118" s="2333">
        <f>ROUND(0.7043-0.012*B113,4)</f>
        <v>0.6623</v>
      </c>
      <c r="E118" s="2333">
        <f>D118</f>
        <v>0.6623</v>
      </c>
      <c r="F118" s="2333">
        <f>E118</f>
        <v>0.6623</v>
      </c>
      <c r="G118" s="2333">
        <f>ROUND(0.6299-0.0122*B113,4)</f>
        <v>0.58720000000000006</v>
      </c>
      <c r="H118" s="2333">
        <f>G118</f>
        <v>0.58720000000000006</v>
      </c>
      <c r="I118" s="2333">
        <f>ROUND(0.5667-0.0136*B113,4)</f>
        <v>0.51910000000000001</v>
      </c>
      <c r="J118" s="2333">
        <f t="shared" si="33"/>
        <v>0.51910000000000001</v>
      </c>
      <c r="K118" s="2333">
        <f t="shared" si="33"/>
        <v>0.51910000000000001</v>
      </c>
      <c r="L118" s="2333">
        <f t="shared" si="33"/>
        <v>0.51910000000000001</v>
      </c>
      <c r="M118" s="2334">
        <f t="shared" si="33"/>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Normal="70" zoomScaleSheetLayoutView="100" workbookViewId="0">
      <selection activeCell="L39" sqref="L39"/>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2363</v>
      </c>
      <c r="C1" s="1639" t="s">
        <v>2756</v>
      </c>
      <c r="D1" s="2472"/>
      <c r="E1" s="1641" t="s">
        <v>2754</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1922</v>
      </c>
      <c r="B2" s="1650">
        <f>IF(D2="——",IF(C2="元",ROUND(C49*D3,0),ROUND(C49*D3/10000,0)),IF(C2="元",ROUND(C49*D3,0),ROUND(C49*D3/10000,0))-E2)</f>
        <v>1019</v>
      </c>
      <c r="C2" s="1651" t="str">
        <f>'数据-取费表'!B3</f>
        <v>万元</v>
      </c>
      <c r="D2" s="1652" t="s">
        <v>1241</v>
      </c>
      <c r="E2" s="2473" t="e">
        <f ca="1">SUMIF(INDIRECT("'"&amp;G2&amp;"'"&amp;"!A:A"),"承租人权益价值",INDIRECT("'"&amp;G2&amp;"'"&amp;"!c:c"))</f>
        <v>#REF!</v>
      </c>
      <c r="F2" s="1654" t="str">
        <f>C2</f>
        <v>万元</v>
      </c>
      <c r="G2" s="1655" t="s">
        <v>2910</v>
      </c>
      <c r="H2" s="3012"/>
      <c r="I2" s="3012"/>
      <c r="J2" s="3012"/>
      <c r="K2" s="3012"/>
      <c r="L2" s="3014"/>
      <c r="M2" s="3012"/>
      <c r="N2" s="3012"/>
      <c r="O2" s="3012"/>
      <c r="P2" s="2474"/>
      <c r="Q2" s="1957"/>
      <c r="R2" s="1957"/>
      <c r="S2" s="1957"/>
      <c r="T2" s="1957"/>
      <c r="U2" s="1957"/>
      <c r="V2" s="1957"/>
      <c r="W2" s="1957"/>
      <c r="X2" s="1957"/>
      <c r="Y2" s="1957"/>
      <c r="Z2" s="1957"/>
      <c r="AA2" s="1957"/>
      <c r="AB2" s="1957"/>
      <c r="AC2" s="1958"/>
    </row>
    <row r="3" spans="1:29" s="1960" customFormat="1" ht="28.5" customHeight="1" thickBot="1">
      <c r="A3" s="1659" t="s">
        <v>1923</v>
      </c>
      <c r="B3" s="1963">
        <f>ROUND(IF(D2="——",C49,IF(C2="万元",B2*10000/D3,B2/D3)),0)</f>
        <v>53117</v>
      </c>
      <c r="C3" s="1660" t="s">
        <v>2253</v>
      </c>
      <c r="D3" s="1660">
        <f>IF(C1="仅计算典型户型",'数据-取费表'!E5,'数据-取费表'!B5)</f>
        <v>191.89</v>
      </c>
      <c r="F3" s="3011"/>
      <c r="G3" s="3012"/>
      <c r="H3" s="3012"/>
      <c r="I3" s="3012"/>
      <c r="J3" s="3012"/>
      <c r="K3" s="3013"/>
      <c r="L3" s="3014"/>
      <c r="M3" s="3012"/>
      <c r="N3" s="3012"/>
      <c r="O3" s="3012"/>
      <c r="P3" s="2474"/>
      <c r="Q3" s="1957"/>
      <c r="R3" s="1957"/>
      <c r="S3" s="1957"/>
      <c r="T3" s="1957"/>
      <c r="U3" s="1957"/>
      <c r="V3" s="1957"/>
      <c r="W3" s="1957"/>
      <c r="X3" s="1957"/>
      <c r="Y3" s="1957"/>
      <c r="Z3" s="1957"/>
      <c r="AA3" s="1957"/>
      <c r="AB3" s="1957"/>
      <c r="AC3" s="1965"/>
    </row>
    <row r="4" spans="1:29" ht="15">
      <c r="A4" s="1663" t="s">
        <v>2254</v>
      </c>
      <c r="B4" s="1664"/>
      <c r="C4" s="3459" t="s">
        <v>2255</v>
      </c>
      <c r="D4" s="3460"/>
      <c r="E4" s="3461" t="s">
        <v>2256</v>
      </c>
      <c r="F4" s="3462"/>
      <c r="G4" s="3459" t="s">
        <v>2257</v>
      </c>
      <c r="H4" s="3460"/>
      <c r="I4" s="3459" t="s">
        <v>2258</v>
      </c>
      <c r="J4" s="3460"/>
      <c r="K4" s="1966" t="s">
        <v>2259</v>
      </c>
      <c r="L4" s="2997"/>
      <c r="M4" s="2998"/>
      <c r="N4" s="2998"/>
      <c r="O4" s="2998"/>
      <c r="P4" s="3463" t="s">
        <v>2260</v>
      </c>
      <c r="Q4" s="3464"/>
      <c r="R4" s="3448" t="s">
        <v>2256</v>
      </c>
      <c r="S4" s="3449"/>
      <c r="T4" s="3448" t="s">
        <v>2257</v>
      </c>
      <c r="U4" s="3449"/>
      <c r="V4" s="3469" t="s">
        <v>2258</v>
      </c>
      <c r="W4" s="3469"/>
      <c r="X4" s="2075"/>
      <c r="Y4" s="3448" t="s">
        <v>2260</v>
      </c>
      <c r="Z4" s="3449"/>
      <c r="AA4" s="3456" t="s">
        <v>2256</v>
      </c>
      <c r="AB4" s="3469" t="s">
        <v>2257</v>
      </c>
      <c r="AC4" s="3456" t="s">
        <v>2258</v>
      </c>
    </row>
    <row r="5" spans="1:29" ht="15">
      <c r="A5" s="1668"/>
      <c r="B5" s="1669"/>
      <c r="C5" s="3444" t="s">
        <v>2261</v>
      </c>
      <c r="D5" s="3445"/>
      <c r="E5" s="3499" t="s">
        <v>2939</v>
      </c>
      <c r="F5" s="3471"/>
      <c r="G5" s="3500" t="s">
        <v>2940</v>
      </c>
      <c r="H5" s="3445"/>
      <c r="I5" s="3500" t="s">
        <v>2943</v>
      </c>
      <c r="J5" s="3445"/>
      <c r="K5" s="1966"/>
      <c r="L5" s="2997"/>
      <c r="M5" s="2998"/>
      <c r="N5" s="2998"/>
      <c r="O5" s="2998"/>
      <c r="P5" s="3465"/>
      <c r="Q5" s="3466"/>
      <c r="R5" s="3450"/>
      <c r="S5" s="3451"/>
      <c r="T5" s="3450"/>
      <c r="U5" s="3451"/>
      <c r="V5" s="3469"/>
      <c r="W5" s="3469"/>
      <c r="X5" s="2075"/>
      <c r="Y5" s="3450"/>
      <c r="Z5" s="3451"/>
      <c r="AA5" s="3457"/>
      <c r="AB5" s="3469"/>
      <c r="AC5" s="3457"/>
    </row>
    <row r="6" spans="1:29" ht="15.75" thickBot="1">
      <c r="A6" s="1671"/>
      <c r="B6" s="1672"/>
      <c r="C6" s="3442" t="s">
        <v>2265</v>
      </c>
      <c r="D6" s="3443"/>
      <c r="E6" s="3472" t="s">
        <v>2265</v>
      </c>
      <c r="F6" s="3473"/>
      <c r="G6" s="3442" t="s">
        <v>2265</v>
      </c>
      <c r="H6" s="3443"/>
      <c r="I6" s="3442" t="s">
        <v>2265</v>
      </c>
      <c r="J6" s="3443"/>
      <c r="K6" s="1966" t="s">
        <v>2266</v>
      </c>
      <c r="L6" s="2997"/>
      <c r="M6" s="2998"/>
      <c r="N6" s="2998"/>
      <c r="O6" s="2998"/>
      <c r="P6" s="3467"/>
      <c r="Q6" s="3468"/>
      <c r="R6" s="3450"/>
      <c r="S6" s="3451"/>
      <c r="T6" s="3452"/>
      <c r="U6" s="3453"/>
      <c r="V6" s="3469"/>
      <c r="W6" s="3469"/>
      <c r="X6" s="2075"/>
      <c r="Y6" s="3452"/>
      <c r="Z6" s="3453"/>
      <c r="AA6" s="3458"/>
      <c r="AB6" s="3469"/>
      <c r="AC6" s="3458"/>
    </row>
    <row r="7" spans="1:29" s="1685" customFormat="1" ht="15.75" thickBot="1">
      <c r="A7" s="1673" t="s">
        <v>2267</v>
      </c>
      <c r="B7" s="1674"/>
      <c r="C7" s="1675">
        <f>'数据-取费表'!B2</f>
        <v>44195</v>
      </c>
      <c r="D7" s="1676">
        <v>100</v>
      </c>
      <c r="E7" s="1677">
        <f>C7</f>
        <v>44195</v>
      </c>
      <c r="F7" s="1678">
        <f>SUMIF(58:58,YEAR(E7)&amp;"-"&amp;MONTH(E7),59:59)</f>
        <v>100</v>
      </c>
      <c r="G7" s="1677">
        <f>E7</f>
        <v>44195</v>
      </c>
      <c r="H7" s="1676">
        <f>SUMIF(58:58,YEAR(G7)&amp;"-"&amp;MONTH(G7),59:59)</f>
        <v>100</v>
      </c>
      <c r="I7" s="1677">
        <f>G7</f>
        <v>44195</v>
      </c>
      <c r="J7" s="1676">
        <f>SUMIF(58:58,YEAR(I7)&amp;"-"&amp;MONTH(I7),59:59)</f>
        <v>100</v>
      </c>
      <c r="K7" s="1968"/>
      <c r="L7" s="2997"/>
      <c r="M7" s="2970"/>
      <c r="N7" s="2970"/>
      <c r="O7" s="2970"/>
      <c r="P7" s="3446" t="s">
        <v>2268</v>
      </c>
      <c r="Q7" s="3454"/>
      <c r="R7" s="1681" t="s">
        <v>25</v>
      </c>
      <c r="S7" s="1682">
        <f t="shared" ref="S7:S15" si="0">F7</f>
        <v>100</v>
      </c>
      <c r="T7" s="1681" t="s">
        <v>25</v>
      </c>
      <c r="U7" s="1682">
        <f t="shared" ref="U7:U15" si="1">H7</f>
        <v>100</v>
      </c>
      <c r="V7" s="1681" t="s">
        <v>25</v>
      </c>
      <c r="W7" s="1682">
        <f t="shared" ref="W7:W15" si="2">J7</f>
        <v>100</v>
      </c>
      <c r="X7" s="1683"/>
      <c r="Y7" s="3446" t="s">
        <v>2268</v>
      </c>
      <c r="Z7" s="3447"/>
      <c r="AA7" s="1684">
        <f>D7/F7</f>
        <v>1</v>
      </c>
      <c r="AB7" s="1684">
        <f>D7/H7</f>
        <v>1</v>
      </c>
      <c r="AC7" s="1684">
        <f>D7/J7</f>
        <v>1</v>
      </c>
    </row>
    <row r="8" spans="1:29" s="1685" customFormat="1" ht="15.75" thickBot="1">
      <c r="A8" s="1673" t="s">
        <v>2269</v>
      </c>
      <c r="B8" s="1674"/>
      <c r="C8" s="1686" t="s">
        <v>2270</v>
      </c>
      <c r="D8" s="1676">
        <v>100</v>
      </c>
      <c r="E8" s="1686" t="s">
        <v>2892</v>
      </c>
      <c r="F8" s="1678">
        <f>SUMIF(61:61,E8,62:62)-SUMIF(61:61,C8,62:62)+100</f>
        <v>100</v>
      </c>
      <c r="G8" s="1686" t="s">
        <v>2892</v>
      </c>
      <c r="H8" s="1676">
        <f>SUMIF(61:61,G8,62:62)-SUMIF(61:61,C8,62:62)+100</f>
        <v>100</v>
      </c>
      <c r="I8" s="1686" t="s">
        <v>2892</v>
      </c>
      <c r="J8" s="1676">
        <f>SUMIF(61:61,I8,62:62)-SUMIF(61:61,C8,62:62)+100</f>
        <v>100</v>
      </c>
      <c r="K8" s="1968"/>
      <c r="L8" s="2997"/>
      <c r="M8" s="2970"/>
      <c r="N8" s="2970"/>
      <c r="O8" s="2970"/>
      <c r="P8" s="3446" t="s">
        <v>2271</v>
      </c>
      <c r="Q8" s="3447"/>
      <c r="R8" s="1681" t="s">
        <v>25</v>
      </c>
      <c r="S8" s="1682">
        <f t="shared" si="0"/>
        <v>100</v>
      </c>
      <c r="T8" s="1681" t="s">
        <v>25</v>
      </c>
      <c r="U8" s="1682">
        <f t="shared" si="1"/>
        <v>100</v>
      </c>
      <c r="V8" s="1681" t="s">
        <v>25</v>
      </c>
      <c r="W8" s="1682">
        <f t="shared" si="2"/>
        <v>100</v>
      </c>
      <c r="X8" s="1683"/>
      <c r="Y8" s="3446" t="s">
        <v>2271</v>
      </c>
      <c r="Z8" s="3447"/>
      <c r="AA8" s="1684">
        <f t="shared" ref="AA8:AA46" si="3">D8/F8</f>
        <v>1</v>
      </c>
      <c r="AB8" s="1684">
        <f t="shared" ref="AB8:AB46" si="4">D8/H8</f>
        <v>1</v>
      </c>
      <c r="AC8" s="1684">
        <f t="shared" ref="AC8:AC46" si="5">D8/J8</f>
        <v>1</v>
      </c>
    </row>
    <row r="9" spans="1:29" s="1685" customFormat="1">
      <c r="A9" s="2067" t="s">
        <v>2272</v>
      </c>
      <c r="B9" s="1688" t="s">
        <v>2273</v>
      </c>
      <c r="C9" s="3152" t="s">
        <v>2941</v>
      </c>
      <c r="D9" s="1690">
        <v>100</v>
      </c>
      <c r="E9" s="1691" t="s">
        <v>2902</v>
      </c>
      <c r="F9" s="1692">
        <f>SUMIF(63:63,E9,64:64)-SUMIF(63:63,C9,64:64)+100</f>
        <v>100</v>
      </c>
      <c r="G9" s="1691" t="s">
        <v>2902</v>
      </c>
      <c r="H9" s="1690">
        <f>SUMIF(63:63,G9,64:64)-SUMIF(63:63,C9,64:64)+100</f>
        <v>100</v>
      </c>
      <c r="I9" s="1691" t="s">
        <v>2902</v>
      </c>
      <c r="J9" s="1690">
        <f>SUMIF(63:63,I9,64:64)-SUMIF(63:63,C9,64:64)+100</f>
        <v>100</v>
      </c>
      <c r="K9" s="1968"/>
      <c r="L9" s="2997"/>
      <c r="M9" s="2970"/>
      <c r="N9" s="2970"/>
      <c r="O9" s="2970"/>
      <c r="P9" s="3455" t="s">
        <v>2274</v>
      </c>
      <c r="Q9" s="2066" t="str">
        <f t="shared" ref="Q9:Q15" si="6">B9</f>
        <v>用途</v>
      </c>
      <c r="R9" s="1681" t="s">
        <v>25</v>
      </c>
      <c r="S9" s="1682">
        <f t="shared" si="0"/>
        <v>100</v>
      </c>
      <c r="T9" s="1681" t="s">
        <v>25</v>
      </c>
      <c r="U9" s="1682">
        <f t="shared" si="1"/>
        <v>100</v>
      </c>
      <c r="V9" s="1681" t="s">
        <v>25</v>
      </c>
      <c r="W9" s="1682">
        <f t="shared" si="2"/>
        <v>100</v>
      </c>
      <c r="X9" s="1683"/>
      <c r="Y9" s="3286" t="s">
        <v>2275</v>
      </c>
      <c r="Z9" s="1694" t="str">
        <f t="shared" ref="Z9:Z15" si="7">Q9</f>
        <v>用途</v>
      </c>
      <c r="AA9" s="1684">
        <f t="shared" si="3"/>
        <v>1</v>
      </c>
      <c r="AB9" s="1684">
        <f t="shared" si="4"/>
        <v>1</v>
      </c>
      <c r="AC9" s="1684">
        <f t="shared" si="5"/>
        <v>1</v>
      </c>
    </row>
    <row r="10" spans="1:29" s="1702" customFormat="1" ht="27.75" thickBot="1">
      <c r="A10" s="1695"/>
      <c r="B10" s="1696" t="s">
        <v>2276</v>
      </c>
      <c r="C10" s="1697" t="s">
        <v>2942</v>
      </c>
      <c r="D10" s="1698">
        <v>100</v>
      </c>
      <c r="E10" s="1699" t="s">
        <v>2942</v>
      </c>
      <c r="F10" s="1700">
        <f>SUMIF(65:65,E10,66:66)-SUMIF(65:65,C10,66:66)+100</f>
        <v>100</v>
      </c>
      <c r="G10" s="1697" t="s">
        <v>2942</v>
      </c>
      <c r="H10" s="1698">
        <f>SUMIF(65:65,G10,66:66)-SUMIF(65:65,C10,66:66)+100</f>
        <v>100</v>
      </c>
      <c r="I10" s="1697" t="s">
        <v>2942</v>
      </c>
      <c r="J10" s="1698">
        <f>SUMIF(65:65,I10,66:66)-SUMIF(65:65,C10,66:66)+100</f>
        <v>100</v>
      </c>
      <c r="K10" s="1993">
        <v>2</v>
      </c>
      <c r="L10" s="2999"/>
      <c r="M10" s="3000"/>
      <c r="N10" s="3000"/>
      <c r="O10" s="3000"/>
      <c r="P10" s="3455"/>
      <c r="Q10" s="2066"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hidden="1">
      <c r="A11" s="1703"/>
      <c r="B11" s="1696" t="s">
        <v>2277</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55"/>
      <c r="Q11" s="2066" t="str">
        <f t="shared" si="6"/>
        <v>容积率</v>
      </c>
      <c r="R11" s="1681" t="s">
        <v>25</v>
      </c>
      <c r="S11" s="1682">
        <f t="shared" si="0"/>
        <v>100</v>
      </c>
      <c r="T11" s="1681" t="s">
        <v>25</v>
      </c>
      <c r="U11" s="1682">
        <f t="shared" si="1"/>
        <v>100</v>
      </c>
      <c r="V11" s="1681" t="s">
        <v>25</v>
      </c>
      <c r="W11" s="1682">
        <f t="shared" si="2"/>
        <v>100</v>
      </c>
      <c r="X11" s="1683"/>
      <c r="Y11" s="3286"/>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5"/>
      <c r="Q12" s="2066">
        <f t="shared" si="6"/>
        <v>111</v>
      </c>
      <c r="R12" s="1681" t="s">
        <v>25</v>
      </c>
      <c r="S12" s="1682">
        <f t="shared" si="0"/>
        <v>100</v>
      </c>
      <c r="T12" s="1681" t="s">
        <v>25</v>
      </c>
      <c r="U12" s="1682">
        <f t="shared" si="1"/>
        <v>100</v>
      </c>
      <c r="V12" s="1681" t="s">
        <v>25</v>
      </c>
      <c r="W12" s="1682">
        <f t="shared" si="2"/>
        <v>100</v>
      </c>
      <c r="X12" s="1683"/>
      <c r="Y12" s="3286"/>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5"/>
      <c r="Q13" s="2066">
        <f t="shared" si="6"/>
        <v>111</v>
      </c>
      <c r="R13" s="1681" t="s">
        <v>25</v>
      </c>
      <c r="S13" s="1682">
        <f t="shared" si="0"/>
        <v>100</v>
      </c>
      <c r="T13" s="1681" t="s">
        <v>25</v>
      </c>
      <c r="U13" s="1682">
        <f t="shared" si="1"/>
        <v>100</v>
      </c>
      <c r="V13" s="1681" t="s">
        <v>25</v>
      </c>
      <c r="W13" s="1682">
        <f t="shared" si="2"/>
        <v>100</v>
      </c>
      <c r="X13" s="1683"/>
      <c r="Y13" s="3286"/>
      <c r="Z13" s="1694">
        <f t="shared" si="7"/>
        <v>111</v>
      </c>
      <c r="AA13" s="1684">
        <f t="shared" si="3"/>
        <v>1</v>
      </c>
      <c r="AB13" s="1684">
        <f t="shared" si="4"/>
        <v>1</v>
      </c>
      <c r="AC13" s="1684">
        <f t="shared" si="5"/>
        <v>1</v>
      </c>
    </row>
    <row r="14" spans="1:29" ht="15.75" hidden="1"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5"/>
      <c r="Q14" s="2066">
        <f t="shared" si="6"/>
        <v>111</v>
      </c>
      <c r="R14" s="1681" t="s">
        <v>25</v>
      </c>
      <c r="S14" s="1682">
        <f t="shared" si="0"/>
        <v>100</v>
      </c>
      <c r="T14" s="1681" t="s">
        <v>25</v>
      </c>
      <c r="U14" s="1682">
        <f t="shared" si="1"/>
        <v>100</v>
      </c>
      <c r="V14" s="1681" t="s">
        <v>25</v>
      </c>
      <c r="W14" s="1682">
        <f t="shared" si="2"/>
        <v>100</v>
      </c>
      <c r="X14" s="1683"/>
      <c r="Y14" s="3286"/>
      <c r="Z14" s="1694">
        <f t="shared" si="7"/>
        <v>111</v>
      </c>
      <c r="AA14" s="1684">
        <f t="shared" si="3"/>
        <v>1</v>
      </c>
      <c r="AB14" s="1684">
        <f t="shared" si="4"/>
        <v>1</v>
      </c>
      <c r="AC14" s="1684">
        <f t="shared" si="5"/>
        <v>1</v>
      </c>
    </row>
    <row r="15" spans="1:29" ht="71.25">
      <c r="A15" s="1718" t="s">
        <v>2278</v>
      </c>
      <c r="B15" s="1719" t="s">
        <v>2364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v>3</v>
      </c>
      <c r="L15" s="3002"/>
      <c r="M15" s="2998"/>
      <c r="N15" s="2998"/>
      <c r="O15" s="2998"/>
      <c r="P15" s="3433" t="s">
        <v>2279</v>
      </c>
      <c r="Q15" s="2072" t="str">
        <f t="shared" si="6"/>
        <v>商业繁华度</v>
      </c>
      <c r="R15" s="1726" t="s">
        <v>25</v>
      </c>
      <c r="S15" s="1727">
        <f t="shared" si="0"/>
        <v>100</v>
      </c>
      <c r="T15" s="1726" t="s">
        <v>25</v>
      </c>
      <c r="U15" s="1727">
        <f t="shared" si="1"/>
        <v>100</v>
      </c>
      <c r="V15" s="1726" t="s">
        <v>25</v>
      </c>
      <c r="W15" s="1727">
        <f t="shared" si="2"/>
        <v>100</v>
      </c>
      <c r="X15" s="2075"/>
      <c r="Y15" s="3435" t="s">
        <v>2279</v>
      </c>
      <c r="Z15" s="2079" t="str">
        <f t="shared" si="7"/>
        <v>商业繁华度</v>
      </c>
      <c r="AA15" s="2070">
        <f t="shared" si="3"/>
        <v>1</v>
      </c>
      <c r="AB15" s="2070">
        <f t="shared" si="4"/>
        <v>1</v>
      </c>
      <c r="AC15" s="2070">
        <f t="shared" si="5"/>
        <v>1</v>
      </c>
    </row>
    <row r="16" spans="1:29" ht="15">
      <c r="A16" s="1703"/>
      <c r="B16" s="1730"/>
      <c r="C16" s="1731" t="s">
        <v>30</v>
      </c>
      <c r="D16" s="1732"/>
      <c r="E16" s="1731" t="s">
        <v>30</v>
      </c>
      <c r="F16" s="1734"/>
      <c r="G16" s="1731" t="s">
        <v>30</v>
      </c>
      <c r="H16" s="1736"/>
      <c r="I16" s="1731" t="s">
        <v>30</v>
      </c>
      <c r="J16" s="1732"/>
      <c r="K16" s="2476"/>
      <c r="L16" s="3002"/>
      <c r="M16" s="2998"/>
      <c r="N16" s="2998"/>
      <c r="O16" s="2998"/>
      <c r="P16" s="3434"/>
      <c r="Q16" s="2072"/>
      <c r="R16" s="1726"/>
      <c r="S16" s="1727"/>
      <c r="T16" s="1726"/>
      <c r="U16" s="1727"/>
      <c r="V16" s="1726"/>
      <c r="W16" s="1727"/>
      <c r="X16" s="2075"/>
      <c r="Y16" s="3436"/>
      <c r="Z16" s="2079"/>
      <c r="AA16" s="2070">
        <v>1</v>
      </c>
      <c r="AB16" s="2070">
        <v>1</v>
      </c>
      <c r="AC16" s="2070">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v>3</v>
      </c>
      <c r="L17" s="3002"/>
      <c r="M17" s="2998"/>
      <c r="N17" s="2998"/>
      <c r="O17" s="2998"/>
      <c r="P17" s="3434"/>
      <c r="Q17" s="2072" t="str">
        <f>B17</f>
        <v>交通便捷度</v>
      </c>
      <c r="R17" s="1726" t="s">
        <v>25</v>
      </c>
      <c r="S17" s="1727">
        <f>F17</f>
        <v>100</v>
      </c>
      <c r="T17" s="1726" t="s">
        <v>25</v>
      </c>
      <c r="U17" s="1727">
        <f>H17</f>
        <v>100</v>
      </c>
      <c r="V17" s="1726" t="s">
        <v>25</v>
      </c>
      <c r="W17" s="1727">
        <f>J17</f>
        <v>100</v>
      </c>
      <c r="X17" s="2075"/>
      <c r="Y17" s="3436"/>
      <c r="Z17" s="2079" t="str">
        <f>Q17</f>
        <v>交通便捷度</v>
      </c>
      <c r="AA17" s="2070">
        <f t="shared" si="3"/>
        <v>1</v>
      </c>
      <c r="AB17" s="2070">
        <f t="shared" si="4"/>
        <v>1</v>
      </c>
      <c r="AC17" s="2070">
        <f t="shared" si="5"/>
        <v>1</v>
      </c>
    </row>
    <row r="18" spans="1:29" ht="15">
      <c r="A18" s="1703"/>
      <c r="B18" s="1744"/>
      <c r="C18" s="1745" t="s">
        <v>29</v>
      </c>
      <c r="D18" s="1736"/>
      <c r="E18" s="1745" t="s">
        <v>29</v>
      </c>
      <c r="F18" s="1741"/>
      <c r="G18" s="1745" t="s">
        <v>29</v>
      </c>
      <c r="H18" s="1732"/>
      <c r="I18" s="1745" t="s">
        <v>29</v>
      </c>
      <c r="J18" s="1732"/>
      <c r="K18" s="2476"/>
      <c r="L18" s="3002"/>
      <c r="M18" s="2998"/>
      <c r="N18" s="2998"/>
      <c r="O18" s="2998"/>
      <c r="P18" s="3434"/>
      <c r="Q18" s="2072"/>
      <c r="R18" s="1726"/>
      <c r="S18" s="1727"/>
      <c r="T18" s="1726"/>
      <c r="U18" s="1727"/>
      <c r="V18" s="1726"/>
      <c r="W18" s="1727"/>
      <c r="X18" s="2075"/>
      <c r="Y18" s="3436"/>
      <c r="Z18" s="2079"/>
      <c r="AA18" s="2070">
        <v>1</v>
      </c>
      <c r="AB18" s="2070">
        <v>1</v>
      </c>
      <c r="AC18" s="2070">
        <v>1</v>
      </c>
    </row>
    <row r="19" spans="1:29" ht="42.75">
      <c r="A19" s="1703"/>
      <c r="B19" s="1738" t="s">
        <v>2365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v>3</v>
      </c>
      <c r="L19" s="3002"/>
      <c r="M19" s="2998"/>
      <c r="N19" s="2998"/>
      <c r="O19" s="2998"/>
      <c r="P19" s="3434"/>
      <c r="Q19" s="2072" t="str">
        <f>B19</f>
        <v>公共配套设施</v>
      </c>
      <c r="R19" s="1726" t="s">
        <v>25</v>
      </c>
      <c r="S19" s="1727">
        <f>F19</f>
        <v>100</v>
      </c>
      <c r="T19" s="1726" t="s">
        <v>25</v>
      </c>
      <c r="U19" s="1727">
        <f>H19</f>
        <v>100</v>
      </c>
      <c r="V19" s="1726" t="s">
        <v>25</v>
      </c>
      <c r="W19" s="1727">
        <f>J19</f>
        <v>100</v>
      </c>
      <c r="X19" s="2075"/>
      <c r="Y19" s="3436"/>
      <c r="Z19" s="2079" t="str">
        <f>Q19</f>
        <v>公共配套设施</v>
      </c>
      <c r="AA19" s="2070">
        <f t="shared" si="3"/>
        <v>1</v>
      </c>
      <c r="AB19" s="2070">
        <f t="shared" si="4"/>
        <v>1</v>
      </c>
      <c r="AC19" s="2070">
        <f t="shared" si="5"/>
        <v>1</v>
      </c>
    </row>
    <row r="20" spans="1:29" ht="15">
      <c r="A20" s="1703"/>
      <c r="B20" s="1744"/>
      <c r="C20" s="1745" t="s">
        <v>29</v>
      </c>
      <c r="D20" s="1732"/>
      <c r="E20" s="1745" t="s">
        <v>29</v>
      </c>
      <c r="F20" s="1734"/>
      <c r="G20" s="1745" t="s">
        <v>29</v>
      </c>
      <c r="H20" s="1732"/>
      <c r="I20" s="1745" t="s">
        <v>29</v>
      </c>
      <c r="J20" s="1732"/>
      <c r="K20" s="2476"/>
      <c r="L20" s="3002"/>
      <c r="M20" s="2998"/>
      <c r="N20" s="2998"/>
      <c r="O20" s="2998"/>
      <c r="P20" s="3434"/>
      <c r="Q20" s="2072"/>
      <c r="R20" s="1726"/>
      <c r="S20" s="1727"/>
      <c r="T20" s="1726"/>
      <c r="U20" s="1727"/>
      <c r="V20" s="1726"/>
      <c r="W20" s="1727"/>
      <c r="X20" s="2075"/>
      <c r="Y20" s="3436"/>
      <c r="Z20" s="2079"/>
      <c r="AA20" s="2070">
        <v>1</v>
      </c>
      <c r="AB20" s="2070">
        <v>1</v>
      </c>
      <c r="AC20" s="2070">
        <v>1</v>
      </c>
    </row>
    <row r="21" spans="1:29" ht="28.5">
      <c r="A21" s="1703"/>
      <c r="B21" s="1751" t="s">
        <v>2366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v>2</v>
      </c>
      <c r="L21" s="3002"/>
      <c r="M21" s="2998"/>
      <c r="N21" s="2998"/>
      <c r="O21" s="2998"/>
      <c r="P21" s="3434"/>
      <c r="Q21" s="2072" t="str">
        <f>B21</f>
        <v>基础设施水平</v>
      </c>
      <c r="R21" s="1726" t="s">
        <v>25</v>
      </c>
      <c r="S21" s="1727">
        <f>F21</f>
        <v>100</v>
      </c>
      <c r="T21" s="1726" t="s">
        <v>25</v>
      </c>
      <c r="U21" s="1727">
        <f>H21</f>
        <v>100</v>
      </c>
      <c r="V21" s="1726" t="s">
        <v>25</v>
      </c>
      <c r="W21" s="1727">
        <f>J21</f>
        <v>100</v>
      </c>
      <c r="X21" s="2075"/>
      <c r="Y21" s="3436"/>
      <c r="Z21" s="2079" t="str">
        <f>Q21</f>
        <v>基础设施水平</v>
      </c>
      <c r="AA21" s="2070">
        <f t="shared" ref="AA21" si="8">D21/F21</f>
        <v>1</v>
      </c>
      <c r="AB21" s="2070">
        <f t="shared" ref="AB21" si="9">D21/H21</f>
        <v>1</v>
      </c>
      <c r="AC21" s="2070">
        <f t="shared" ref="AC21" si="10">D21/J21</f>
        <v>1</v>
      </c>
    </row>
    <row r="22" spans="1:29" ht="15">
      <c r="A22" s="1703"/>
      <c r="B22" s="1751"/>
      <c r="C22" s="1745" t="s">
        <v>2944</v>
      </c>
      <c r="D22" s="1732"/>
      <c r="E22" s="1745" t="s">
        <v>2944</v>
      </c>
      <c r="F22" s="1734"/>
      <c r="G22" s="1745" t="s">
        <v>2944</v>
      </c>
      <c r="H22" s="1732"/>
      <c r="I22" s="1745" t="s">
        <v>2944</v>
      </c>
      <c r="J22" s="1732"/>
      <c r="K22" s="2477"/>
      <c r="L22" s="3002"/>
      <c r="M22" s="2998"/>
      <c r="N22" s="2998"/>
      <c r="O22" s="2998"/>
      <c r="P22" s="3434"/>
      <c r="Q22" s="2072"/>
      <c r="R22" s="1726"/>
      <c r="S22" s="1727"/>
      <c r="T22" s="1726"/>
      <c r="U22" s="1727"/>
      <c r="V22" s="1726"/>
      <c r="W22" s="1727"/>
      <c r="X22" s="2075"/>
      <c r="Y22" s="3436"/>
      <c r="Z22" s="2079"/>
      <c r="AA22" s="2070">
        <v>1</v>
      </c>
      <c r="AB22" s="2070">
        <v>1</v>
      </c>
      <c r="AC22" s="2070">
        <v>1</v>
      </c>
    </row>
    <row r="23" spans="1:29" ht="57">
      <c r="A23" s="1703"/>
      <c r="B23" s="1738" t="s">
        <v>1716</v>
      </c>
      <c r="C23" s="2478"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5">
        <v>2</v>
      </c>
      <c r="L23" s="3002"/>
      <c r="M23" s="2998"/>
      <c r="N23" s="2998"/>
      <c r="O23" s="2998"/>
      <c r="P23" s="3434"/>
      <c r="Q23" s="2072" t="str">
        <f>B23</f>
        <v>自然及人文环境</v>
      </c>
      <c r="R23" s="1726" t="s">
        <v>25</v>
      </c>
      <c r="S23" s="1727">
        <f>F23</f>
        <v>100</v>
      </c>
      <c r="T23" s="1726" t="s">
        <v>25</v>
      </c>
      <c r="U23" s="1727">
        <f>H23</f>
        <v>100</v>
      </c>
      <c r="V23" s="1726" t="s">
        <v>25</v>
      </c>
      <c r="W23" s="1727">
        <f>J23</f>
        <v>100</v>
      </c>
      <c r="X23" s="2075"/>
      <c r="Y23" s="3436"/>
      <c r="Z23" s="2079" t="str">
        <f>Q23</f>
        <v>自然及人文环境</v>
      </c>
      <c r="AA23" s="2070">
        <f t="shared" si="3"/>
        <v>1</v>
      </c>
      <c r="AB23" s="2070">
        <f t="shared" si="4"/>
        <v>1</v>
      </c>
      <c r="AC23" s="2070">
        <f t="shared" si="5"/>
        <v>1</v>
      </c>
    </row>
    <row r="24" spans="1:29" ht="15">
      <c r="A24" s="1703"/>
      <c r="B24" s="1744"/>
      <c r="C24" s="1731" t="s">
        <v>30</v>
      </c>
      <c r="D24" s="1732"/>
      <c r="E24" s="1731" t="s">
        <v>30</v>
      </c>
      <c r="F24" s="1734"/>
      <c r="G24" s="1731" t="s">
        <v>30</v>
      </c>
      <c r="H24" s="1732"/>
      <c r="I24" s="1731" t="s">
        <v>30</v>
      </c>
      <c r="J24" s="1732"/>
      <c r="K24" s="2476"/>
      <c r="L24" s="3002"/>
      <c r="M24" s="2998"/>
      <c r="N24" s="2998"/>
      <c r="O24" s="2998"/>
      <c r="P24" s="3434"/>
      <c r="Q24" s="2072"/>
      <c r="R24" s="1726"/>
      <c r="S24" s="1727"/>
      <c r="T24" s="1726"/>
      <c r="U24" s="1727"/>
      <c r="V24" s="1726"/>
      <c r="W24" s="1727"/>
      <c r="X24" s="2075"/>
      <c r="Y24" s="3436"/>
      <c r="Z24" s="2079"/>
      <c r="AA24" s="2070">
        <v>1</v>
      </c>
      <c r="AB24" s="2070">
        <v>1</v>
      </c>
      <c r="AC24" s="2070">
        <v>1</v>
      </c>
    </row>
    <row r="25" spans="1:29" ht="15">
      <c r="A25" s="1703"/>
      <c r="B25" s="3160" t="s">
        <v>2367</v>
      </c>
      <c r="C25" s="1992" t="s">
        <v>2945</v>
      </c>
      <c r="D25" s="1712">
        <v>100</v>
      </c>
      <c r="E25" s="1992" t="s">
        <v>2946</v>
      </c>
      <c r="F25" s="1755">
        <f>SUMIF(86:86,E25,87:87)-SUMIF(86:86,C25,87:87)+100</f>
        <v>102</v>
      </c>
      <c r="G25" s="1992" t="s">
        <v>2947</v>
      </c>
      <c r="H25" s="1712">
        <f>SUMIF(86:86,G25,87:87)-SUMIF(86:86,C25,87:87)+100</f>
        <v>104</v>
      </c>
      <c r="I25" s="1992" t="s">
        <v>2946</v>
      </c>
      <c r="J25" s="1712">
        <f>SUMIF(86:86,I25,87:87)-SUMIF(86:86,C25,87:87)+100</f>
        <v>102</v>
      </c>
      <c r="K25" s="1993">
        <v>2</v>
      </c>
      <c r="L25" s="3002"/>
      <c r="M25" s="2998"/>
      <c r="N25" s="2998"/>
      <c r="O25" s="2998"/>
      <c r="P25" s="3434"/>
      <c r="Q25" s="2072" t="str">
        <f t="shared" ref="Q25:Q46" si="11">B25</f>
        <v>临街状况</v>
      </c>
      <c r="R25" s="1726" t="s">
        <v>25</v>
      </c>
      <c r="S25" s="1727">
        <f>F25</f>
        <v>102</v>
      </c>
      <c r="T25" s="1726" t="s">
        <v>25</v>
      </c>
      <c r="U25" s="1727">
        <f>H25</f>
        <v>104</v>
      </c>
      <c r="V25" s="1726" t="s">
        <v>25</v>
      </c>
      <c r="W25" s="1727">
        <f>J25</f>
        <v>102</v>
      </c>
      <c r="X25" s="2075"/>
      <c r="Y25" s="3436"/>
      <c r="Z25" s="2079" t="str">
        <f>Q25</f>
        <v>临街状况</v>
      </c>
      <c r="AA25" s="2070">
        <f t="shared" si="3"/>
        <v>0.98039215686274506</v>
      </c>
      <c r="AB25" s="2070">
        <f t="shared" si="4"/>
        <v>0.96153846153846156</v>
      </c>
      <c r="AC25" s="2070">
        <f t="shared" si="5"/>
        <v>0.98039215686274506</v>
      </c>
    </row>
    <row r="26" spans="1:29" ht="15">
      <c r="A26" s="1703"/>
      <c r="B26" s="1761" t="s">
        <v>2368</v>
      </c>
      <c r="C26" s="3153" t="s">
        <v>2948</v>
      </c>
      <c r="D26" s="1712">
        <v>100</v>
      </c>
      <c r="E26" s="3153" t="s">
        <v>2949</v>
      </c>
      <c r="F26" s="1755">
        <f>SUMIF(88:88,E26,89:89)-SUMIF(88:88,C26,89:89)+100</f>
        <v>104</v>
      </c>
      <c r="G26" s="3153" t="s">
        <v>2949</v>
      </c>
      <c r="H26" s="1712">
        <f>SUMIF(88:88,G26,89:89)-SUMIF(88:88,C26,89:89)+100</f>
        <v>104</v>
      </c>
      <c r="I26" s="3153" t="s">
        <v>2949</v>
      </c>
      <c r="J26" s="1712">
        <f>SUMIF(88:88,I26,89:89)-SUMIF(88:88,C26,89:89)+100</f>
        <v>104</v>
      </c>
      <c r="K26" s="1990"/>
      <c r="L26" s="3002"/>
      <c r="M26" s="2998"/>
      <c r="N26" s="2998"/>
      <c r="O26" s="2998"/>
      <c r="P26" s="3434"/>
      <c r="Q26" s="2072" t="str">
        <f t="shared" si="11"/>
        <v>平面位置/可视性</v>
      </c>
      <c r="R26" s="1726" t="s">
        <v>25</v>
      </c>
      <c r="S26" s="1727">
        <f>F26</f>
        <v>104</v>
      </c>
      <c r="T26" s="1726" t="s">
        <v>25</v>
      </c>
      <c r="U26" s="1727">
        <f>H26</f>
        <v>104</v>
      </c>
      <c r="V26" s="1726" t="s">
        <v>25</v>
      </c>
      <c r="W26" s="1727">
        <f>J26</f>
        <v>104</v>
      </c>
      <c r="X26" s="2075"/>
      <c r="Y26" s="3436"/>
      <c r="Z26" s="2079" t="str">
        <f>Q26</f>
        <v>平面位置/可视性</v>
      </c>
      <c r="AA26" s="2070">
        <f t="shared" si="3"/>
        <v>0.96153846153846156</v>
      </c>
      <c r="AB26" s="2070">
        <f t="shared" si="4"/>
        <v>0.96153846153846156</v>
      </c>
      <c r="AC26" s="2070">
        <f t="shared" si="5"/>
        <v>0.96153846153846156</v>
      </c>
    </row>
    <row r="27" spans="1:29" s="1685" customFormat="1" ht="15">
      <c r="A27" s="1706"/>
      <c r="B27" s="1738" t="s">
        <v>2369</v>
      </c>
      <c r="C27" s="2479" t="s">
        <v>31</v>
      </c>
      <c r="D27" s="1757">
        <v>100</v>
      </c>
      <c r="E27" s="2479" t="s">
        <v>2950</v>
      </c>
      <c r="F27" s="1759">
        <f>SUMIF(90:90,E27,91:91)-SUMIF(90:90,C27,91:91)+100</f>
        <v>102</v>
      </c>
      <c r="G27" s="2479" t="s">
        <v>2950</v>
      </c>
      <c r="H27" s="1757">
        <f>SUMIF(90:90,G27,91:91)-SUMIF(90:90,C27,91:91)+100</f>
        <v>102</v>
      </c>
      <c r="I27" s="2479" t="s">
        <v>2950</v>
      </c>
      <c r="J27" s="1757">
        <f>SUMIF(90:90,I27,91:91)-SUMIF(90:90,C27,91:91)+100</f>
        <v>102</v>
      </c>
      <c r="K27" s="1993">
        <v>2</v>
      </c>
      <c r="L27" s="2997"/>
      <c r="M27" s="2970"/>
      <c r="N27" s="2970"/>
      <c r="O27" s="2970"/>
      <c r="P27" s="3434"/>
      <c r="Q27" s="2066" t="str">
        <f t="shared" si="11"/>
        <v>人流量</v>
      </c>
      <c r="R27" s="1681" t="s">
        <v>25</v>
      </c>
      <c r="S27" s="1682">
        <f>F27</f>
        <v>102</v>
      </c>
      <c r="T27" s="1681" t="s">
        <v>25</v>
      </c>
      <c r="U27" s="1682">
        <f>H27</f>
        <v>102</v>
      </c>
      <c r="V27" s="1681" t="s">
        <v>25</v>
      </c>
      <c r="W27" s="1682">
        <f>J27</f>
        <v>102</v>
      </c>
      <c r="X27" s="1683"/>
      <c r="Y27" s="3436"/>
      <c r="Z27" s="1694" t="str">
        <f>Q27</f>
        <v>人流量</v>
      </c>
      <c r="AA27" s="2070">
        <f>D27/F27</f>
        <v>0.98039215686274506</v>
      </c>
      <c r="AB27" s="2070">
        <f>D27/H27</f>
        <v>0.98039215686274506</v>
      </c>
      <c r="AC27" s="2070">
        <f>D27/J27</f>
        <v>0.98039215686274506</v>
      </c>
    </row>
    <row r="28" spans="1:29" ht="15.75" thickBot="1">
      <c r="A28" s="1703"/>
      <c r="B28" s="1696" t="s">
        <v>2370</v>
      </c>
      <c r="C28" s="1992" t="s">
        <v>2951</v>
      </c>
      <c r="D28" s="1712">
        <v>100</v>
      </c>
      <c r="E28" s="1992" t="s">
        <v>2951</v>
      </c>
      <c r="F28" s="1755">
        <f>SUMIF(92:92,E28,93:93)-SUMIF(92:92,C28,93:93)+100</f>
        <v>100</v>
      </c>
      <c r="G28" s="1992" t="s">
        <v>2951</v>
      </c>
      <c r="H28" s="1712">
        <f>SUMIF(92:92,G28,93:93)-SUMIF(92:92,C28,93:93)+100</f>
        <v>100</v>
      </c>
      <c r="I28" s="1992" t="s">
        <v>2951</v>
      </c>
      <c r="J28" s="1712">
        <f>SUMIF(92:92,I28,93:93)-SUMIF(92:92,C28,93:93)+100</f>
        <v>100</v>
      </c>
      <c r="K28" s="1990"/>
      <c r="L28" s="3002"/>
      <c r="M28" s="2998"/>
      <c r="N28" s="2998"/>
      <c r="O28" s="2998"/>
      <c r="P28" s="3434"/>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6"/>
      <c r="Z28" s="2079" t="str">
        <f t="shared" ref="Z28:Z46" si="15">Q28</f>
        <v>楼层</v>
      </c>
      <c r="AA28" s="2070">
        <f t="shared" si="3"/>
        <v>1</v>
      </c>
      <c r="AB28" s="2070">
        <f t="shared" si="4"/>
        <v>1</v>
      </c>
      <c r="AC28" s="2070">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4"/>
      <c r="Q29" s="2072">
        <f t="shared" si="11"/>
        <v>111</v>
      </c>
      <c r="R29" s="1726" t="s">
        <v>25</v>
      </c>
      <c r="S29" s="1727">
        <f t="shared" si="12"/>
        <v>100</v>
      </c>
      <c r="T29" s="1726" t="s">
        <v>25</v>
      </c>
      <c r="U29" s="1727">
        <f t="shared" si="13"/>
        <v>100</v>
      </c>
      <c r="V29" s="1726" t="s">
        <v>25</v>
      </c>
      <c r="W29" s="1727">
        <f t="shared" si="14"/>
        <v>100</v>
      </c>
      <c r="X29" s="2075"/>
      <c r="Y29" s="3436"/>
      <c r="Z29" s="2079">
        <f t="shared" si="15"/>
        <v>111</v>
      </c>
      <c r="AA29" s="2070">
        <f t="shared" si="3"/>
        <v>1</v>
      </c>
      <c r="AB29" s="2070">
        <f t="shared" si="4"/>
        <v>1</v>
      </c>
      <c r="AC29" s="2070">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4"/>
      <c r="Q30" s="2072">
        <f t="shared" si="11"/>
        <v>111</v>
      </c>
      <c r="R30" s="1726" t="s">
        <v>25</v>
      </c>
      <c r="S30" s="1727">
        <f t="shared" si="12"/>
        <v>100</v>
      </c>
      <c r="T30" s="1726" t="s">
        <v>25</v>
      </c>
      <c r="U30" s="1727">
        <f t="shared" si="13"/>
        <v>100</v>
      </c>
      <c r="V30" s="1726" t="s">
        <v>25</v>
      </c>
      <c r="W30" s="1727">
        <f t="shared" si="14"/>
        <v>100</v>
      </c>
      <c r="X30" s="2075"/>
      <c r="Y30" s="3436"/>
      <c r="Z30" s="2079">
        <f t="shared" si="15"/>
        <v>111</v>
      </c>
      <c r="AA30" s="2070">
        <f t="shared" si="3"/>
        <v>1</v>
      </c>
      <c r="AB30" s="2070">
        <f t="shared" si="4"/>
        <v>1</v>
      </c>
      <c r="AC30" s="2070">
        <f t="shared" si="5"/>
        <v>1</v>
      </c>
    </row>
    <row r="31" spans="1:29" ht="15.75" hidden="1"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4"/>
      <c r="Q31" s="2072">
        <f t="shared" si="11"/>
        <v>111</v>
      </c>
      <c r="R31" s="1726" t="s">
        <v>25</v>
      </c>
      <c r="S31" s="1727">
        <f t="shared" si="12"/>
        <v>100</v>
      </c>
      <c r="T31" s="1726" t="s">
        <v>25</v>
      </c>
      <c r="U31" s="1727">
        <f t="shared" si="13"/>
        <v>100</v>
      </c>
      <c r="V31" s="1726" t="s">
        <v>25</v>
      </c>
      <c r="W31" s="1727">
        <f t="shared" si="14"/>
        <v>100</v>
      </c>
      <c r="X31" s="2075"/>
      <c r="Y31" s="3436"/>
      <c r="Z31" s="2079">
        <f t="shared" si="15"/>
        <v>111</v>
      </c>
      <c r="AA31" s="2070">
        <f t="shared" si="3"/>
        <v>1</v>
      </c>
      <c r="AB31" s="2070">
        <f t="shared" si="4"/>
        <v>1</v>
      </c>
      <c r="AC31" s="2070">
        <f t="shared" si="5"/>
        <v>1</v>
      </c>
    </row>
    <row r="32" spans="1:29" ht="15">
      <c r="A32" s="1718" t="s">
        <v>2283</v>
      </c>
      <c r="B32" s="1688" t="s">
        <v>2371</v>
      </c>
      <c r="C32" s="1762" t="s">
        <v>2952</v>
      </c>
      <c r="D32" s="1763">
        <v>100</v>
      </c>
      <c r="E32" s="1762" t="s">
        <v>2952</v>
      </c>
      <c r="F32" s="1755">
        <f>SUMIF(100:100,E32,101:101)-SUMIF(100:100,C32,101:101)+100</f>
        <v>100</v>
      </c>
      <c r="G32" s="1762" t="s">
        <v>2952</v>
      </c>
      <c r="H32" s="1712">
        <f>SUMIF(100:100,G32,101:101)-SUMIF(100:100,C32,101:101)+100</f>
        <v>100</v>
      </c>
      <c r="I32" s="1762" t="s">
        <v>2952</v>
      </c>
      <c r="J32" s="1763">
        <f>SUMIF(100:100,I32,101:101)-SUMIF(100:100,C32,101:101)+100</f>
        <v>100</v>
      </c>
      <c r="K32" s="1993">
        <v>2</v>
      </c>
      <c r="L32" s="3002"/>
      <c r="M32" s="2998"/>
      <c r="N32" s="2998"/>
      <c r="O32" s="2998"/>
      <c r="P32" s="3437" t="s">
        <v>2285</v>
      </c>
      <c r="Q32" s="2072" t="str">
        <f t="shared" si="11"/>
        <v>商业类型</v>
      </c>
      <c r="R32" s="1726" t="s">
        <v>25</v>
      </c>
      <c r="S32" s="1727">
        <f t="shared" si="12"/>
        <v>100</v>
      </c>
      <c r="T32" s="1726" t="s">
        <v>25</v>
      </c>
      <c r="U32" s="1727">
        <f t="shared" si="13"/>
        <v>100</v>
      </c>
      <c r="V32" s="1726" t="s">
        <v>25</v>
      </c>
      <c r="W32" s="1727">
        <f t="shared" si="14"/>
        <v>100</v>
      </c>
      <c r="X32" s="2075"/>
      <c r="Y32" s="3440" t="s">
        <v>2285</v>
      </c>
      <c r="Z32" s="2079" t="str">
        <f t="shared" si="15"/>
        <v>商业类型</v>
      </c>
      <c r="AA32" s="2070">
        <f t="shared" si="3"/>
        <v>1</v>
      </c>
      <c r="AB32" s="2070">
        <f t="shared" si="4"/>
        <v>1</v>
      </c>
      <c r="AC32" s="2070">
        <f t="shared" si="5"/>
        <v>1</v>
      </c>
    </row>
    <row r="33" spans="1:29" s="1772" customFormat="1" ht="15">
      <c r="A33" s="1765"/>
      <c r="B33" s="1696" t="s">
        <v>2286</v>
      </c>
      <c r="C33" s="1766">
        <f>'数据-取费表'!B5</f>
        <v>191.89</v>
      </c>
      <c r="D33" s="1698">
        <v>100</v>
      </c>
      <c r="E33" s="1705">
        <v>50</v>
      </c>
      <c r="F33" s="1700">
        <f>LOOKUP(E33,103:103,104:104)-LOOKUP(C33,103:103,104:104)+100</f>
        <v>102</v>
      </c>
      <c r="G33" s="1704">
        <v>818</v>
      </c>
      <c r="H33" s="1698">
        <f>LOOKUP(G33,103:103,104:104)-LOOKUP(C33,103:103,104:104)+100</f>
        <v>96</v>
      </c>
      <c r="I33" s="1704">
        <v>96.21</v>
      </c>
      <c r="J33" s="1698">
        <f>LOOKUP(I33,103:103,104:104)-LOOKUP(C33,103:103,104:104)+100</f>
        <v>102</v>
      </c>
      <c r="K33" s="1990"/>
      <c r="L33" s="3001"/>
      <c r="M33" s="2060"/>
      <c r="N33" s="2060"/>
      <c r="O33" s="2060"/>
      <c r="P33" s="3438"/>
      <c r="Q33" s="1767" t="str">
        <f t="shared" si="11"/>
        <v>项目建筑规模</v>
      </c>
      <c r="R33" s="1768" t="s">
        <v>25</v>
      </c>
      <c r="S33" s="1769">
        <f t="shared" si="12"/>
        <v>102</v>
      </c>
      <c r="T33" s="1768" t="s">
        <v>25</v>
      </c>
      <c r="U33" s="1769">
        <f t="shared" si="13"/>
        <v>96</v>
      </c>
      <c r="V33" s="1768" t="s">
        <v>25</v>
      </c>
      <c r="W33" s="1769">
        <f t="shared" si="14"/>
        <v>102</v>
      </c>
      <c r="X33" s="1770"/>
      <c r="Y33" s="3440"/>
      <c r="Z33" s="1771" t="str">
        <f t="shared" si="15"/>
        <v>项目建筑规模</v>
      </c>
      <c r="AA33" s="2070">
        <f t="shared" si="3"/>
        <v>0.98039215686274506</v>
      </c>
      <c r="AB33" s="2070">
        <f t="shared" si="4"/>
        <v>1.0416666666666667</v>
      </c>
      <c r="AC33" s="2070">
        <f t="shared" si="5"/>
        <v>0.98039215686274506</v>
      </c>
    </row>
    <row r="34" spans="1:29" ht="15">
      <c r="A34" s="1773"/>
      <c r="B34" s="1696" t="s">
        <v>2287</v>
      </c>
      <c r="C34" s="1774" t="s">
        <v>2937</v>
      </c>
      <c r="D34" s="1712">
        <v>100</v>
      </c>
      <c r="E34" s="1774" t="s">
        <v>2937</v>
      </c>
      <c r="F34" s="1755">
        <f>SUMIF(105:105,E34,106:106)-SUMIF(105:105,C34,106:106)+100</f>
        <v>100</v>
      </c>
      <c r="G34" s="1774" t="s">
        <v>2937</v>
      </c>
      <c r="H34" s="1712">
        <f>SUMIF(105:105,G34,106:106)-SUMIF(105:105,C34,106:106)+100</f>
        <v>100</v>
      </c>
      <c r="I34" s="1774" t="s">
        <v>2937</v>
      </c>
      <c r="J34" s="1712">
        <f>SUMIF(105:105,I34,106:106)-SUMIF(105:105,C34,106:106)+100</f>
        <v>100</v>
      </c>
      <c r="K34" s="1993">
        <v>1</v>
      </c>
      <c r="L34" s="3002"/>
      <c r="M34" s="2998"/>
      <c r="N34" s="2998"/>
      <c r="O34" s="2998"/>
      <c r="P34" s="3438"/>
      <c r="Q34" s="2072" t="str">
        <f t="shared" si="11"/>
        <v>建筑结构</v>
      </c>
      <c r="R34" s="1726" t="s">
        <v>25</v>
      </c>
      <c r="S34" s="1727">
        <f t="shared" si="12"/>
        <v>100</v>
      </c>
      <c r="T34" s="1726" t="s">
        <v>25</v>
      </c>
      <c r="U34" s="1727">
        <f t="shared" si="13"/>
        <v>100</v>
      </c>
      <c r="V34" s="1726" t="s">
        <v>25</v>
      </c>
      <c r="W34" s="1727">
        <f t="shared" si="14"/>
        <v>100</v>
      </c>
      <c r="X34" s="2075"/>
      <c r="Y34" s="3440"/>
      <c r="Z34" s="2079" t="str">
        <f t="shared" si="15"/>
        <v>建筑结构</v>
      </c>
      <c r="AA34" s="2070">
        <f t="shared" si="3"/>
        <v>1</v>
      </c>
      <c r="AB34" s="2070">
        <f t="shared" si="4"/>
        <v>1</v>
      </c>
      <c r="AC34" s="2070">
        <f t="shared" si="5"/>
        <v>1</v>
      </c>
    </row>
    <row r="35" spans="1:29" ht="15">
      <c r="A35" s="1773"/>
      <c r="B35" s="1696" t="s">
        <v>2372</v>
      </c>
      <c r="C35" s="1756" t="s">
        <v>2955</v>
      </c>
      <c r="D35" s="1712">
        <v>100</v>
      </c>
      <c r="E35" s="1756" t="s">
        <v>2955</v>
      </c>
      <c r="F35" s="1755">
        <f>SUMIF(107:107,E35,108:108)-SUMIF(107:107,C35,108:108)+100</f>
        <v>100</v>
      </c>
      <c r="G35" s="1756" t="s">
        <v>2955</v>
      </c>
      <c r="H35" s="1712">
        <f>SUMIF(107:107,G35,108:108)-SUMIF(107:107,C35,108:108)+100</f>
        <v>100</v>
      </c>
      <c r="I35" s="1756" t="s">
        <v>2955</v>
      </c>
      <c r="J35" s="1712">
        <f>SUMIF(107:107,I35,108:108)-SUMIF(107:107,C35,108:108)+100</f>
        <v>100</v>
      </c>
      <c r="K35" s="1993">
        <v>1</v>
      </c>
      <c r="L35" s="3002"/>
      <c r="M35" s="2998"/>
      <c r="N35" s="2998"/>
      <c r="O35" s="2998"/>
      <c r="P35" s="3438"/>
      <c r="Q35" s="2072" t="str">
        <f t="shared" si="11"/>
        <v>公共部分装修</v>
      </c>
      <c r="R35" s="1726" t="s">
        <v>25</v>
      </c>
      <c r="S35" s="1727">
        <f t="shared" si="12"/>
        <v>100</v>
      </c>
      <c r="T35" s="1726" t="s">
        <v>25</v>
      </c>
      <c r="U35" s="1727">
        <f t="shared" si="13"/>
        <v>100</v>
      </c>
      <c r="V35" s="1726" t="s">
        <v>25</v>
      </c>
      <c r="W35" s="1727">
        <f t="shared" si="14"/>
        <v>100</v>
      </c>
      <c r="X35" s="2075"/>
      <c r="Y35" s="3440"/>
      <c r="Z35" s="2079" t="str">
        <f t="shared" si="15"/>
        <v>公共部分装修</v>
      </c>
      <c r="AA35" s="2070">
        <f t="shared" si="3"/>
        <v>1</v>
      </c>
      <c r="AB35" s="2070">
        <f t="shared" si="4"/>
        <v>1</v>
      </c>
      <c r="AC35" s="2070">
        <f t="shared" si="5"/>
        <v>1</v>
      </c>
    </row>
    <row r="36" spans="1:29" ht="15">
      <c r="A36" s="1773"/>
      <c r="B36" s="1696" t="s">
        <v>2373</v>
      </c>
      <c r="C36" s="1777">
        <f>'数据-取费表'!E20</f>
        <v>0.87</v>
      </c>
      <c r="D36" s="1712">
        <v>100</v>
      </c>
      <c r="E36" s="1777">
        <v>0.85</v>
      </c>
      <c r="F36" s="1755">
        <f>LOOKUP(E36,110:110,111:111)-LOOKUP(C36,110:110,111:111)+100</f>
        <v>100</v>
      </c>
      <c r="G36" s="1777">
        <v>0.88</v>
      </c>
      <c r="H36" s="1755">
        <f>LOOKUP(G36,110:110,111:111)-LOOKUP(C36,110:110,111:111)+100</f>
        <v>100</v>
      </c>
      <c r="I36" s="1777">
        <v>0.87</v>
      </c>
      <c r="J36" s="1712">
        <f>LOOKUP(I36,110:110,111:111)-LOOKUP(C36,110:110,111:111)+100</f>
        <v>100</v>
      </c>
      <c r="K36" s="1993">
        <v>1</v>
      </c>
      <c r="L36" s="3002"/>
      <c r="M36" s="2998"/>
      <c r="N36" s="2998"/>
      <c r="O36" s="2998"/>
      <c r="P36" s="3438"/>
      <c r="Q36" s="2072" t="str">
        <f t="shared" si="11"/>
        <v>成新度</v>
      </c>
      <c r="R36" s="1726" t="s">
        <v>25</v>
      </c>
      <c r="S36" s="1727">
        <f t="shared" si="12"/>
        <v>100</v>
      </c>
      <c r="T36" s="1726" t="s">
        <v>25</v>
      </c>
      <c r="U36" s="1727">
        <f t="shared" si="13"/>
        <v>100</v>
      </c>
      <c r="V36" s="1726" t="s">
        <v>25</v>
      </c>
      <c r="W36" s="1727">
        <f t="shared" si="14"/>
        <v>100</v>
      </c>
      <c r="X36" s="2075"/>
      <c r="Y36" s="3440"/>
      <c r="Z36" s="2079" t="str">
        <f t="shared" si="15"/>
        <v>成新度</v>
      </c>
      <c r="AA36" s="2070">
        <f t="shared" si="3"/>
        <v>1</v>
      </c>
      <c r="AB36" s="2070">
        <f t="shared" si="4"/>
        <v>1</v>
      </c>
      <c r="AC36" s="2070">
        <f t="shared" si="5"/>
        <v>1</v>
      </c>
    </row>
    <row r="37" spans="1:29" s="1685" customFormat="1" ht="15">
      <c r="A37" s="1776"/>
      <c r="B37" s="1696" t="s">
        <v>2374</v>
      </c>
      <c r="C37" s="1756" t="s">
        <v>2956</v>
      </c>
      <c r="D37" s="1698">
        <v>100</v>
      </c>
      <c r="E37" s="1756" t="s">
        <v>2956</v>
      </c>
      <c r="F37" s="1755">
        <f>SUMIF(112:112,E37,113:113)-SUMIF(112:112,C37,113:113)+100</f>
        <v>100</v>
      </c>
      <c r="G37" s="1756" t="s">
        <v>2956</v>
      </c>
      <c r="H37" s="1712">
        <f>SUMIF(112:112,G37,113:113)-SUMIF(112:112,C37,113:113)+100</f>
        <v>100</v>
      </c>
      <c r="I37" s="1756" t="s">
        <v>2956</v>
      </c>
      <c r="J37" s="1712">
        <f>SUMIF(112:112,I37,113:113)-SUMIF(112:112,C37,113:113)+100</f>
        <v>100</v>
      </c>
      <c r="K37" s="1993">
        <v>1</v>
      </c>
      <c r="L37" s="2997"/>
      <c r="M37" s="2970"/>
      <c r="N37" s="2970"/>
      <c r="O37" s="2970"/>
      <c r="P37" s="3438"/>
      <c r="Q37" s="2066" t="str">
        <f t="shared" si="11"/>
        <v>市政基础设施</v>
      </c>
      <c r="R37" s="1681" t="s">
        <v>25</v>
      </c>
      <c r="S37" s="1682">
        <f t="shared" si="12"/>
        <v>100</v>
      </c>
      <c r="T37" s="1681" t="s">
        <v>25</v>
      </c>
      <c r="U37" s="1682">
        <f t="shared" si="13"/>
        <v>100</v>
      </c>
      <c r="V37" s="1681" t="s">
        <v>25</v>
      </c>
      <c r="W37" s="1682">
        <f t="shared" si="14"/>
        <v>100</v>
      </c>
      <c r="X37" s="1683"/>
      <c r="Y37" s="3440"/>
      <c r="Z37" s="1694" t="str">
        <f t="shared" si="15"/>
        <v>市政基础设施</v>
      </c>
      <c r="AA37" s="1684">
        <f t="shared" si="3"/>
        <v>1</v>
      </c>
      <c r="AB37" s="1684">
        <f t="shared" si="4"/>
        <v>1</v>
      </c>
      <c r="AC37" s="1684">
        <f t="shared" si="5"/>
        <v>1</v>
      </c>
    </row>
    <row r="38" spans="1:29" ht="15">
      <c r="A38" s="1773"/>
      <c r="B38" s="1696" t="s">
        <v>2375</v>
      </c>
      <c r="C38" s="1756" t="s">
        <v>2957</v>
      </c>
      <c r="D38" s="1712">
        <v>100</v>
      </c>
      <c r="E38" s="1756" t="s">
        <v>2957</v>
      </c>
      <c r="F38" s="1755">
        <f>SUMIF(114:114,E38,115:115)-SUMIF(114:114,C38,115:115)+100</f>
        <v>100</v>
      </c>
      <c r="G38" s="1756" t="s">
        <v>2957</v>
      </c>
      <c r="H38" s="1712">
        <f>SUMIF(114:114,G38,115:115)-SUMIF(114:114,C38,115:115)+100</f>
        <v>100</v>
      </c>
      <c r="I38" s="1756" t="s">
        <v>2957</v>
      </c>
      <c r="J38" s="1712">
        <f>SUMIF(114:114,I38,115:115)-SUMIF(114:114,C38,115:115)+100</f>
        <v>100</v>
      </c>
      <c r="K38" s="1993">
        <v>2</v>
      </c>
      <c r="L38" s="3002"/>
      <c r="M38" s="2998"/>
      <c r="N38" s="2998"/>
      <c r="O38" s="2998"/>
      <c r="P38" s="3438" t="s">
        <v>2285</v>
      </c>
      <c r="Q38" s="2072" t="str">
        <f t="shared" si="11"/>
        <v>业态</v>
      </c>
      <c r="R38" s="1726" t="s">
        <v>25</v>
      </c>
      <c r="S38" s="1727">
        <f t="shared" si="12"/>
        <v>100</v>
      </c>
      <c r="T38" s="1726" t="s">
        <v>25</v>
      </c>
      <c r="U38" s="1727">
        <f t="shared" si="13"/>
        <v>100</v>
      </c>
      <c r="V38" s="1726" t="s">
        <v>25</v>
      </c>
      <c r="W38" s="1727">
        <f t="shared" si="14"/>
        <v>100</v>
      </c>
      <c r="X38" s="2075"/>
      <c r="Y38" s="3440" t="s">
        <v>2285</v>
      </c>
      <c r="Z38" s="2079" t="str">
        <f t="shared" si="15"/>
        <v>业态</v>
      </c>
      <c r="AA38" s="2070">
        <f t="shared" si="3"/>
        <v>1</v>
      </c>
      <c r="AB38" s="2070">
        <f t="shared" si="4"/>
        <v>1</v>
      </c>
      <c r="AC38" s="2070">
        <f t="shared" si="5"/>
        <v>1</v>
      </c>
    </row>
    <row r="39" spans="1:29" ht="15">
      <c r="A39" s="1773"/>
      <c r="B39" s="1696" t="s">
        <v>2376</v>
      </c>
      <c r="C39" s="1756" t="s">
        <v>2958</v>
      </c>
      <c r="D39" s="1712">
        <v>100</v>
      </c>
      <c r="E39" s="1756" t="s">
        <v>2963</v>
      </c>
      <c r="F39" s="1755">
        <f>SUMIF(116:116,E39,117:117)-SUMIF(116:116,C39,117:117)+100</f>
        <v>103</v>
      </c>
      <c r="G39" s="1756" t="s">
        <v>2963</v>
      </c>
      <c r="H39" s="1712">
        <f>SUMIF(116:116,G39,117:117)-SUMIF(116:116,C39,117:117)+100</f>
        <v>103</v>
      </c>
      <c r="I39" s="1756" t="s">
        <v>2963</v>
      </c>
      <c r="J39" s="1712">
        <f>SUMIF(116:116,I39,117:117)-SUMIF(116:116,C39,117:117)+100</f>
        <v>103</v>
      </c>
      <c r="K39" s="1993">
        <v>3</v>
      </c>
      <c r="L39" s="3002"/>
      <c r="M39" s="2998"/>
      <c r="N39" s="2998"/>
      <c r="O39" s="2998"/>
      <c r="P39" s="3438"/>
      <c r="Q39" s="2072" t="str">
        <f t="shared" si="11"/>
        <v>层高</v>
      </c>
      <c r="R39" s="1726" t="s">
        <v>25</v>
      </c>
      <c r="S39" s="1727">
        <f t="shared" si="12"/>
        <v>103</v>
      </c>
      <c r="T39" s="1726" t="s">
        <v>25</v>
      </c>
      <c r="U39" s="1727">
        <f t="shared" si="13"/>
        <v>103</v>
      </c>
      <c r="V39" s="1726" t="s">
        <v>25</v>
      </c>
      <c r="W39" s="1727">
        <f t="shared" si="14"/>
        <v>103</v>
      </c>
      <c r="X39" s="2075"/>
      <c r="Y39" s="3440"/>
      <c r="Z39" s="2079" t="str">
        <f t="shared" si="15"/>
        <v>层高</v>
      </c>
      <c r="AA39" s="2070">
        <f t="shared" si="3"/>
        <v>0.970873786407767</v>
      </c>
      <c r="AB39" s="2070">
        <f t="shared" si="4"/>
        <v>0.970873786407767</v>
      </c>
      <c r="AC39" s="2070">
        <f t="shared" si="5"/>
        <v>0.970873786407767</v>
      </c>
    </row>
    <row r="40" spans="1:29" ht="15">
      <c r="A40" s="1773"/>
      <c r="B40" s="1696" t="s">
        <v>2377</v>
      </c>
      <c r="C40" s="2480"/>
      <c r="D40" s="1712">
        <v>100</v>
      </c>
      <c r="E40" s="2480"/>
      <c r="F40" s="1755">
        <f>SUMIF(118:118,E40,119:119)-SUMIF(118:118,C40,119:119)+100</f>
        <v>100</v>
      </c>
      <c r="G40" s="2480"/>
      <c r="H40" s="1712">
        <f>SUMIF(118:118,G40,119:119)-SUMIF(118:118,C40,119:119)+100</f>
        <v>100</v>
      </c>
      <c r="I40" s="2480"/>
      <c r="J40" s="1712">
        <f>SUMIF(118:118,I40,119:119)-SUMIF(118:118,C40,119:119)+100</f>
        <v>100</v>
      </c>
      <c r="K40" s="1990"/>
      <c r="L40" s="3002"/>
      <c r="M40" s="2998"/>
      <c r="N40" s="2998"/>
      <c r="O40" s="2998"/>
      <c r="P40" s="3438"/>
      <c r="Q40" s="2072" t="str">
        <f t="shared" si="11"/>
        <v>单套建筑面积</v>
      </c>
      <c r="R40" s="1726" t="s">
        <v>25</v>
      </c>
      <c r="S40" s="1727">
        <f t="shared" si="12"/>
        <v>100</v>
      </c>
      <c r="T40" s="1726" t="s">
        <v>25</v>
      </c>
      <c r="U40" s="1727">
        <f t="shared" si="13"/>
        <v>100</v>
      </c>
      <c r="V40" s="1726" t="s">
        <v>25</v>
      </c>
      <c r="W40" s="1727">
        <f t="shared" si="14"/>
        <v>100</v>
      </c>
      <c r="X40" s="2075"/>
      <c r="Y40" s="3440"/>
      <c r="Z40" s="2079" t="str">
        <f t="shared" si="15"/>
        <v>单套建筑面积</v>
      </c>
      <c r="AA40" s="2070">
        <f t="shared" si="3"/>
        <v>1</v>
      </c>
      <c r="AB40" s="2070">
        <f t="shared" si="4"/>
        <v>1</v>
      </c>
      <c r="AC40" s="2070">
        <f t="shared" si="5"/>
        <v>1</v>
      </c>
    </row>
    <row r="41" spans="1:29" s="1772" customFormat="1" ht="15">
      <c r="A41" s="1765"/>
      <c r="B41" s="2071" t="s">
        <v>2378</v>
      </c>
      <c r="C41" s="1992" t="s">
        <v>2964</v>
      </c>
      <c r="D41" s="1712">
        <v>100</v>
      </c>
      <c r="E41" s="1992" t="s">
        <v>2964</v>
      </c>
      <c r="F41" s="1755">
        <f>SUMIF(120:120,E41,121:121)-SUMIF(120:120,C41,121:121)+100</f>
        <v>100</v>
      </c>
      <c r="G41" s="1992" t="s">
        <v>2964</v>
      </c>
      <c r="H41" s="1712">
        <f>SUMIF(120:120,G41,121:121)-SUMIF(120:120,C41,121:121)+100</f>
        <v>100</v>
      </c>
      <c r="I41" s="1992" t="s">
        <v>2964</v>
      </c>
      <c r="J41" s="1712">
        <f>SUMIF(120:120,I41,121:121)-SUMIF(120:120,C41,121:121)+100</f>
        <v>100</v>
      </c>
      <c r="K41" s="1993">
        <v>1</v>
      </c>
      <c r="L41" s="3001"/>
      <c r="M41" s="2060"/>
      <c r="N41" s="2060"/>
      <c r="O41" s="2060"/>
      <c r="P41" s="3438"/>
      <c r="Q41" s="1767" t="str">
        <f t="shared" si="11"/>
        <v>进深比</v>
      </c>
      <c r="R41" s="1768" t="s">
        <v>25</v>
      </c>
      <c r="S41" s="1769">
        <f t="shared" si="12"/>
        <v>100</v>
      </c>
      <c r="T41" s="1768" t="s">
        <v>25</v>
      </c>
      <c r="U41" s="1769">
        <f t="shared" si="13"/>
        <v>100</v>
      </c>
      <c r="V41" s="1768" t="s">
        <v>25</v>
      </c>
      <c r="W41" s="1769">
        <f t="shared" si="14"/>
        <v>100</v>
      </c>
      <c r="X41" s="1770"/>
      <c r="Y41" s="3440"/>
      <c r="Z41" s="1771" t="str">
        <f t="shared" si="15"/>
        <v>进深比</v>
      </c>
      <c r="AA41" s="2070">
        <f t="shared" si="3"/>
        <v>1</v>
      </c>
      <c r="AB41" s="2070">
        <f t="shared" si="4"/>
        <v>1</v>
      </c>
      <c r="AC41" s="2070">
        <f t="shared" si="5"/>
        <v>1</v>
      </c>
    </row>
    <row r="42" spans="1:29" ht="15">
      <c r="A42" s="1773"/>
      <c r="B42" s="1696" t="s">
        <v>2379</v>
      </c>
      <c r="C42" s="1756" t="s">
        <v>2959</v>
      </c>
      <c r="D42" s="1712">
        <v>100</v>
      </c>
      <c r="E42" s="1756" t="s">
        <v>2959</v>
      </c>
      <c r="F42" s="1755">
        <f>SUMIF(122:122,E42,123:123)-SUMIF(122:122,C42,123:123)+100</f>
        <v>100</v>
      </c>
      <c r="G42" s="1756" t="s">
        <v>2959</v>
      </c>
      <c r="H42" s="1712">
        <f>SUMIF(122:122,G42,123:123)-SUMIF(122:122,C42,123:123)+100</f>
        <v>100</v>
      </c>
      <c r="I42" s="1756" t="s">
        <v>2959</v>
      </c>
      <c r="J42" s="1712">
        <f>SUMIF(122:122,I42,123:123)-SUMIF(122:122,C42,123:123)+100</f>
        <v>100</v>
      </c>
      <c r="K42" s="1993">
        <v>1</v>
      </c>
      <c r="L42" s="3002"/>
      <c r="M42" s="2998"/>
      <c r="N42" s="2998"/>
      <c r="O42" s="2998"/>
      <c r="P42" s="3438"/>
      <c r="Q42" s="2072" t="str">
        <f t="shared" si="11"/>
        <v>内部装修</v>
      </c>
      <c r="R42" s="1726" t="s">
        <v>25</v>
      </c>
      <c r="S42" s="1727">
        <f t="shared" si="12"/>
        <v>100</v>
      </c>
      <c r="T42" s="1726" t="s">
        <v>25</v>
      </c>
      <c r="U42" s="1727">
        <f t="shared" si="13"/>
        <v>100</v>
      </c>
      <c r="V42" s="1726" t="s">
        <v>25</v>
      </c>
      <c r="W42" s="1727">
        <f t="shared" si="14"/>
        <v>100</v>
      </c>
      <c r="X42" s="2075"/>
      <c r="Y42" s="3440"/>
      <c r="Z42" s="2079" t="str">
        <f t="shared" si="15"/>
        <v>内部装修</v>
      </c>
      <c r="AA42" s="2070">
        <f t="shared" si="3"/>
        <v>1</v>
      </c>
      <c r="AB42" s="2070">
        <f t="shared" si="4"/>
        <v>1</v>
      </c>
      <c r="AC42" s="2070">
        <f t="shared" si="5"/>
        <v>1</v>
      </c>
    </row>
    <row r="43" spans="1:29" ht="15">
      <c r="A43" s="1773"/>
      <c r="B43" s="1696" t="s">
        <v>2296</v>
      </c>
      <c r="C43" s="1756" t="s">
        <v>30</v>
      </c>
      <c r="D43" s="1712">
        <v>100</v>
      </c>
      <c r="E43" s="1756" t="s">
        <v>30</v>
      </c>
      <c r="F43" s="1755">
        <f>SUMIF(124:124,E43,125:125)-SUMIF(124:124,C43,125:125)+100</f>
        <v>100</v>
      </c>
      <c r="G43" s="1756" t="s">
        <v>30</v>
      </c>
      <c r="H43" s="1712">
        <f>SUMIF(124:124,G43,125:125)-SUMIF(124:124,C43,125:125)+100</f>
        <v>100</v>
      </c>
      <c r="I43" s="1756" t="s">
        <v>30</v>
      </c>
      <c r="J43" s="1712">
        <f>SUMIF(124:124,I43,125:125)-SUMIF(124:124,C43,125:125)+100</f>
        <v>100</v>
      </c>
      <c r="K43" s="1993">
        <v>1</v>
      </c>
      <c r="L43" s="3002"/>
      <c r="M43" s="2998"/>
      <c r="N43" s="2998"/>
      <c r="O43" s="2998"/>
      <c r="P43" s="3438"/>
      <c r="Q43" s="2072" t="str">
        <f t="shared" si="11"/>
        <v>内部装修维护情况</v>
      </c>
      <c r="R43" s="1726" t="s">
        <v>25</v>
      </c>
      <c r="S43" s="1727">
        <f t="shared" si="12"/>
        <v>100</v>
      </c>
      <c r="T43" s="1726" t="s">
        <v>25</v>
      </c>
      <c r="U43" s="1727">
        <f t="shared" si="13"/>
        <v>100</v>
      </c>
      <c r="V43" s="1726" t="s">
        <v>25</v>
      </c>
      <c r="W43" s="1727">
        <f t="shared" si="14"/>
        <v>100</v>
      </c>
      <c r="X43" s="2075"/>
      <c r="Y43" s="3440"/>
      <c r="Z43" s="2079" t="str">
        <f t="shared" si="15"/>
        <v>内部装修维护情况</v>
      </c>
      <c r="AA43" s="2070">
        <f t="shared" si="3"/>
        <v>1</v>
      </c>
      <c r="AB43" s="2070">
        <f t="shared" si="4"/>
        <v>1</v>
      </c>
      <c r="AC43" s="2070">
        <f t="shared" si="5"/>
        <v>1</v>
      </c>
    </row>
    <row r="44" spans="1:29" s="1685" customFormat="1" ht="15.75" thickBot="1">
      <c r="A44" s="1776"/>
      <c r="B44" s="1761">
        <v>111</v>
      </c>
      <c r="C44" s="1766" t="s">
        <v>2966</v>
      </c>
      <c r="D44" s="1698">
        <v>100</v>
      </c>
      <c r="E44" s="1711" t="s">
        <v>2962</v>
      </c>
      <c r="F44" s="1700">
        <f>SUMIF(126:126,E44,127:127)-SUMIF(126:126,C44,127:127)+100</f>
        <v>100</v>
      </c>
      <c r="G44" s="1711" t="s">
        <v>2960</v>
      </c>
      <c r="H44" s="1698">
        <f>SUMIF(126:126,G44,127:127)-SUMIF(126:126,C44,127:127)+100</f>
        <v>100</v>
      </c>
      <c r="I44" s="1711" t="s">
        <v>2961</v>
      </c>
      <c r="J44" s="1698">
        <f>SUMIF(126:126,I44,127:127)-SUMIF(126:126,C44,127:127)+100</f>
        <v>100</v>
      </c>
      <c r="K44" s="1990"/>
      <c r="L44" s="2997"/>
      <c r="M44" s="2970"/>
      <c r="N44" s="2970"/>
      <c r="O44" s="2970"/>
      <c r="P44" s="3438"/>
      <c r="Q44" s="2066">
        <f t="shared" si="11"/>
        <v>111</v>
      </c>
      <c r="R44" s="1681" t="s">
        <v>25</v>
      </c>
      <c r="S44" s="1682">
        <f t="shared" si="12"/>
        <v>100</v>
      </c>
      <c r="T44" s="1681" t="s">
        <v>25</v>
      </c>
      <c r="U44" s="1682">
        <f t="shared" si="13"/>
        <v>100</v>
      </c>
      <c r="V44" s="1681" t="s">
        <v>25</v>
      </c>
      <c r="W44" s="1682">
        <f t="shared" si="14"/>
        <v>100</v>
      </c>
      <c r="X44" s="1683"/>
      <c r="Y44" s="3440"/>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38"/>
      <c r="Q45" s="2072">
        <f t="shared" si="11"/>
        <v>111</v>
      </c>
      <c r="R45" s="1726" t="s">
        <v>25</v>
      </c>
      <c r="S45" s="1727">
        <f t="shared" si="12"/>
        <v>100</v>
      </c>
      <c r="T45" s="1726" t="s">
        <v>25</v>
      </c>
      <c r="U45" s="1727">
        <f t="shared" si="13"/>
        <v>100</v>
      </c>
      <c r="V45" s="1726" t="s">
        <v>25</v>
      </c>
      <c r="W45" s="1727">
        <f t="shared" si="14"/>
        <v>100</v>
      </c>
      <c r="X45" s="2075"/>
      <c r="Y45" s="3440"/>
      <c r="Z45" s="2079">
        <f t="shared" si="15"/>
        <v>111</v>
      </c>
      <c r="AA45" s="2070">
        <f t="shared" si="3"/>
        <v>1</v>
      </c>
      <c r="AB45" s="2070">
        <f t="shared" si="4"/>
        <v>1</v>
      </c>
      <c r="AC45" s="2070">
        <f t="shared" si="5"/>
        <v>1</v>
      </c>
    </row>
    <row r="46" spans="1:29" ht="15.75" hidden="1"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39"/>
      <c r="Q46" s="2072">
        <f t="shared" si="11"/>
        <v>111</v>
      </c>
      <c r="R46" s="1726" t="s">
        <v>25</v>
      </c>
      <c r="S46" s="1727">
        <f t="shared" si="12"/>
        <v>100</v>
      </c>
      <c r="T46" s="1726" t="s">
        <v>25</v>
      </c>
      <c r="U46" s="1727">
        <f t="shared" si="13"/>
        <v>100</v>
      </c>
      <c r="V46" s="1726" t="s">
        <v>25</v>
      </c>
      <c r="W46" s="1727">
        <f t="shared" si="14"/>
        <v>100</v>
      </c>
      <c r="X46" s="2075"/>
      <c r="Y46" s="3441"/>
      <c r="Z46" s="2079">
        <f t="shared" si="15"/>
        <v>111</v>
      </c>
      <c r="AA46" s="2070">
        <f t="shared" si="3"/>
        <v>1</v>
      </c>
      <c r="AB46" s="2070">
        <f t="shared" si="4"/>
        <v>1</v>
      </c>
      <c r="AC46" s="2070">
        <f t="shared" si="5"/>
        <v>1</v>
      </c>
    </row>
    <row r="47" spans="1:29" ht="15">
      <c r="A47" s="1782" t="s">
        <v>2297</v>
      </c>
      <c r="B47" s="1783"/>
      <c r="C47" s="1784" t="s">
        <v>1</v>
      </c>
      <c r="D47" s="1785"/>
      <c r="E47" s="3159">
        <v>60000</v>
      </c>
      <c r="F47" s="1787"/>
      <c r="G47" s="1788">
        <v>55012</v>
      </c>
      <c r="H47" s="1789"/>
      <c r="I47" s="1786">
        <v>63819</v>
      </c>
      <c r="J47" s="1789"/>
      <c r="K47" s="2014"/>
      <c r="L47" s="3003"/>
      <c r="N47" s="2998"/>
      <c r="P47" s="3432" t="str">
        <f>A47</f>
        <v>成交单价（元/平方米）</v>
      </c>
      <c r="Q47" s="3432"/>
      <c r="R47" s="3428">
        <f>E47</f>
        <v>60000</v>
      </c>
      <c r="S47" s="3428"/>
      <c r="T47" s="3428">
        <f>G47</f>
        <v>55012</v>
      </c>
      <c r="U47" s="3428"/>
      <c r="V47" s="3428">
        <f>I47</f>
        <v>63819</v>
      </c>
      <c r="W47" s="3428"/>
      <c r="X47" s="1792"/>
      <c r="Y47" s="2074"/>
      <c r="Z47" s="1792"/>
      <c r="AA47" s="1792"/>
      <c r="AB47" s="1792"/>
      <c r="AC47" s="1792"/>
    </row>
    <row r="48" spans="1:29" ht="15.75" thickBot="1">
      <c r="A48" s="1794" t="s">
        <v>2380</v>
      </c>
      <c r="B48" s="1795"/>
      <c r="C48" s="1796">
        <f>R49</f>
        <v>53117</v>
      </c>
      <c r="D48" s="1797" t="s">
        <v>2753</v>
      </c>
      <c r="E48" s="1798">
        <f>R48</f>
        <v>52781</v>
      </c>
      <c r="F48" s="1799"/>
      <c r="G48" s="1796">
        <f>T48</f>
        <v>50429</v>
      </c>
      <c r="H48" s="1799"/>
      <c r="I48" s="1798">
        <f>V48</f>
        <v>56141</v>
      </c>
      <c r="J48" s="1799"/>
      <c r="K48" s="2512">
        <f>F48+H48+J48</f>
        <v>0</v>
      </c>
      <c r="L48" s="3003"/>
      <c r="N48" s="2998"/>
      <c r="P48" s="3432" t="str">
        <f>A48</f>
        <v>比较价值（元/平方米）</v>
      </c>
      <c r="Q48" s="3432"/>
      <c r="R48" s="3428">
        <f>IF(E1="售价",ROUND(PRODUCT(R47,AA7:AA46),0),ROUND(PRODUCT(R47,AA7:AA46),1))</f>
        <v>52781</v>
      </c>
      <c r="S48" s="3428"/>
      <c r="T48" s="3428">
        <f>IF(E1="售价",ROUND(PRODUCT(T47,AB7:AB46),0),ROUND(PRODUCT(T47,AB7:AB46),1))</f>
        <v>50429</v>
      </c>
      <c r="U48" s="3428"/>
      <c r="V48" s="3428">
        <f>IF(E1="售价",ROUND(PRODUCT(V47,AC7:AC46),0),ROUND(PRODUCT(V47,AC7:AC46),1))</f>
        <v>56141</v>
      </c>
      <c r="W48" s="3428"/>
      <c r="X48" s="1792"/>
      <c r="Y48" s="1792"/>
      <c r="Z48" s="1792"/>
      <c r="AA48" s="1792"/>
      <c r="AB48" s="1792"/>
      <c r="AC48" s="1792"/>
    </row>
    <row r="49" spans="1:29" ht="15.75" thickBot="1">
      <c r="A49" s="1800" t="s">
        <v>2381</v>
      </c>
      <c r="B49" s="1801"/>
      <c r="C49" s="1803">
        <f>R49</f>
        <v>53117</v>
      </c>
      <c r="D49" s="1803"/>
      <c r="E49" s="1803"/>
      <c r="F49" s="1803"/>
      <c r="G49" s="1803"/>
      <c r="H49" s="1803"/>
      <c r="I49" s="1803"/>
      <c r="J49" s="1803"/>
      <c r="K49" s="2019"/>
      <c r="L49" s="3003"/>
      <c r="N49" s="2998"/>
      <c r="P49" s="3429" t="str">
        <f>A49</f>
        <v>估价对象XX用房的比较价值（楼面单价，元/平方米）</v>
      </c>
      <c r="Q49" s="3430"/>
      <c r="R49" s="3431">
        <f>IF(E1="售价",ROUND(IF(D48="简单平均",AVERAGE(R48:V48),R48*F48+T48*H48+V48*J48),0),ROUND(IF(D48="简单平均",AVERAGE(R48:V48),R48*F48+T48*H48+V48*J48),1))</f>
        <v>53117</v>
      </c>
      <c r="S49" s="3431"/>
      <c r="T49" s="3431"/>
      <c r="U49" s="3431"/>
      <c r="V49" s="3431"/>
      <c r="W49" s="3431"/>
      <c r="X49" s="1792"/>
      <c r="Y49" s="1792"/>
      <c r="Z49" s="1792"/>
      <c r="AA49" s="1792"/>
      <c r="AB49" s="1792"/>
      <c r="AC49" s="1792"/>
    </row>
    <row r="50" spans="1:29">
      <c r="G50" s="3007"/>
      <c r="P50" s="2481"/>
      <c r="Q50" s="1791"/>
      <c r="R50" s="1791"/>
      <c r="S50" s="1791"/>
      <c r="T50" s="1791"/>
      <c r="U50" s="1791"/>
      <c r="V50" s="1791"/>
      <c r="W50" s="1791"/>
      <c r="X50" s="1791"/>
      <c r="Y50" s="1791"/>
      <c r="Z50" s="1791"/>
      <c r="AA50" s="1791"/>
      <c r="AB50" s="1791"/>
      <c r="AC50" s="1791"/>
    </row>
    <row r="51" spans="1:29">
      <c r="P51" s="2481"/>
      <c r="Q51" s="1791"/>
      <c r="R51" s="1791"/>
      <c r="S51" s="1791"/>
      <c r="T51" s="1791"/>
      <c r="U51" s="1791"/>
      <c r="V51" s="1791"/>
      <c r="W51" s="1791"/>
      <c r="X51" s="1791"/>
      <c r="Y51" s="1791"/>
      <c r="Z51" s="1791"/>
      <c r="AA51" s="1791"/>
      <c r="AB51" s="1791"/>
      <c r="AC51" s="1791"/>
    </row>
    <row r="52" spans="1:29" ht="13.5" customHeight="1">
      <c r="C52" s="383" t="s">
        <v>2382</v>
      </c>
      <c r="D52" s="1808"/>
      <c r="E52" s="1809">
        <f>IF(E47&lt;E48,E48/E47-1,E47/E48-1)</f>
        <v>0.13677270229817551</v>
      </c>
      <c r="F52" s="1810" t="str">
        <f>IF(OR(E52&gt;=0.3,E52&lt;=-0.3),"超过30%","")</f>
        <v/>
      </c>
      <c r="G52" s="1809">
        <f>IF(G47&lt;G48,G48/G47-1,G47/G48-1)</f>
        <v>9.0880247476650355E-2</v>
      </c>
      <c r="H52" s="1810" t="str">
        <f>IF(OR(G52&gt;=0.3,G52&lt;=-0.3),"超过30%","")</f>
        <v/>
      </c>
      <c r="I52" s="1809">
        <f>IF(I47&lt;I48,I48/I47-1,I47/I48-1)</f>
        <v>0.13676279368019806</v>
      </c>
      <c r="J52" s="1810" t="str">
        <f>IF(OR(I52&gt;=0.3,I52&lt;=-0.3),"超过30%","")</f>
        <v/>
      </c>
      <c r="P52" s="2481"/>
      <c r="Q52" s="1791"/>
      <c r="R52" s="1791"/>
      <c r="S52" s="1791"/>
      <c r="T52" s="1791"/>
      <c r="U52" s="1791"/>
      <c r="V52" s="1791"/>
      <c r="W52" s="1791"/>
      <c r="X52" s="1791"/>
      <c r="Y52" s="1791"/>
      <c r="Z52" s="1791"/>
      <c r="AA52" s="1791"/>
      <c r="AB52" s="1791"/>
      <c r="AC52" s="1791"/>
    </row>
    <row r="53" spans="1:29" ht="13.5" customHeight="1">
      <c r="C53" s="383" t="s">
        <v>2383</v>
      </c>
      <c r="D53" s="1811"/>
      <c r="E53" s="1809">
        <f>IF(E48&lt;G48,G48/E48-1,E48/G48-1)</f>
        <v>4.6639830256400172E-2</v>
      </c>
      <c r="F53" s="1810" t="str">
        <f>IF(OR(E53&gt;=0.2,E53&lt;=-0.2),"超过20%","")</f>
        <v/>
      </c>
      <c r="G53" s="1809">
        <f>IF(G48&lt;I48,I48/G48-1,G48/I48-1)</f>
        <v>0.11326815919411448</v>
      </c>
      <c r="H53" s="1810" t="str">
        <f>IF(OR(G53&gt;=0.2,G53&lt;=-0.2),"超过20%","")</f>
        <v/>
      </c>
      <c r="I53" s="1809">
        <f>IF(I48&lt;E48,E48/I48-1,I48/E48-1)</f>
        <v>6.3659271328697864E-2</v>
      </c>
      <c r="J53" s="1810" t="str">
        <f>IF(OR(I53&gt;=0.2,I53&lt;=-0.2),"超过20%","")</f>
        <v/>
      </c>
      <c r="P53" s="2481"/>
      <c r="Q53" s="1791"/>
      <c r="R53" s="1791"/>
      <c r="S53" s="1791"/>
      <c r="T53" s="1791"/>
      <c r="U53" s="1791"/>
      <c r="V53" s="1791"/>
      <c r="W53" s="1791"/>
      <c r="X53" s="1791"/>
      <c r="Y53" s="1791"/>
      <c r="Z53" s="1791"/>
      <c r="AA53" s="1791"/>
      <c r="AB53" s="1791"/>
      <c r="AC53" s="1791"/>
    </row>
    <row r="54" spans="1:29" s="1814" customFormat="1" ht="13.5" customHeight="1">
      <c r="C54" s="383" t="s">
        <v>2384</v>
      </c>
      <c r="D54" s="1811"/>
      <c r="E54" s="1809">
        <f>IF(E47&lt;G47,G47/E47-1,E47/G47-1)</f>
        <v>9.0671126299716409E-2</v>
      </c>
      <c r="F54" s="1810" t="str">
        <f>IF(OR(E54&gt;=0.3,E54&lt;=-0.3),"超过30%","")</f>
        <v/>
      </c>
      <c r="G54" s="1809">
        <f>IF(G47&lt;I47,I47/G47-1,G47/I47-1)</f>
        <v>0.16009234348869339</v>
      </c>
      <c r="H54" s="1810" t="str">
        <f>IF(OR(G54&gt;=0.3,G54&lt;=-0.3),"超过30%","")</f>
        <v/>
      </c>
      <c r="I54" s="1809">
        <f>IF(I47&lt;E47,E47/I47-1,I47/E47-1)</f>
        <v>6.3649999999999984E-2</v>
      </c>
      <c r="J54" s="1810" t="str">
        <f>IF(OR(I54&gt;=0.3,I54&lt;=-0.3),"超过30%","")</f>
        <v/>
      </c>
      <c r="K54" s="3010"/>
      <c r="L54" s="3004"/>
      <c r="P54" s="2482"/>
      <c r="Q54" s="1812"/>
      <c r="R54" s="1812"/>
      <c r="S54" s="1812"/>
      <c r="T54" s="1812"/>
      <c r="U54" s="1812"/>
      <c r="V54" s="1812"/>
      <c r="W54" s="1812"/>
      <c r="X54" s="1812"/>
      <c r="Y54" s="1812"/>
      <c r="Z54" s="1812"/>
      <c r="AA54" s="1812"/>
      <c r="AB54" s="1812"/>
      <c r="AC54" s="1812"/>
    </row>
    <row r="55" spans="1:29" s="1814" customFormat="1">
      <c r="B55" s="3008"/>
      <c r="C55" s="3009"/>
      <c r="K55" s="3010"/>
      <c r="L55" s="3004"/>
      <c r="P55" s="2482"/>
      <c r="Q55" s="1812"/>
      <c r="R55" s="1812"/>
      <c r="S55" s="1812"/>
      <c r="T55" s="1812"/>
      <c r="U55" s="1812"/>
      <c r="V55" s="1812"/>
      <c r="W55" s="1812"/>
      <c r="X55" s="1812"/>
      <c r="Y55" s="1812"/>
      <c r="Z55" s="1812"/>
      <c r="AA55" s="1812"/>
      <c r="AB55" s="1812"/>
      <c r="AC55" s="1812"/>
    </row>
    <row r="56" spans="1:29">
      <c r="B56" s="3008"/>
      <c r="C56" s="3009"/>
      <c r="P56" s="2481"/>
      <c r="Q56" s="1791"/>
      <c r="R56" s="1791"/>
      <c r="S56" s="1791"/>
      <c r="T56" s="1791"/>
      <c r="U56" s="1791"/>
      <c r="V56" s="1791"/>
      <c r="W56" s="1791"/>
      <c r="X56" s="1791"/>
      <c r="Y56" s="1791"/>
      <c r="Z56" s="1791"/>
      <c r="AA56" s="1791"/>
      <c r="AB56" s="1791"/>
      <c r="AC56" s="1791"/>
    </row>
    <row r="57" spans="1:29" ht="21.75" thickBot="1">
      <c r="A57" s="1817" t="s">
        <v>2385</v>
      </c>
      <c r="B57" s="1792"/>
      <c r="C57" s="1818"/>
      <c r="D57" s="1818"/>
      <c r="E57" s="1818"/>
      <c r="F57" s="1818"/>
      <c r="G57" s="1818"/>
      <c r="H57" s="1818"/>
      <c r="I57" s="1818"/>
      <c r="J57" s="1818"/>
      <c r="K57" s="1819"/>
      <c r="L57" s="2045"/>
      <c r="M57" s="2043"/>
      <c r="N57" s="3006"/>
      <c r="O57" s="3006"/>
      <c r="P57" s="2483"/>
      <c r="Q57" s="2484"/>
      <c r="R57" s="1791"/>
      <c r="S57" s="1791"/>
      <c r="T57" s="1791"/>
      <c r="U57" s="1791"/>
      <c r="V57" s="1791"/>
      <c r="W57" s="1791"/>
      <c r="X57" s="1791"/>
      <c r="Y57" s="1791"/>
      <c r="Z57" s="1791"/>
      <c r="AA57" s="1791"/>
      <c r="AB57" s="1791"/>
      <c r="AC57" s="1791"/>
    </row>
    <row r="58" spans="1:29" s="1828" customFormat="1" ht="15">
      <c r="A58" s="1823" t="s">
        <v>2267</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v>100</v>
      </c>
      <c r="H59" s="1832">
        <v>100</v>
      </c>
      <c r="I59" s="1832">
        <v>100</v>
      </c>
      <c r="J59" s="1832">
        <v>100</v>
      </c>
      <c r="K59" s="1832">
        <v>100</v>
      </c>
      <c r="L59" s="1832">
        <v>100</v>
      </c>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2269</v>
      </c>
      <c r="B61" s="1830"/>
      <c r="C61" s="1841" t="s">
        <v>2270</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2308</v>
      </c>
      <c r="B63" s="1848" t="s">
        <v>2273</v>
      </c>
      <c r="C63" s="1849" t="str">
        <f>C9</f>
        <v>商业</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98</v>
      </c>
      <c r="H66" s="1863">
        <f>G66-$K10</f>
        <v>96</v>
      </c>
      <c r="I66" s="1863">
        <f>H66-$K10</f>
        <v>94</v>
      </c>
      <c r="J66" s="1863"/>
      <c r="K66" s="1863"/>
      <c r="L66" s="1863"/>
      <c r="M66" s="1864"/>
      <c r="N66" s="3017"/>
      <c r="O66" s="3017"/>
      <c r="P66" s="1853"/>
      <c r="Q66" s="1822"/>
    </row>
    <row r="67" spans="1:17" ht="15.75" thickTop="1">
      <c r="A67" s="1854"/>
      <c r="B67" s="1865" t="s">
        <v>2277</v>
      </c>
      <c r="C67" s="1866" t="str">
        <f>C68&amp;"（含）"&amp;"-"&amp;D68</f>
        <v>0（含）-1</v>
      </c>
      <c r="D67" s="1866" t="str">
        <f t="shared" ref="D67:L67" si="17">D68&amp;"（含）"&amp;"-"&amp;E68</f>
        <v>1（含）-2</v>
      </c>
      <c r="E67" s="1866" t="str">
        <f t="shared" si="17"/>
        <v>2（含）-3</v>
      </c>
      <c r="F67" s="1866" t="str">
        <f t="shared" si="17"/>
        <v>3（含）-4</v>
      </c>
      <c r="G67" s="1866" t="str">
        <f t="shared" si="17"/>
        <v>4（含）-5</v>
      </c>
      <c r="H67" s="1866" t="str">
        <f t="shared" si="17"/>
        <v>5（含）-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v>1</v>
      </c>
      <c r="E68" s="1868">
        <v>2</v>
      </c>
      <c r="F68" s="1868">
        <v>3</v>
      </c>
      <c r="G68" s="1868">
        <v>4</v>
      </c>
      <c r="H68" s="1868">
        <v>5</v>
      </c>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3016"/>
      <c r="O76" s="3016"/>
      <c r="P76" s="1853"/>
      <c r="Q76" s="1822"/>
    </row>
    <row r="77" spans="1:17" ht="15.75" thickBot="1">
      <c r="A77" s="1854"/>
      <c r="B77" s="1862"/>
      <c r="C77" s="1863">
        <v>100</v>
      </c>
      <c r="D77" s="1863">
        <f>C77-$K15</f>
        <v>97</v>
      </c>
      <c r="E77" s="1863">
        <f>D77-$K15</f>
        <v>94</v>
      </c>
      <c r="F77" s="1863">
        <f>E77-$K15</f>
        <v>91</v>
      </c>
      <c r="G77" s="1863">
        <f>F77-$K15</f>
        <v>88</v>
      </c>
      <c r="H77" s="1863"/>
      <c r="I77" s="1863"/>
      <c r="J77" s="1863"/>
      <c r="K77" s="1863"/>
      <c r="L77" s="1863"/>
      <c r="M77" s="1864"/>
      <c r="N77" s="3017"/>
      <c r="O77" s="3017"/>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3016"/>
      <c r="O78" s="3016"/>
      <c r="P78" s="1853"/>
      <c r="Q78" s="1822"/>
    </row>
    <row r="79" spans="1:17" ht="15.75" thickBot="1">
      <c r="A79" s="1854"/>
      <c r="B79" s="1862"/>
      <c r="C79" s="1863">
        <v>100</v>
      </c>
      <c r="D79" s="1863">
        <f>C79-$K17</f>
        <v>97</v>
      </c>
      <c r="E79" s="1863">
        <f>D79-$K17</f>
        <v>94</v>
      </c>
      <c r="F79" s="1863">
        <f>E79-$K17</f>
        <v>91</v>
      </c>
      <c r="G79" s="1863">
        <f>F79-$K17</f>
        <v>88</v>
      </c>
      <c r="H79" s="1863"/>
      <c r="I79" s="1863"/>
      <c r="J79" s="1863"/>
      <c r="K79" s="1863"/>
      <c r="L79" s="1863"/>
      <c r="M79" s="1864"/>
      <c r="N79" s="3017"/>
      <c r="O79" s="3017"/>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3016"/>
      <c r="O80" s="3016"/>
      <c r="P80" s="1853"/>
      <c r="Q80" s="1822"/>
    </row>
    <row r="81" spans="1:17" ht="15.75" thickBot="1">
      <c r="A81" s="1854"/>
      <c r="B81" s="1862"/>
      <c r="C81" s="1863">
        <v>100</v>
      </c>
      <c r="D81" s="1863">
        <f>C81-$K19</f>
        <v>97</v>
      </c>
      <c r="E81" s="1863">
        <f>D81-$K19</f>
        <v>94</v>
      </c>
      <c r="F81" s="1863">
        <f>E81-$K19</f>
        <v>91</v>
      </c>
      <c r="G81" s="1863">
        <f>F81-$K19</f>
        <v>88</v>
      </c>
      <c r="H81" s="1863"/>
      <c r="I81" s="1863"/>
      <c r="J81" s="1863"/>
      <c r="K81" s="1863"/>
      <c r="L81" s="1863"/>
      <c r="M81" s="1864"/>
      <c r="N81" s="3017"/>
      <c r="O81" s="3017"/>
      <c r="P81" s="1853"/>
      <c r="Q81" s="1822"/>
    </row>
    <row r="82" spans="1:17" ht="15.75" thickTop="1">
      <c r="A82" s="1854"/>
      <c r="B82" s="1865" t="s">
        <v>2366</v>
      </c>
      <c r="C82" s="1860" t="s">
        <v>2324</v>
      </c>
      <c r="D82" s="1860" t="s">
        <v>2325</v>
      </c>
      <c r="E82" s="1860" t="s">
        <v>2326</v>
      </c>
      <c r="F82" s="1860" t="s">
        <v>2327</v>
      </c>
      <c r="G82" s="1860" t="s">
        <v>2328</v>
      </c>
      <c r="H82" s="1860"/>
      <c r="I82" s="1860"/>
      <c r="J82" s="1860"/>
      <c r="K82" s="1860"/>
      <c r="L82" s="1860"/>
      <c r="M82" s="1888"/>
      <c r="N82" s="3017"/>
      <c r="O82" s="3017"/>
      <c r="P82" s="1853"/>
      <c r="Q82" s="1822"/>
    </row>
    <row r="83" spans="1:17" ht="15.75" thickBot="1">
      <c r="A83" s="1854"/>
      <c r="B83" s="1865"/>
      <c r="C83" s="1863">
        <v>100</v>
      </c>
      <c r="D83" s="1863">
        <f>C83-$K21</f>
        <v>98</v>
      </c>
      <c r="E83" s="1863">
        <f>D83-$K21</f>
        <v>96</v>
      </c>
      <c r="F83" s="1863">
        <f>E83-$K21</f>
        <v>94</v>
      </c>
      <c r="G83" s="1863">
        <f>F83-$K21</f>
        <v>92</v>
      </c>
      <c r="H83" s="1889"/>
      <c r="I83" s="1889"/>
      <c r="J83" s="1889"/>
      <c r="K83" s="1889"/>
      <c r="L83" s="1889"/>
      <c r="M83" s="1736"/>
      <c r="N83" s="3017"/>
      <c r="O83" s="3017"/>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3016"/>
      <c r="O84" s="3016"/>
      <c r="P84" s="1853"/>
      <c r="Q84" s="1822"/>
    </row>
    <row r="85" spans="1:17" ht="15.75" thickBot="1">
      <c r="A85" s="1854"/>
      <c r="B85" s="1862"/>
      <c r="C85" s="1863">
        <v>100</v>
      </c>
      <c r="D85" s="1863">
        <f>C85-$K23</f>
        <v>98</v>
      </c>
      <c r="E85" s="1863">
        <f>D85-$K23</f>
        <v>96</v>
      </c>
      <c r="F85" s="1863">
        <f>E85-$K23</f>
        <v>94</v>
      </c>
      <c r="G85" s="1863">
        <f>F85-$K23</f>
        <v>92</v>
      </c>
      <c r="H85" s="1863"/>
      <c r="I85" s="1863"/>
      <c r="J85" s="1863"/>
      <c r="K85" s="1863"/>
      <c r="L85" s="1863"/>
      <c r="M85" s="1864"/>
      <c r="N85" s="3017"/>
      <c r="O85" s="3017"/>
      <c r="P85" s="1853"/>
      <c r="Q85" s="1822"/>
    </row>
    <row r="86" spans="1:17" s="1685" customFormat="1" ht="15.75" thickTop="1">
      <c r="A86" s="1890"/>
      <c r="B86" s="1859" t="s">
        <v>2386</v>
      </c>
      <c r="C86" s="3151" t="s">
        <v>2911</v>
      </c>
      <c r="D86" s="3151" t="s">
        <v>2912</v>
      </c>
      <c r="E86" s="3151" t="s">
        <v>2913</v>
      </c>
      <c r="F86" s="3151" t="s">
        <v>2914</v>
      </c>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98</v>
      </c>
      <c r="E87" s="1863">
        <f t="shared" si="19"/>
        <v>96</v>
      </c>
      <c r="F87" s="1863">
        <f t="shared" si="19"/>
        <v>94</v>
      </c>
      <c r="G87" s="1863">
        <f t="shared" si="19"/>
        <v>92</v>
      </c>
      <c r="H87" s="1863">
        <f t="shared" si="19"/>
        <v>90</v>
      </c>
      <c r="I87" s="1863">
        <f t="shared" si="19"/>
        <v>88</v>
      </c>
      <c r="J87" s="1863">
        <f t="shared" si="19"/>
        <v>86</v>
      </c>
      <c r="K87" s="1863">
        <f t="shared" si="19"/>
        <v>84</v>
      </c>
      <c r="L87" s="1863">
        <f t="shared" si="19"/>
        <v>82</v>
      </c>
      <c r="M87" s="1863">
        <f t="shared" si="19"/>
        <v>80</v>
      </c>
      <c r="N87" s="3017"/>
      <c r="O87" s="3017"/>
      <c r="P87" s="1853"/>
      <c r="Q87" s="1822"/>
    </row>
    <row r="88" spans="1:17" s="1685" customFormat="1" ht="15.75" thickTop="1">
      <c r="A88" s="1890"/>
      <c r="B88" s="1859" t="str">
        <f>B26</f>
        <v>平面位置/可视性</v>
      </c>
      <c r="C88" s="3156" t="s">
        <v>2915</v>
      </c>
      <c r="D88" s="3156" t="s">
        <v>2916</v>
      </c>
      <c r="E88" s="3156" t="s">
        <v>2917</v>
      </c>
      <c r="F88" s="3156" t="s">
        <v>2918</v>
      </c>
      <c r="G88" s="3156" t="s">
        <v>2919</v>
      </c>
      <c r="H88" s="468"/>
      <c r="I88" s="468"/>
      <c r="J88" s="468"/>
      <c r="K88" s="468"/>
      <c r="L88" s="468"/>
      <c r="M88" s="1891"/>
      <c r="N88" s="3015"/>
      <c r="O88" s="3015"/>
      <c r="P88" s="1853"/>
      <c r="Q88" s="1822"/>
    </row>
    <row r="89" spans="1:17" s="1685" customFormat="1" ht="15.75" thickBot="1">
      <c r="A89" s="1890"/>
      <c r="B89" s="1862"/>
      <c r="C89" s="1875">
        <v>100</v>
      </c>
      <c r="D89" s="1856">
        <v>98</v>
      </c>
      <c r="E89" s="1875">
        <v>96</v>
      </c>
      <c r="F89" s="1856">
        <v>94</v>
      </c>
      <c r="G89" s="1875">
        <v>92</v>
      </c>
      <c r="H89" s="1856"/>
      <c r="I89" s="1856"/>
      <c r="J89" s="1856"/>
      <c r="K89" s="1856"/>
      <c r="L89" s="1856"/>
      <c r="M89" s="1856"/>
      <c r="N89" s="3017"/>
      <c r="O89" s="3017"/>
      <c r="P89" s="1853"/>
      <c r="Q89" s="1822"/>
    </row>
    <row r="90" spans="1:17" s="1772" customFormat="1" ht="15.75" thickTop="1">
      <c r="A90" s="1870"/>
      <c r="B90" s="1859" t="str">
        <f>B27</f>
        <v>人流量</v>
      </c>
      <c r="C90" s="3157" t="s">
        <v>2920</v>
      </c>
      <c r="D90" s="3157" t="s">
        <v>2921</v>
      </c>
      <c r="E90" s="3156" t="s">
        <v>2917</v>
      </c>
      <c r="F90" s="3156" t="s">
        <v>2918</v>
      </c>
      <c r="G90" s="3156" t="s">
        <v>2919</v>
      </c>
      <c r="H90" s="443"/>
      <c r="I90" s="443"/>
      <c r="J90" s="443"/>
      <c r="K90" s="443"/>
      <c r="L90" s="443"/>
      <c r="M90" s="1871"/>
      <c r="N90" s="3018"/>
      <c r="O90" s="3018"/>
      <c r="P90" s="1873"/>
      <c r="Q90" s="1874"/>
    </row>
    <row r="91" spans="1:17" s="1772" customFormat="1" ht="15.75" thickBot="1">
      <c r="A91" s="1870"/>
      <c r="B91" s="1862"/>
      <c r="C91" s="1892">
        <v>100</v>
      </c>
      <c r="D91" s="1863">
        <f>C91-$K27</f>
        <v>98</v>
      </c>
      <c r="E91" s="1863">
        <f t="shared" ref="E91:M91" si="20">D91-$K27</f>
        <v>96</v>
      </c>
      <c r="F91" s="1863">
        <f t="shared" si="20"/>
        <v>94</v>
      </c>
      <c r="G91" s="1863">
        <f t="shared" si="20"/>
        <v>92</v>
      </c>
      <c r="H91" s="1863">
        <f t="shared" si="20"/>
        <v>90</v>
      </c>
      <c r="I91" s="1863">
        <f t="shared" si="20"/>
        <v>88</v>
      </c>
      <c r="J91" s="1863">
        <f t="shared" si="20"/>
        <v>86</v>
      </c>
      <c r="K91" s="1863">
        <f t="shared" si="20"/>
        <v>84</v>
      </c>
      <c r="L91" s="1863">
        <f t="shared" si="20"/>
        <v>82</v>
      </c>
      <c r="M91" s="1863">
        <f t="shared" si="20"/>
        <v>80</v>
      </c>
      <c r="N91" s="3018"/>
      <c r="O91" s="3018"/>
      <c r="P91" s="1873"/>
      <c r="Q91" s="1874"/>
    </row>
    <row r="92" spans="1:17" ht="15.75" thickTop="1">
      <c r="A92" s="1854"/>
      <c r="B92" s="1859" t="str">
        <f>B28</f>
        <v>楼层</v>
      </c>
      <c r="C92" s="468" t="s">
        <v>2922</v>
      </c>
      <c r="D92" s="468"/>
      <c r="E92" s="468"/>
      <c r="F92" s="468"/>
      <c r="G92" s="468"/>
      <c r="H92" s="468"/>
      <c r="I92" s="468"/>
      <c r="J92" s="468"/>
      <c r="K92" s="468"/>
      <c r="L92" s="468"/>
      <c r="M92" s="1891"/>
      <c r="N92" s="3016"/>
      <c r="O92" s="3016"/>
      <c r="P92" s="1853"/>
      <c r="Q92" s="1822"/>
    </row>
    <row r="93" spans="1:17" ht="15.75" thickBot="1">
      <c r="A93" s="1854"/>
      <c r="B93" s="1862"/>
      <c r="C93" s="1856">
        <v>100</v>
      </c>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2283</v>
      </c>
      <c r="B100" s="1848" t="s">
        <v>2387</v>
      </c>
      <c r="C100" s="3155" t="s">
        <v>2923</v>
      </c>
      <c r="D100" s="3155" t="s">
        <v>2924</v>
      </c>
      <c r="E100" s="3155" t="s">
        <v>2954</v>
      </c>
      <c r="F100" s="3155" t="s">
        <v>2953</v>
      </c>
      <c r="G100" s="3155" t="s">
        <v>2925</v>
      </c>
      <c r="H100" s="1850"/>
      <c r="I100" s="1850"/>
      <c r="J100" s="1850"/>
      <c r="K100" s="417"/>
      <c r="L100" s="417"/>
      <c r="M100" s="1851"/>
      <c r="N100" s="3016"/>
      <c r="O100" s="3016"/>
      <c r="P100" s="1853"/>
      <c r="Q100" s="1822"/>
    </row>
    <row r="101" spans="1:17" ht="15.75" thickBot="1">
      <c r="A101" s="1854"/>
      <c r="B101" s="1862"/>
      <c r="C101" s="1863">
        <v>100</v>
      </c>
      <c r="D101" s="1863">
        <f t="shared" ref="D101:M101" si="21">C101-$K32</f>
        <v>98</v>
      </c>
      <c r="E101" s="1863">
        <f t="shared" si="21"/>
        <v>96</v>
      </c>
      <c r="F101" s="1863">
        <f t="shared" si="21"/>
        <v>94</v>
      </c>
      <c r="G101" s="1863">
        <f t="shared" si="21"/>
        <v>92</v>
      </c>
      <c r="H101" s="1863">
        <f t="shared" si="21"/>
        <v>90</v>
      </c>
      <c r="I101" s="1863">
        <f t="shared" si="21"/>
        <v>88</v>
      </c>
      <c r="J101" s="1863">
        <f t="shared" si="21"/>
        <v>86</v>
      </c>
      <c r="K101" s="1863">
        <f t="shared" si="21"/>
        <v>84</v>
      </c>
      <c r="L101" s="1863">
        <f t="shared" si="21"/>
        <v>82</v>
      </c>
      <c r="M101" s="1864">
        <f t="shared" si="21"/>
        <v>80</v>
      </c>
      <c r="N101" s="3017"/>
      <c r="O101" s="3017"/>
      <c r="P101" s="1853"/>
      <c r="Q101" s="1822"/>
    </row>
    <row r="102" spans="1:17" ht="15.75" thickTop="1">
      <c r="A102" s="1854"/>
      <c r="B102" s="1859" t="s">
        <v>2333</v>
      </c>
      <c r="C102" s="579" t="str">
        <f>C103&amp;"(含)"&amp;"-"&amp;D103</f>
        <v>0(含)-50</v>
      </c>
      <c r="D102" s="579" t="str">
        <f t="shared" ref="D102:L102" si="22">D103&amp;"(含)"&amp;"-"&amp;E103</f>
        <v>50(含)-100</v>
      </c>
      <c r="E102" s="579" t="str">
        <f t="shared" si="22"/>
        <v>100(含)-200</v>
      </c>
      <c r="F102" s="579" t="str">
        <f t="shared" si="22"/>
        <v>200(含)-500</v>
      </c>
      <c r="G102" s="579" t="str">
        <f t="shared" si="22"/>
        <v>500(含)-1000</v>
      </c>
      <c r="H102" s="579" t="str">
        <f t="shared" si="22"/>
        <v>1000(含)-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50</v>
      </c>
      <c r="E103" s="1902">
        <v>100</v>
      </c>
      <c r="F103" s="1902">
        <v>200</v>
      </c>
      <c r="G103" s="1902">
        <v>500</v>
      </c>
      <c r="H103" s="1902">
        <v>1000</v>
      </c>
      <c r="I103" s="1902"/>
      <c r="J103" s="485"/>
      <c r="K103" s="485"/>
      <c r="L103" s="485"/>
      <c r="M103" s="1903"/>
      <c r="N103" s="3018"/>
      <c r="O103" s="3018"/>
      <c r="P103" s="1873"/>
      <c r="Q103" s="1874"/>
    </row>
    <row r="104" spans="1:17" s="1772" customFormat="1" ht="15.75" thickBot="1">
      <c r="A104" s="1870"/>
      <c r="B104" s="1862"/>
      <c r="C104" s="1875">
        <v>100</v>
      </c>
      <c r="D104" s="1856">
        <v>98</v>
      </c>
      <c r="E104" s="1875">
        <v>96</v>
      </c>
      <c r="F104" s="1856">
        <v>94</v>
      </c>
      <c r="G104" s="1875">
        <v>92</v>
      </c>
      <c r="H104" s="1856">
        <v>90</v>
      </c>
      <c r="I104" s="1856"/>
      <c r="J104" s="1856"/>
      <c r="K104" s="1856"/>
      <c r="L104" s="1856"/>
      <c r="M104" s="1857"/>
      <c r="N104" s="3017"/>
      <c r="O104" s="3017"/>
      <c r="P104" s="1873"/>
      <c r="Q104" s="1874"/>
    </row>
    <row r="105" spans="1:17" ht="15" thickTop="1">
      <c r="A105" s="1904"/>
      <c r="B105" s="1859" t="s">
        <v>2334</v>
      </c>
      <c r="C105" s="3151" t="s">
        <v>2938</v>
      </c>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99</v>
      </c>
      <c r="E106" s="1863">
        <f t="shared" si="23"/>
        <v>98</v>
      </c>
      <c r="F106" s="1863">
        <f t="shared" si="23"/>
        <v>97</v>
      </c>
      <c r="G106" s="1863">
        <f t="shared" si="23"/>
        <v>96</v>
      </c>
      <c r="H106" s="1863">
        <f t="shared" si="23"/>
        <v>95</v>
      </c>
      <c r="I106" s="1863">
        <f t="shared" si="23"/>
        <v>94</v>
      </c>
      <c r="J106" s="1863">
        <f t="shared" si="23"/>
        <v>93</v>
      </c>
      <c r="K106" s="1863">
        <f t="shared" si="23"/>
        <v>92</v>
      </c>
      <c r="L106" s="1863">
        <f t="shared" si="23"/>
        <v>91</v>
      </c>
      <c r="M106" s="1864">
        <f t="shared" si="23"/>
        <v>90</v>
      </c>
      <c r="N106" s="3017"/>
      <c r="O106" s="3017"/>
      <c r="P106" s="1853"/>
      <c r="Q106" s="1822"/>
    </row>
    <row r="107" spans="1:17" ht="15" thickTop="1">
      <c r="A107" s="1904"/>
      <c r="B107" s="1859" t="s">
        <v>2336</v>
      </c>
      <c r="C107" s="3151" t="s">
        <v>2926</v>
      </c>
      <c r="D107" s="3151" t="s">
        <v>2927</v>
      </c>
      <c r="E107" s="3151" t="s">
        <v>2928</v>
      </c>
      <c r="F107" s="3154" t="s">
        <v>2929</v>
      </c>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99</v>
      </c>
      <c r="E108" s="1863">
        <f t="shared" si="24"/>
        <v>98</v>
      </c>
      <c r="F108" s="1863">
        <f t="shared" si="24"/>
        <v>97</v>
      </c>
      <c r="G108" s="1863">
        <f t="shared" si="24"/>
        <v>96</v>
      </c>
      <c r="H108" s="1863">
        <f t="shared" si="24"/>
        <v>95</v>
      </c>
      <c r="I108" s="1863">
        <f t="shared" si="24"/>
        <v>94</v>
      </c>
      <c r="J108" s="1863">
        <f t="shared" si="24"/>
        <v>93</v>
      </c>
      <c r="K108" s="1863">
        <f t="shared" si="24"/>
        <v>92</v>
      </c>
      <c r="L108" s="1863">
        <f t="shared" si="24"/>
        <v>91</v>
      </c>
      <c r="M108" s="1864">
        <f t="shared" si="24"/>
        <v>90</v>
      </c>
      <c r="N108" s="3017"/>
      <c r="O108" s="3017"/>
      <c r="P108" s="1853"/>
      <c r="Q108" s="1822"/>
    </row>
    <row r="109" spans="1:17" ht="15" thickTop="1">
      <c r="A109" s="1904"/>
      <c r="B109" s="1859" t="s">
        <v>2337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5"/>
      <c r="J110" s="2485"/>
      <c r="K110" s="508"/>
      <c r="L110" s="508"/>
      <c r="M110" s="2486"/>
      <c r="N110" s="3016"/>
      <c r="O110" s="3016"/>
      <c r="P110" s="1853"/>
      <c r="Q110" s="1822"/>
    </row>
    <row r="111" spans="1:17" ht="15.75" thickBot="1">
      <c r="A111" s="1854"/>
      <c r="B111" s="1862"/>
      <c r="C111" s="1892">
        <v>100</v>
      </c>
      <c r="D111" s="1863">
        <f>C111+$K36</f>
        <v>101</v>
      </c>
      <c r="E111" s="1863">
        <f t="shared" ref="E111:M111" si="25">D111+$K36</f>
        <v>102</v>
      </c>
      <c r="F111" s="1863">
        <f t="shared" si="25"/>
        <v>103</v>
      </c>
      <c r="G111" s="1863">
        <f t="shared" si="25"/>
        <v>104</v>
      </c>
      <c r="H111" s="1863">
        <f t="shared" si="25"/>
        <v>105</v>
      </c>
      <c r="I111" s="1863">
        <f t="shared" si="25"/>
        <v>106</v>
      </c>
      <c r="J111" s="1863">
        <f t="shared" si="25"/>
        <v>107</v>
      </c>
      <c r="K111" s="1863">
        <f t="shared" si="25"/>
        <v>108</v>
      </c>
      <c r="L111" s="1863">
        <f t="shared" si="25"/>
        <v>109</v>
      </c>
      <c r="M111" s="1863">
        <f t="shared" si="25"/>
        <v>110</v>
      </c>
      <c r="N111" s="3017"/>
      <c r="O111" s="3017"/>
      <c r="P111" s="1853"/>
      <c r="Q111" s="1822"/>
    </row>
    <row r="112" spans="1:17" s="1772" customFormat="1" ht="15" thickTop="1">
      <c r="A112" s="1900"/>
      <c r="B112" s="1859" t="s">
        <v>2339</v>
      </c>
      <c r="C112" s="3151" t="s">
        <v>2930</v>
      </c>
      <c r="D112" s="3151" t="s">
        <v>2931</v>
      </c>
      <c r="E112" s="3151" t="s">
        <v>2932</v>
      </c>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99</v>
      </c>
      <c r="E113" s="1863">
        <f t="shared" ref="E113:M113" si="26">D113-$K37</f>
        <v>98</v>
      </c>
      <c r="F113" s="1863">
        <f t="shared" si="26"/>
        <v>97</v>
      </c>
      <c r="G113" s="1863">
        <f t="shared" si="26"/>
        <v>96</v>
      </c>
      <c r="H113" s="1863">
        <f t="shared" si="26"/>
        <v>95</v>
      </c>
      <c r="I113" s="1863">
        <f t="shared" si="26"/>
        <v>94</v>
      </c>
      <c r="J113" s="1863">
        <f t="shared" si="26"/>
        <v>93</v>
      </c>
      <c r="K113" s="1863">
        <f t="shared" si="26"/>
        <v>92</v>
      </c>
      <c r="L113" s="1863">
        <f t="shared" si="26"/>
        <v>91</v>
      </c>
      <c r="M113" s="1863">
        <f t="shared" si="26"/>
        <v>90</v>
      </c>
      <c r="N113" s="3018"/>
      <c r="O113" s="3018"/>
      <c r="P113" s="1873"/>
      <c r="Q113" s="1874"/>
    </row>
    <row r="114" spans="1:17" ht="15" thickTop="1">
      <c r="A114" s="1904"/>
      <c r="B114" s="1859" t="s">
        <v>2388</v>
      </c>
      <c r="C114" s="3151" t="s">
        <v>2933</v>
      </c>
      <c r="D114" s="3151" t="s">
        <v>2934</v>
      </c>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4">
        <f t="shared" si="27"/>
        <v>80</v>
      </c>
      <c r="N115" s="3017"/>
      <c r="O115" s="3017"/>
      <c r="P115" s="1853"/>
      <c r="Q115" s="1822"/>
    </row>
    <row r="116" spans="1:17" ht="15" thickTop="1">
      <c r="A116" s="1904"/>
      <c r="B116" s="1859" t="s">
        <v>2389</v>
      </c>
      <c r="C116" s="3151" t="s">
        <v>2935</v>
      </c>
      <c r="D116" s="3151" t="s">
        <v>2936</v>
      </c>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97</v>
      </c>
      <c r="E117" s="1863">
        <f>D117-$K39</f>
        <v>94</v>
      </c>
      <c r="F117" s="1863">
        <f>E117-$K39</f>
        <v>91</v>
      </c>
      <c r="G117" s="1863">
        <f>F117-$K39</f>
        <v>88</v>
      </c>
      <c r="H117" s="1863"/>
      <c r="I117" s="1863"/>
      <c r="J117" s="1863"/>
      <c r="K117" s="1863"/>
      <c r="L117" s="1863"/>
      <c r="M117" s="1864"/>
      <c r="N117" s="3017"/>
      <c r="O117" s="3017"/>
      <c r="P117" s="1853"/>
      <c r="Q117" s="1822"/>
    </row>
    <row r="118" spans="1:17" ht="15" thickTop="1">
      <c r="A118" s="1904"/>
      <c r="B118" s="1859" t="s">
        <v>2390</v>
      </c>
      <c r="C118" s="2487"/>
      <c r="D118" s="2487"/>
      <c r="E118" s="2487"/>
      <c r="F118" s="2487"/>
      <c r="G118" s="2487"/>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2391</v>
      </c>
      <c r="C120" s="3154" t="s">
        <v>2965</v>
      </c>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99</v>
      </c>
      <c r="E121" s="1863">
        <f t="shared" ref="E121:M121" si="28">D121-$K41</f>
        <v>98</v>
      </c>
      <c r="F121" s="1863">
        <f t="shared" si="28"/>
        <v>97</v>
      </c>
      <c r="G121" s="1863">
        <f t="shared" si="28"/>
        <v>96</v>
      </c>
      <c r="H121" s="1863">
        <f t="shared" si="28"/>
        <v>95</v>
      </c>
      <c r="I121" s="1863">
        <f t="shared" si="28"/>
        <v>94</v>
      </c>
      <c r="J121" s="1863">
        <f t="shared" si="28"/>
        <v>93</v>
      </c>
      <c r="K121" s="1863">
        <f t="shared" si="28"/>
        <v>92</v>
      </c>
      <c r="L121" s="1863">
        <f t="shared" si="28"/>
        <v>91</v>
      </c>
      <c r="M121" s="1864">
        <f t="shared" si="28"/>
        <v>90</v>
      </c>
      <c r="N121" s="3018"/>
      <c r="O121" s="3018"/>
      <c r="P121" s="1873"/>
      <c r="Q121" s="1874"/>
    </row>
    <row r="122" spans="1:17" ht="15" thickTop="1">
      <c r="A122" s="1904"/>
      <c r="B122" s="1859" t="s">
        <v>2341</v>
      </c>
      <c r="C122" s="3151" t="s">
        <v>2926</v>
      </c>
      <c r="D122" s="3151" t="s">
        <v>2927</v>
      </c>
      <c r="E122" s="3151" t="s">
        <v>2928</v>
      </c>
      <c r="F122" s="3154" t="s">
        <v>2929</v>
      </c>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99</v>
      </c>
      <c r="E123" s="1863">
        <f t="shared" si="29"/>
        <v>98</v>
      </c>
      <c r="F123" s="1863">
        <f t="shared" si="29"/>
        <v>97</v>
      </c>
      <c r="G123" s="1863">
        <f t="shared" si="29"/>
        <v>96</v>
      </c>
      <c r="H123" s="1863">
        <f t="shared" si="29"/>
        <v>95</v>
      </c>
      <c r="I123" s="1863">
        <f t="shared" si="29"/>
        <v>94</v>
      </c>
      <c r="J123" s="1863">
        <f t="shared" si="29"/>
        <v>93</v>
      </c>
      <c r="K123" s="1863">
        <f t="shared" si="29"/>
        <v>92</v>
      </c>
      <c r="L123" s="1863">
        <f t="shared" si="29"/>
        <v>91</v>
      </c>
      <c r="M123" s="1864">
        <f t="shared" si="29"/>
        <v>90</v>
      </c>
      <c r="N123" s="3017"/>
      <c r="O123" s="3017"/>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3016"/>
      <c r="O124" s="3016"/>
      <c r="P124" s="1873"/>
      <c r="Q124" s="1822"/>
    </row>
    <row r="125" spans="1:17" ht="15.75" thickBot="1">
      <c r="A125" s="1854"/>
      <c r="B125" s="1862"/>
      <c r="C125" s="1863">
        <v>100</v>
      </c>
      <c r="D125" s="1863">
        <f>C125-$K43</f>
        <v>99</v>
      </c>
      <c r="E125" s="1863">
        <f>D125-$K43</f>
        <v>98</v>
      </c>
      <c r="F125" s="1863">
        <f>E125-$K43</f>
        <v>97</v>
      </c>
      <c r="G125" s="1863">
        <f>F125-$K43</f>
        <v>96</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2392</v>
      </c>
      <c r="C1" s="1639"/>
      <c r="D1" s="1638"/>
      <c r="E1" s="1641"/>
      <c r="F1" s="1642" t="s">
        <v>2252</v>
      </c>
      <c r="G1" s="1638"/>
      <c r="H1" s="1638"/>
      <c r="I1" s="1638"/>
      <c r="J1" s="1638"/>
      <c r="K1" s="1643"/>
      <c r="L1" s="1644"/>
      <c r="M1" s="1638"/>
      <c r="N1" s="1638"/>
      <c r="O1" s="1638"/>
      <c r="P1" s="1638"/>
      <c r="Q1" s="1638"/>
      <c r="R1" s="1638"/>
      <c r="S1" s="1638"/>
      <c r="T1" s="1638"/>
      <c r="U1" s="1638"/>
      <c r="V1" s="1638"/>
      <c r="W1" s="1638"/>
      <c r="X1" s="1638"/>
      <c r="Y1" s="1638"/>
      <c r="Z1" s="1638"/>
      <c r="AA1" s="1638"/>
      <c r="AB1" s="2488"/>
      <c r="AC1" s="1647"/>
    </row>
    <row r="2" spans="1:29" s="1960" customFormat="1" ht="28.5" customHeight="1" thickTop="1">
      <c r="A2" s="1649" t="s">
        <v>1922</v>
      </c>
      <c r="B2" s="1650" t="e">
        <f ca="1">IF(D2="——",IF(C2="元",ROUND(C50*D3,0),ROUND(C50*D3/10000,0)),IF(C2="元",ROUND(C50*D3,0),ROUND(C50*D3/10000,0))-E2)</f>
        <v>#DIV/0!</v>
      </c>
      <c r="C2" s="1651" t="str">
        <f>'数据-取费表'!B3</f>
        <v>万元</v>
      </c>
      <c r="D2" s="1652"/>
      <c r="E2" s="2489"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90"/>
      <c r="AC2" s="1965"/>
    </row>
    <row r="3" spans="1:29" s="1960" customFormat="1" ht="28.5" customHeight="1" thickBot="1">
      <c r="A3" s="1659" t="s">
        <v>1923</v>
      </c>
      <c r="B3" s="1963" t="e">
        <f ca="1">ROUND(IF(D2="——",C50,IF(C2="万元",B2*10000/D3,B2/D3)),0)</f>
        <v>#DIV/0!</v>
      </c>
      <c r="C3" s="1660" t="s">
        <v>2253</v>
      </c>
      <c r="D3" s="1660">
        <f>IF(C1="仅计算典型户型",'数据-取费表'!E5,'数据-取费表'!B5)</f>
        <v>191.89</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1"/>
      <c r="AC3" s="1965"/>
    </row>
    <row r="4" spans="1:29" ht="15">
      <c r="A4" s="1663" t="s">
        <v>2254</v>
      </c>
      <c r="B4" s="1664"/>
      <c r="C4" s="3459" t="s">
        <v>2255</v>
      </c>
      <c r="D4" s="3460"/>
      <c r="E4" s="3461" t="s">
        <v>2256</v>
      </c>
      <c r="F4" s="3462"/>
      <c r="G4" s="3459" t="s">
        <v>2257</v>
      </c>
      <c r="H4" s="3460"/>
      <c r="I4" s="3459" t="s">
        <v>2258</v>
      </c>
      <c r="J4" s="3460"/>
      <c r="K4" s="1966" t="s">
        <v>2259</v>
      </c>
      <c r="L4" s="2997"/>
      <c r="M4" s="2998"/>
      <c r="N4" s="2998"/>
      <c r="O4" s="2998"/>
      <c r="P4" s="3463" t="s">
        <v>2260</v>
      </c>
      <c r="Q4" s="3464"/>
      <c r="R4" s="3448" t="s">
        <v>2256</v>
      </c>
      <c r="S4" s="3449"/>
      <c r="T4" s="3448" t="s">
        <v>2257</v>
      </c>
      <c r="U4" s="3449"/>
      <c r="V4" s="3469" t="s">
        <v>2258</v>
      </c>
      <c r="W4" s="3469"/>
      <c r="X4" s="2075"/>
      <c r="Y4" s="3448" t="s">
        <v>2260</v>
      </c>
      <c r="Z4" s="3449"/>
      <c r="AA4" s="3456" t="s">
        <v>2256</v>
      </c>
      <c r="AB4" s="3456" t="s">
        <v>2257</v>
      </c>
      <c r="AC4" s="3456" t="s">
        <v>2258</v>
      </c>
    </row>
    <row r="5" spans="1:29" ht="15">
      <c r="A5" s="1668"/>
      <c r="B5" s="1669"/>
      <c r="C5" s="3444" t="s">
        <v>2261</v>
      </c>
      <c r="D5" s="3445"/>
      <c r="E5" s="3470" t="s">
        <v>2262</v>
      </c>
      <c r="F5" s="3471"/>
      <c r="G5" s="3444" t="s">
        <v>2263</v>
      </c>
      <c r="H5" s="3445"/>
      <c r="I5" s="3444" t="s">
        <v>2264</v>
      </c>
      <c r="J5" s="3445"/>
      <c r="K5" s="1966"/>
      <c r="L5" s="2997"/>
      <c r="M5" s="2998"/>
      <c r="N5" s="2998"/>
      <c r="O5" s="2998"/>
      <c r="P5" s="3465"/>
      <c r="Q5" s="3466"/>
      <c r="R5" s="3450"/>
      <c r="S5" s="3451"/>
      <c r="T5" s="3450"/>
      <c r="U5" s="3451"/>
      <c r="V5" s="3469"/>
      <c r="W5" s="3469"/>
      <c r="X5" s="2075"/>
      <c r="Y5" s="3450"/>
      <c r="Z5" s="3451"/>
      <c r="AA5" s="3457"/>
      <c r="AB5" s="3457"/>
      <c r="AC5" s="3457"/>
    </row>
    <row r="6" spans="1:29" ht="15.75" thickBot="1">
      <c r="A6" s="1671"/>
      <c r="B6" s="1672"/>
      <c r="C6" s="3442" t="s">
        <v>2265</v>
      </c>
      <c r="D6" s="3443"/>
      <c r="E6" s="3472" t="s">
        <v>2265</v>
      </c>
      <c r="F6" s="3473"/>
      <c r="G6" s="3442" t="s">
        <v>2265</v>
      </c>
      <c r="H6" s="3443"/>
      <c r="I6" s="3442" t="s">
        <v>2265</v>
      </c>
      <c r="J6" s="3443"/>
      <c r="K6" s="1966" t="s">
        <v>2266</v>
      </c>
      <c r="L6" s="2997"/>
      <c r="M6" s="2998"/>
      <c r="N6" s="2998"/>
      <c r="O6" s="2998"/>
      <c r="P6" s="3467"/>
      <c r="Q6" s="3468"/>
      <c r="R6" s="3450"/>
      <c r="S6" s="3451"/>
      <c r="T6" s="3452"/>
      <c r="U6" s="3453"/>
      <c r="V6" s="3469"/>
      <c r="W6" s="3469"/>
      <c r="X6" s="2075"/>
      <c r="Y6" s="3452"/>
      <c r="Z6" s="3453"/>
      <c r="AA6" s="3458"/>
      <c r="AB6" s="3458"/>
      <c r="AC6" s="3458"/>
    </row>
    <row r="7" spans="1:29" s="1685" customFormat="1" ht="15.75" thickBot="1">
      <c r="A7" s="1673" t="s">
        <v>2267</v>
      </c>
      <c r="B7" s="1674"/>
      <c r="C7" s="1675">
        <f>'数据-取费表'!B2</f>
        <v>44195</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46" t="s">
        <v>2268</v>
      </c>
      <c r="Q7" s="3454"/>
      <c r="R7" s="1681" t="s">
        <v>25</v>
      </c>
      <c r="S7" s="1682">
        <f t="shared" ref="S7:S15" si="0">F7</f>
        <v>0</v>
      </c>
      <c r="T7" s="1681" t="s">
        <v>25</v>
      </c>
      <c r="U7" s="1682">
        <f t="shared" ref="U7:U15" si="1">H7</f>
        <v>0</v>
      </c>
      <c r="V7" s="1681" t="s">
        <v>25</v>
      </c>
      <c r="W7" s="1682">
        <f t="shared" ref="W7:W15" si="2">J7</f>
        <v>0</v>
      </c>
      <c r="X7" s="1683"/>
      <c r="Y7" s="3446" t="s">
        <v>2268</v>
      </c>
      <c r="Z7" s="3447"/>
      <c r="AA7" s="1684" t="e">
        <f>D7/F7</f>
        <v>#DIV/0!</v>
      </c>
      <c r="AB7" s="1684" t="e">
        <f>D7/H7</f>
        <v>#DIV/0!</v>
      </c>
      <c r="AC7" s="1684" t="e">
        <f>D7/J7</f>
        <v>#DIV/0!</v>
      </c>
    </row>
    <row r="8" spans="1:29" s="1685" customFormat="1" ht="15.75" thickBot="1">
      <c r="A8" s="1673" t="s">
        <v>2269</v>
      </c>
      <c r="B8" s="1674"/>
      <c r="C8" s="1686" t="s">
        <v>2270</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46" t="s">
        <v>2271</v>
      </c>
      <c r="Q8" s="3447"/>
      <c r="R8" s="1681" t="s">
        <v>25</v>
      </c>
      <c r="S8" s="1682">
        <f t="shared" si="0"/>
        <v>0</v>
      </c>
      <c r="T8" s="1681" t="s">
        <v>25</v>
      </c>
      <c r="U8" s="1682">
        <f t="shared" si="1"/>
        <v>0</v>
      </c>
      <c r="V8" s="1681" t="s">
        <v>25</v>
      </c>
      <c r="W8" s="1682">
        <f t="shared" si="2"/>
        <v>0</v>
      </c>
      <c r="X8" s="1683"/>
      <c r="Y8" s="3446" t="s">
        <v>2271</v>
      </c>
      <c r="Z8" s="3447"/>
      <c r="AA8" s="1684" t="e">
        <f t="shared" ref="AA8:AA47" si="3">D8/F8</f>
        <v>#DIV/0!</v>
      </c>
      <c r="AB8" s="1684" t="e">
        <f t="shared" ref="AB8:AB47" si="4">D8/H8</f>
        <v>#DIV/0!</v>
      </c>
      <c r="AC8" s="1684" t="e">
        <f t="shared" ref="AC8:AC47" si="5">D8/J8</f>
        <v>#DIV/0!</v>
      </c>
    </row>
    <row r="9" spans="1:29" s="1685" customFormat="1">
      <c r="A9" s="2067" t="s">
        <v>2272</v>
      </c>
      <c r="B9" s="1688" t="s">
        <v>2273</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2" t="s">
        <v>2274</v>
      </c>
      <c r="Q9" s="2915" t="str">
        <f t="shared" ref="Q9:Q15" si="6">B9</f>
        <v>用途</v>
      </c>
      <c r="R9" s="1681" t="s">
        <v>25</v>
      </c>
      <c r="S9" s="1682">
        <f t="shared" si="0"/>
        <v>100</v>
      </c>
      <c r="T9" s="1681" t="s">
        <v>25</v>
      </c>
      <c r="U9" s="1682">
        <f t="shared" si="1"/>
        <v>100</v>
      </c>
      <c r="V9" s="1681" t="s">
        <v>25</v>
      </c>
      <c r="W9" s="1682">
        <f t="shared" si="2"/>
        <v>100</v>
      </c>
      <c r="X9" s="1683"/>
      <c r="Y9" s="3286"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2"/>
      <c r="Q10" s="2915"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c r="A11" s="1703"/>
      <c r="B11" s="1696" t="s">
        <v>2277</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32"/>
      <c r="Q11" s="2915" t="str">
        <f t="shared" si="6"/>
        <v>容积率</v>
      </c>
      <c r="R11" s="1681" t="s">
        <v>25</v>
      </c>
      <c r="S11" s="1682" t="e">
        <f t="shared" si="0"/>
        <v>#N/A</v>
      </c>
      <c r="T11" s="1681" t="s">
        <v>25</v>
      </c>
      <c r="U11" s="1682" t="e">
        <f t="shared" si="1"/>
        <v>#N/A</v>
      </c>
      <c r="V11" s="1681" t="s">
        <v>25</v>
      </c>
      <c r="W11" s="1682" t="e">
        <f t="shared" si="2"/>
        <v>#N/A</v>
      </c>
      <c r="X11" s="1683"/>
      <c r="Y11" s="328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2"/>
      <c r="H12" s="1698">
        <f>SUMIF(71:71,G12,72:72)-SUMIF(71:71,C12,72:72)+100</f>
        <v>100</v>
      </c>
      <c r="I12" s="1708"/>
      <c r="J12" s="1698">
        <f>SUMIF(71:71,I12,72:72)-SUMIF(71:71,C12,72:72)+100</f>
        <v>100</v>
      </c>
      <c r="K12" s="1990"/>
      <c r="L12" s="2997"/>
      <c r="M12" s="2970"/>
      <c r="N12" s="2970"/>
      <c r="O12" s="2970"/>
      <c r="P12" s="3432"/>
      <c r="Q12" s="2915">
        <f t="shared" si="6"/>
        <v>111</v>
      </c>
      <c r="R12" s="1681" t="s">
        <v>25</v>
      </c>
      <c r="S12" s="1682">
        <f t="shared" si="0"/>
        <v>100</v>
      </c>
      <c r="T12" s="1681" t="s">
        <v>25</v>
      </c>
      <c r="U12" s="1682">
        <f t="shared" si="1"/>
        <v>100</v>
      </c>
      <c r="V12" s="1681" t="s">
        <v>25</v>
      </c>
      <c r="W12" s="1682">
        <f t="shared" si="2"/>
        <v>100</v>
      </c>
      <c r="X12" s="1683"/>
      <c r="Y12" s="3286"/>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2"/>
      <c r="H13" s="1712">
        <f>SUMIF(73:73,G13,74:74)-SUMIF(73:73,C13,74:74)+100</f>
        <v>100</v>
      </c>
      <c r="I13" s="1708"/>
      <c r="J13" s="1712">
        <f>SUMIF(73:73,I13,74:74)-SUMIF(73:73,C13,74:74)+100</f>
        <v>100</v>
      </c>
      <c r="K13" s="1990"/>
      <c r="L13" s="3002"/>
      <c r="M13" s="2998"/>
      <c r="N13" s="2998"/>
      <c r="O13" s="2998"/>
      <c r="P13" s="3432"/>
      <c r="Q13" s="2915">
        <f t="shared" si="6"/>
        <v>111</v>
      </c>
      <c r="R13" s="1681" t="s">
        <v>25</v>
      </c>
      <c r="S13" s="1682">
        <f t="shared" si="0"/>
        <v>100</v>
      </c>
      <c r="T13" s="1681" t="s">
        <v>25</v>
      </c>
      <c r="U13" s="1682">
        <f t="shared" si="1"/>
        <v>100</v>
      </c>
      <c r="V13" s="1681" t="s">
        <v>25</v>
      </c>
      <c r="W13" s="1682">
        <f t="shared" si="2"/>
        <v>100</v>
      </c>
      <c r="X13" s="1683"/>
      <c r="Y13" s="3286"/>
      <c r="Z13" s="1694">
        <f t="shared" si="7"/>
        <v>111</v>
      </c>
      <c r="AA13" s="1684">
        <f t="shared" si="3"/>
        <v>1</v>
      </c>
      <c r="AB13" s="1684">
        <f t="shared" si="4"/>
        <v>1</v>
      </c>
      <c r="AC13" s="1684">
        <f t="shared" si="5"/>
        <v>1</v>
      </c>
    </row>
    <row r="14" spans="1:29" ht="15.75" thickBot="1">
      <c r="A14" s="1713"/>
      <c r="B14" s="1714">
        <v>111</v>
      </c>
      <c r="C14" s="1715"/>
      <c r="D14" s="1716">
        <v>100</v>
      </c>
      <c r="E14" s="2493"/>
      <c r="F14" s="1716">
        <f>SUMIF(75:75,E14,76:76)-SUMIF(75:75,C14,76:76)+100</f>
        <v>100</v>
      </c>
      <c r="G14" s="2492"/>
      <c r="H14" s="1716">
        <f>SUMIF(75:75,G14,76:76)-SUMIF(75:75,C14,76:76)+100</f>
        <v>100</v>
      </c>
      <c r="I14" s="1708"/>
      <c r="J14" s="1716">
        <f>SUMIF(75:75,I14,76:76)-SUMIF(75:75,C14,76:76)+100</f>
        <v>100</v>
      </c>
      <c r="K14" s="1990"/>
      <c r="L14" s="3002"/>
      <c r="M14" s="2998"/>
      <c r="N14" s="2998"/>
      <c r="O14" s="2998"/>
      <c r="P14" s="3432"/>
      <c r="Q14" s="2915">
        <f t="shared" si="6"/>
        <v>111</v>
      </c>
      <c r="R14" s="1681" t="s">
        <v>25</v>
      </c>
      <c r="S14" s="1682">
        <f t="shared" si="0"/>
        <v>100</v>
      </c>
      <c r="T14" s="1681" t="s">
        <v>25</v>
      </c>
      <c r="U14" s="1682">
        <f t="shared" si="1"/>
        <v>100</v>
      </c>
      <c r="V14" s="1681" t="s">
        <v>25</v>
      </c>
      <c r="W14" s="1682">
        <f t="shared" si="2"/>
        <v>100</v>
      </c>
      <c r="X14" s="1683"/>
      <c r="Y14" s="3286"/>
      <c r="Z14" s="1694">
        <f t="shared" si="7"/>
        <v>111</v>
      </c>
      <c r="AA14" s="1684">
        <f t="shared" si="3"/>
        <v>1</v>
      </c>
      <c r="AB14" s="1684">
        <f t="shared" si="4"/>
        <v>1</v>
      </c>
      <c r="AC14" s="1684">
        <f t="shared" si="5"/>
        <v>1</v>
      </c>
    </row>
    <row r="15" spans="1:29" ht="71.25">
      <c r="A15" s="1718" t="s">
        <v>2278</v>
      </c>
      <c r="B15" s="2494" t="s">
        <v>2393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2"/>
      <c r="M15" s="2998"/>
      <c r="N15" s="2998"/>
      <c r="O15" s="2998"/>
      <c r="P15" s="3435" t="s">
        <v>2279</v>
      </c>
      <c r="Q15" s="2916" t="str">
        <f t="shared" si="6"/>
        <v>办公集聚程度</v>
      </c>
      <c r="R15" s="1726" t="s">
        <v>25</v>
      </c>
      <c r="S15" s="1727">
        <f t="shared" si="0"/>
        <v>100</v>
      </c>
      <c r="T15" s="1726" t="s">
        <v>25</v>
      </c>
      <c r="U15" s="1727">
        <f t="shared" si="1"/>
        <v>100</v>
      </c>
      <c r="V15" s="1726" t="s">
        <v>25</v>
      </c>
      <c r="W15" s="1727">
        <f t="shared" si="2"/>
        <v>100</v>
      </c>
      <c r="X15" s="2075"/>
      <c r="Y15" s="3435" t="s">
        <v>2279</v>
      </c>
      <c r="Z15" s="2079" t="str">
        <f t="shared" si="7"/>
        <v>办公集聚程度</v>
      </c>
      <c r="AA15" s="2070">
        <f t="shared" si="3"/>
        <v>1</v>
      </c>
      <c r="AB15" s="2070">
        <f t="shared" si="4"/>
        <v>1</v>
      </c>
      <c r="AC15" s="2070">
        <f t="shared" si="5"/>
        <v>1</v>
      </c>
    </row>
    <row r="16" spans="1:29" ht="15">
      <c r="A16" s="1703"/>
      <c r="B16" s="2495"/>
      <c r="C16" s="1976"/>
      <c r="D16" s="1732"/>
      <c r="E16" s="1731"/>
      <c r="F16" s="1732"/>
      <c r="G16" s="1976"/>
      <c r="H16" s="1736"/>
      <c r="I16" s="1731"/>
      <c r="J16" s="1732"/>
      <c r="K16" s="2476"/>
      <c r="L16" s="3002"/>
      <c r="M16" s="2998"/>
      <c r="N16" s="2998"/>
      <c r="O16" s="2998"/>
      <c r="P16" s="3436"/>
      <c r="Q16" s="2916"/>
      <c r="R16" s="1726"/>
      <c r="S16" s="1727"/>
      <c r="T16" s="1726"/>
      <c r="U16" s="1727"/>
      <c r="V16" s="1726"/>
      <c r="W16" s="1727"/>
      <c r="X16" s="2075"/>
      <c r="Y16" s="3436"/>
      <c r="Z16" s="2079"/>
      <c r="AA16" s="2070">
        <v>1</v>
      </c>
      <c r="AB16" s="2070">
        <v>1</v>
      </c>
      <c r="AC16" s="2070">
        <v>1</v>
      </c>
    </row>
    <row r="17" spans="1:29" ht="85.5">
      <c r="A17" s="1703"/>
      <c r="B17" s="2496" t="s">
        <v>1714</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2"/>
      <c r="M17" s="2998"/>
      <c r="N17" s="2998"/>
      <c r="O17" s="2998"/>
      <c r="P17" s="3436"/>
      <c r="Q17" s="2916" t="str">
        <f>B17</f>
        <v>交通便捷度</v>
      </c>
      <c r="R17" s="1726" t="s">
        <v>25</v>
      </c>
      <c r="S17" s="1727">
        <f>F17</f>
        <v>100</v>
      </c>
      <c r="T17" s="1726" t="s">
        <v>25</v>
      </c>
      <c r="U17" s="1727">
        <f>H17</f>
        <v>100</v>
      </c>
      <c r="V17" s="1726" t="s">
        <v>25</v>
      </c>
      <c r="W17" s="1727">
        <f>J17</f>
        <v>100</v>
      </c>
      <c r="X17" s="2075"/>
      <c r="Y17" s="3436"/>
      <c r="Z17" s="2079" t="str">
        <f>Q17</f>
        <v>交通便捷度</v>
      </c>
      <c r="AA17" s="2070">
        <f t="shared" si="3"/>
        <v>1</v>
      </c>
      <c r="AB17" s="2070">
        <f t="shared" si="4"/>
        <v>1</v>
      </c>
      <c r="AC17" s="2070">
        <f t="shared" si="5"/>
        <v>1</v>
      </c>
    </row>
    <row r="18" spans="1:29" ht="15">
      <c r="A18" s="1703"/>
      <c r="B18" s="2497"/>
      <c r="C18" s="1980"/>
      <c r="D18" s="1736"/>
      <c r="E18" s="1747"/>
      <c r="F18" s="1736"/>
      <c r="G18" s="1746"/>
      <c r="H18" s="1732"/>
      <c r="I18" s="1746"/>
      <c r="J18" s="1732"/>
      <c r="K18" s="2476"/>
      <c r="L18" s="3002"/>
      <c r="M18" s="2998"/>
      <c r="N18" s="2998"/>
      <c r="O18" s="2998"/>
      <c r="P18" s="3436"/>
      <c r="Q18" s="2916"/>
      <c r="R18" s="1726"/>
      <c r="S18" s="1727"/>
      <c r="T18" s="1726"/>
      <c r="U18" s="1727"/>
      <c r="V18" s="1726"/>
      <c r="W18" s="1727"/>
      <c r="X18" s="2075"/>
      <c r="Y18" s="3436"/>
      <c r="Z18" s="2079"/>
      <c r="AA18" s="2070">
        <v>1</v>
      </c>
      <c r="AB18" s="2070">
        <v>1</v>
      </c>
      <c r="AC18" s="2070">
        <v>1</v>
      </c>
    </row>
    <row r="19" spans="1:29" ht="42.75">
      <c r="A19" s="1703"/>
      <c r="B19" s="2496" t="s">
        <v>2394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2"/>
      <c r="M19" s="2998"/>
      <c r="N19" s="2998"/>
      <c r="O19" s="2998"/>
      <c r="P19" s="3436"/>
      <c r="Q19" s="2916" t="str">
        <f>B19</f>
        <v>公共配套设施</v>
      </c>
      <c r="R19" s="1726" t="s">
        <v>25</v>
      </c>
      <c r="S19" s="1727">
        <f>F19</f>
        <v>100</v>
      </c>
      <c r="T19" s="1726" t="s">
        <v>25</v>
      </c>
      <c r="U19" s="1727">
        <f>H19</f>
        <v>100</v>
      </c>
      <c r="V19" s="1726" t="s">
        <v>25</v>
      </c>
      <c r="W19" s="1727">
        <f>J19</f>
        <v>100</v>
      </c>
      <c r="X19" s="2075"/>
      <c r="Y19" s="3436"/>
      <c r="Z19" s="2079" t="str">
        <f>Q19</f>
        <v>公共配套设施</v>
      </c>
      <c r="AA19" s="2070">
        <f t="shared" si="3"/>
        <v>1</v>
      </c>
      <c r="AB19" s="2070">
        <f t="shared" si="4"/>
        <v>1</v>
      </c>
      <c r="AC19" s="2070">
        <f t="shared" si="5"/>
        <v>1</v>
      </c>
    </row>
    <row r="20" spans="1:29" ht="15">
      <c r="A20" s="1703"/>
      <c r="B20" s="2497"/>
      <c r="C20" s="1976"/>
      <c r="D20" s="1732"/>
      <c r="E20" s="1735"/>
      <c r="F20" s="1732"/>
      <c r="G20" s="1733"/>
      <c r="H20" s="1732"/>
      <c r="I20" s="1733"/>
      <c r="J20" s="1732"/>
      <c r="K20" s="2476"/>
      <c r="L20" s="3002"/>
      <c r="M20" s="2998"/>
      <c r="N20" s="2998"/>
      <c r="O20" s="2998"/>
      <c r="P20" s="3436"/>
      <c r="Q20" s="2916"/>
      <c r="R20" s="1726"/>
      <c r="S20" s="1727"/>
      <c r="T20" s="1726"/>
      <c r="U20" s="1727"/>
      <c r="V20" s="1726"/>
      <c r="W20" s="1727"/>
      <c r="X20" s="2075"/>
      <c r="Y20" s="3436"/>
      <c r="Z20" s="2079"/>
      <c r="AA20" s="2070">
        <v>1</v>
      </c>
      <c r="AB20" s="2070">
        <v>1</v>
      </c>
      <c r="AC20" s="2070">
        <v>1</v>
      </c>
    </row>
    <row r="21" spans="1:29" ht="28.5">
      <c r="A21" s="1703"/>
      <c r="B21" s="2498" t="s">
        <v>2395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2"/>
      <c r="M21" s="2998"/>
      <c r="N21" s="2998"/>
      <c r="O21" s="2998"/>
      <c r="P21" s="3436"/>
      <c r="Q21" s="2916" t="str">
        <f>B21</f>
        <v>基础设施水平</v>
      </c>
      <c r="R21" s="1726" t="s">
        <v>25</v>
      </c>
      <c r="S21" s="1727">
        <f>F21</f>
        <v>100</v>
      </c>
      <c r="T21" s="1726" t="s">
        <v>25</v>
      </c>
      <c r="U21" s="1727">
        <f>H21</f>
        <v>100</v>
      </c>
      <c r="V21" s="1726" t="s">
        <v>25</v>
      </c>
      <c r="W21" s="1727">
        <f>J21</f>
        <v>100</v>
      </c>
      <c r="X21" s="2075"/>
      <c r="Y21" s="3436"/>
      <c r="Z21" s="2079" t="str">
        <f>Q21</f>
        <v>基础设施水平</v>
      </c>
      <c r="AA21" s="2070">
        <f t="shared" ref="AA21" si="8">D21/F21</f>
        <v>1</v>
      </c>
      <c r="AB21" s="2070">
        <f t="shared" ref="AB21" si="9">D21/H21</f>
        <v>1</v>
      </c>
      <c r="AC21" s="2070">
        <f t="shared" ref="AC21" si="10">D21/J21</f>
        <v>1</v>
      </c>
    </row>
    <row r="22" spans="1:29" ht="15">
      <c r="A22" s="1703"/>
      <c r="B22" s="2498"/>
      <c r="C22" s="1980"/>
      <c r="D22" s="1732"/>
      <c r="E22" s="1731"/>
      <c r="F22" s="1732"/>
      <c r="G22" s="1976"/>
      <c r="H22" s="1732"/>
      <c r="I22" s="1976"/>
      <c r="J22" s="1732"/>
      <c r="K22" s="2477"/>
      <c r="L22" s="3002"/>
      <c r="M22" s="2998"/>
      <c r="N22" s="2998"/>
      <c r="O22" s="2998"/>
      <c r="P22" s="3436"/>
      <c r="Q22" s="2916"/>
      <c r="R22" s="1726"/>
      <c r="S22" s="1727"/>
      <c r="T22" s="1726"/>
      <c r="U22" s="1727"/>
      <c r="V22" s="1726"/>
      <c r="W22" s="1727"/>
      <c r="X22" s="2075"/>
      <c r="Y22" s="3436"/>
      <c r="Z22" s="2079"/>
      <c r="AA22" s="2070">
        <v>1</v>
      </c>
      <c r="AB22" s="2070">
        <v>1</v>
      </c>
      <c r="AC22" s="2070">
        <v>1</v>
      </c>
    </row>
    <row r="23" spans="1:29" ht="57">
      <c r="A23" s="1703"/>
      <c r="B23" s="2496" t="s">
        <v>2396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5"/>
      <c r="L23" s="3002"/>
      <c r="M23" s="2998"/>
      <c r="N23" s="2998"/>
      <c r="O23" s="2998"/>
      <c r="P23" s="3436"/>
      <c r="Q23" s="2916" t="str">
        <f>B23</f>
        <v>环境质量</v>
      </c>
      <c r="R23" s="1726" t="s">
        <v>25</v>
      </c>
      <c r="S23" s="1727">
        <f>F23</f>
        <v>100</v>
      </c>
      <c r="T23" s="1726" t="s">
        <v>25</v>
      </c>
      <c r="U23" s="1727">
        <f>H23</f>
        <v>100</v>
      </c>
      <c r="V23" s="1726" t="s">
        <v>25</v>
      </c>
      <c r="W23" s="1727">
        <f>J23</f>
        <v>100</v>
      </c>
      <c r="X23" s="2075"/>
      <c r="Y23" s="3436"/>
      <c r="Z23" s="2079" t="str">
        <f>Q23</f>
        <v>环境质量</v>
      </c>
      <c r="AA23" s="2070">
        <f t="shared" si="3"/>
        <v>1</v>
      </c>
      <c r="AB23" s="2070">
        <f t="shared" si="4"/>
        <v>1</v>
      </c>
      <c r="AC23" s="2070">
        <f t="shared" si="5"/>
        <v>1</v>
      </c>
    </row>
    <row r="24" spans="1:29" ht="15">
      <c r="A24" s="1703"/>
      <c r="B24" s="2498"/>
      <c r="C24" s="1976"/>
      <c r="D24" s="1732"/>
      <c r="E24" s="1735"/>
      <c r="F24" s="1732"/>
      <c r="G24" s="1733"/>
      <c r="H24" s="1732"/>
      <c r="I24" s="1733"/>
      <c r="J24" s="1732"/>
      <c r="K24" s="2476"/>
      <c r="L24" s="3002"/>
      <c r="M24" s="2998"/>
      <c r="N24" s="2998"/>
      <c r="O24" s="2998"/>
      <c r="P24" s="3436"/>
      <c r="Q24" s="2916"/>
      <c r="R24" s="1726"/>
      <c r="S24" s="1727"/>
      <c r="T24" s="1726"/>
      <c r="U24" s="1727"/>
      <c r="V24" s="1726"/>
      <c r="W24" s="1727"/>
      <c r="X24" s="2075"/>
      <c r="Y24" s="3436"/>
      <c r="Z24" s="2079"/>
      <c r="AA24" s="2070">
        <v>1</v>
      </c>
      <c r="AB24" s="2070">
        <v>1</v>
      </c>
      <c r="AC24" s="2070">
        <v>1</v>
      </c>
    </row>
    <row r="25" spans="1:29" ht="27">
      <c r="A25" s="1668"/>
      <c r="B25" s="2496" t="s">
        <v>2397</v>
      </c>
      <c r="C25" s="2499"/>
      <c r="D25" s="1712">
        <v>100</v>
      </c>
      <c r="E25" s="1711"/>
      <c r="F25" s="1712">
        <f>SUMIF(87:87,E26,88:88)-SUMIF(87:87,C26,88:88)+100</f>
        <v>100</v>
      </c>
      <c r="G25" s="2499"/>
      <c r="H25" s="1712">
        <f>SUMIF(87:87,G26,88:88)-SUMIF(87:87,C26,88:88)+100</f>
        <v>100</v>
      </c>
      <c r="I25" s="1711"/>
      <c r="J25" s="1712">
        <f>SUMIF(87:87,I26,88:88)-SUMIF(87:87,C26,88:88)+100</f>
        <v>100</v>
      </c>
      <c r="K25" s="2475"/>
      <c r="L25" s="3002"/>
      <c r="M25" s="2998"/>
      <c r="N25" s="2998"/>
      <c r="O25" s="2998"/>
      <c r="P25" s="3436"/>
      <c r="Q25" s="2916" t="str">
        <f>B25</f>
        <v>毗邻道路的类型与等级</v>
      </c>
      <c r="R25" s="1726" t="s">
        <v>25</v>
      </c>
      <c r="S25" s="1727">
        <f>F25</f>
        <v>100</v>
      </c>
      <c r="T25" s="1726" t="s">
        <v>25</v>
      </c>
      <c r="U25" s="1727">
        <f>H25</f>
        <v>100</v>
      </c>
      <c r="V25" s="1726" t="s">
        <v>25</v>
      </c>
      <c r="W25" s="1727">
        <f>J25</f>
        <v>100</v>
      </c>
      <c r="X25" s="2075"/>
      <c r="Y25" s="3436"/>
      <c r="Z25" s="2079" t="str">
        <f>Q25</f>
        <v>毗邻道路的类型与等级</v>
      </c>
      <c r="AA25" s="2070">
        <f t="shared" si="3"/>
        <v>1</v>
      </c>
      <c r="AB25" s="2070">
        <f t="shared" si="4"/>
        <v>1</v>
      </c>
      <c r="AC25" s="2070">
        <f t="shared" si="5"/>
        <v>1</v>
      </c>
    </row>
    <row r="26" spans="1:29" ht="15">
      <c r="A26" s="1668"/>
      <c r="B26" s="2497"/>
      <c r="C26" s="1984"/>
      <c r="D26" s="1712"/>
      <c r="E26" s="1992"/>
      <c r="F26" s="1712"/>
      <c r="G26" s="1984"/>
      <c r="H26" s="1712"/>
      <c r="I26" s="1992"/>
      <c r="J26" s="1712"/>
      <c r="K26" s="2476"/>
      <c r="L26" s="3002"/>
      <c r="M26" s="2998"/>
      <c r="N26" s="2998"/>
      <c r="O26" s="2998"/>
      <c r="P26" s="3436"/>
      <c r="Q26" s="2916"/>
      <c r="R26" s="1726"/>
      <c r="S26" s="1727"/>
      <c r="T26" s="1726"/>
      <c r="U26" s="1727"/>
      <c r="V26" s="1726"/>
      <c r="W26" s="1727"/>
      <c r="X26" s="2075"/>
      <c r="Y26" s="3436"/>
      <c r="Z26" s="2079"/>
      <c r="AA26" s="2070">
        <v>1</v>
      </c>
      <c r="AB26" s="2070">
        <v>1</v>
      </c>
      <c r="AC26" s="2070">
        <v>1</v>
      </c>
    </row>
    <row r="27" spans="1:29" ht="15">
      <c r="A27" s="1703"/>
      <c r="B27" s="2497" t="s">
        <v>2370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36"/>
      <c r="Q27" s="2916" t="str">
        <f t="shared" ref="Q27:Q47" si="11">B27</f>
        <v>楼层</v>
      </c>
      <c r="R27" s="1726" t="s">
        <v>25</v>
      </c>
      <c r="S27" s="1727">
        <f>F27</f>
        <v>100</v>
      </c>
      <c r="T27" s="1726" t="s">
        <v>25</v>
      </c>
      <c r="U27" s="1727">
        <f>H27</f>
        <v>100</v>
      </c>
      <c r="V27" s="1726" t="s">
        <v>25</v>
      </c>
      <c r="W27" s="1727">
        <f>J27</f>
        <v>100</v>
      </c>
      <c r="X27" s="2075"/>
      <c r="Y27" s="3436"/>
      <c r="Z27" s="2079" t="str">
        <f>Q27</f>
        <v>楼层</v>
      </c>
      <c r="AA27" s="2070">
        <f t="shared" si="3"/>
        <v>1</v>
      </c>
      <c r="AB27" s="2070">
        <f t="shared" si="4"/>
        <v>1</v>
      </c>
      <c r="AC27" s="2070">
        <f t="shared" si="5"/>
        <v>1</v>
      </c>
    </row>
    <row r="28" spans="1:29" s="1685" customFormat="1" ht="15">
      <c r="A28" s="1706"/>
      <c r="B28" s="2496" t="s">
        <v>2398</v>
      </c>
      <c r="C28" s="2500"/>
      <c r="D28" s="1757">
        <v>100</v>
      </c>
      <c r="E28" s="2479"/>
      <c r="F28" s="1757">
        <f>SUMIF(91:91,E28,92:92)-SUMIF(91:91,C28,92:92)+100</f>
        <v>100</v>
      </c>
      <c r="G28" s="2500"/>
      <c r="H28" s="1757">
        <f>SUMIF(91:91,G28,92:92)-SUMIF(91:91,C28,92:92)+100</f>
        <v>100</v>
      </c>
      <c r="I28" s="2479"/>
      <c r="J28" s="1757">
        <f>SUMIF(91:91,I28,92:92)-SUMIF(91:91,C28,92:92)+100</f>
        <v>100</v>
      </c>
      <c r="K28" s="1993"/>
      <c r="L28" s="2997"/>
      <c r="M28" s="2970"/>
      <c r="N28" s="2970"/>
      <c r="O28" s="2970"/>
      <c r="P28" s="3436"/>
      <c r="Q28" s="2915" t="str">
        <f t="shared" si="11"/>
        <v>朝向</v>
      </c>
      <c r="R28" s="1681" t="s">
        <v>25</v>
      </c>
      <c r="S28" s="1682">
        <f>F28</f>
        <v>100</v>
      </c>
      <c r="T28" s="1681" t="s">
        <v>25</v>
      </c>
      <c r="U28" s="1682">
        <f>H28</f>
        <v>100</v>
      </c>
      <c r="V28" s="1681" t="s">
        <v>25</v>
      </c>
      <c r="W28" s="1682">
        <f>J28</f>
        <v>100</v>
      </c>
      <c r="X28" s="1683"/>
      <c r="Y28" s="3436"/>
      <c r="Z28" s="1694" t="str">
        <f>Q28</f>
        <v>朝向</v>
      </c>
      <c r="AA28" s="2070">
        <f>D28/F28</f>
        <v>1</v>
      </c>
      <c r="AB28" s="2070">
        <f>D28/H28</f>
        <v>1</v>
      </c>
      <c r="AC28" s="2070">
        <f>D28/J28</f>
        <v>1</v>
      </c>
    </row>
    <row r="29" spans="1:29" ht="15">
      <c r="A29" s="1703"/>
      <c r="B29" s="2501">
        <v>111</v>
      </c>
      <c r="C29" s="2499"/>
      <c r="D29" s="1712">
        <v>100</v>
      </c>
      <c r="E29" s="1708"/>
      <c r="F29" s="1712">
        <f>SUMIF(93:93,E29,94:94)-SUMIF(93:93,C29,94:94)+100</f>
        <v>100</v>
      </c>
      <c r="G29" s="2492"/>
      <c r="H29" s="1712">
        <f>SUMIF(93:93,G29,94:94)-SUMIF(93:93,C29,94:94)+100</f>
        <v>100</v>
      </c>
      <c r="I29" s="1708"/>
      <c r="J29" s="1712">
        <f>SUMIF(93:93,I29,94:94)-SUMIF(93:93,C29,94:94)+100</f>
        <v>100</v>
      </c>
      <c r="K29" s="1990"/>
      <c r="L29" s="3002"/>
      <c r="M29" s="2998"/>
      <c r="N29" s="2998"/>
      <c r="O29" s="2998"/>
      <c r="P29" s="3436"/>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6"/>
      <c r="Z29" s="2079">
        <f t="shared" ref="Z29:Z47" si="15">Q29</f>
        <v>111</v>
      </c>
      <c r="AA29" s="2070">
        <f t="shared" si="3"/>
        <v>1</v>
      </c>
      <c r="AB29" s="2070">
        <f t="shared" si="4"/>
        <v>1</v>
      </c>
      <c r="AC29" s="2070">
        <f t="shared" si="5"/>
        <v>1</v>
      </c>
    </row>
    <row r="30" spans="1:29" ht="15">
      <c r="A30" s="1703"/>
      <c r="B30" s="2501">
        <v>111</v>
      </c>
      <c r="C30" s="2499"/>
      <c r="D30" s="1712">
        <v>100</v>
      </c>
      <c r="E30" s="1708"/>
      <c r="F30" s="1712">
        <f>SUMIF(95:95,E30,96:96)-SUMIF(95:95,C30,96:96)+100</f>
        <v>100</v>
      </c>
      <c r="G30" s="2492"/>
      <c r="H30" s="1712">
        <f>SUMIF(95:95,G30,96:96)-SUMIF(95:95,C30,96:96)+100</f>
        <v>100</v>
      </c>
      <c r="I30" s="1708"/>
      <c r="J30" s="1712">
        <f>SUMIF(95:95,I30,96:96)-SUMIF(95:95,C30,96:96)+100</f>
        <v>100</v>
      </c>
      <c r="K30" s="1990"/>
      <c r="L30" s="3002"/>
      <c r="M30" s="2998"/>
      <c r="N30" s="2998"/>
      <c r="O30" s="2998"/>
      <c r="P30" s="3436"/>
      <c r="Q30" s="2916">
        <f t="shared" si="11"/>
        <v>111</v>
      </c>
      <c r="R30" s="1726" t="s">
        <v>25</v>
      </c>
      <c r="S30" s="1727">
        <f t="shared" si="12"/>
        <v>100</v>
      </c>
      <c r="T30" s="1726" t="s">
        <v>25</v>
      </c>
      <c r="U30" s="1727">
        <f t="shared" si="13"/>
        <v>100</v>
      </c>
      <c r="V30" s="1726" t="s">
        <v>25</v>
      </c>
      <c r="W30" s="1727">
        <f t="shared" si="14"/>
        <v>100</v>
      </c>
      <c r="X30" s="2075"/>
      <c r="Y30" s="3436"/>
      <c r="Z30" s="2079">
        <f t="shared" si="15"/>
        <v>111</v>
      </c>
      <c r="AA30" s="2070">
        <f t="shared" si="3"/>
        <v>1</v>
      </c>
      <c r="AB30" s="2070">
        <f t="shared" si="4"/>
        <v>1</v>
      </c>
      <c r="AC30" s="2070">
        <f t="shared" si="5"/>
        <v>1</v>
      </c>
    </row>
    <row r="31" spans="1:29" ht="15">
      <c r="A31" s="1703"/>
      <c r="B31" s="2501">
        <v>111</v>
      </c>
      <c r="C31" s="2499"/>
      <c r="D31" s="1712">
        <v>100</v>
      </c>
      <c r="E31" s="1708"/>
      <c r="F31" s="1712">
        <f>SUMIF(97:97,E31,98:98)-SUMIF(97:97,C31,98:98)+100</f>
        <v>100</v>
      </c>
      <c r="G31" s="2492"/>
      <c r="H31" s="1712">
        <f>SUMIF(97:97,G31,98:98)-SUMIF(97:97,C31,98:98)+100</f>
        <v>100</v>
      </c>
      <c r="I31" s="1708"/>
      <c r="J31" s="1712">
        <f>SUMIF(97:97,I31,98:98)-SUMIF(97:97,C31,98:98)+100</f>
        <v>100</v>
      </c>
      <c r="K31" s="1990"/>
      <c r="L31" s="3002"/>
      <c r="M31" s="2998"/>
      <c r="N31" s="2998"/>
      <c r="O31" s="2998"/>
      <c r="P31" s="3436"/>
      <c r="Q31" s="2916">
        <f t="shared" si="11"/>
        <v>111</v>
      </c>
      <c r="R31" s="1726" t="s">
        <v>25</v>
      </c>
      <c r="S31" s="1727">
        <f t="shared" si="12"/>
        <v>100</v>
      </c>
      <c r="T31" s="1726" t="s">
        <v>25</v>
      </c>
      <c r="U31" s="1727">
        <f t="shared" si="13"/>
        <v>100</v>
      </c>
      <c r="V31" s="1726" t="s">
        <v>25</v>
      </c>
      <c r="W31" s="1727">
        <f t="shared" si="14"/>
        <v>100</v>
      </c>
      <c r="X31" s="2075"/>
      <c r="Y31" s="3436"/>
      <c r="Z31" s="2079">
        <f t="shared" si="15"/>
        <v>111</v>
      </c>
      <c r="AA31" s="2070">
        <f t="shared" si="3"/>
        <v>1</v>
      </c>
      <c r="AB31" s="2070">
        <f t="shared" si="4"/>
        <v>1</v>
      </c>
      <c r="AC31" s="2070">
        <f t="shared" si="5"/>
        <v>1</v>
      </c>
    </row>
    <row r="32" spans="1:29" ht="15.75" thickBot="1">
      <c r="A32" s="1713"/>
      <c r="B32" s="2502">
        <v>111</v>
      </c>
      <c r="C32" s="2503"/>
      <c r="D32" s="1716">
        <v>100</v>
      </c>
      <c r="E32" s="2493"/>
      <c r="F32" s="1716">
        <f>SUMIF(99:99,E32,100:100)-SUMIF(99:99,C32,100:100)+100</f>
        <v>100</v>
      </c>
      <c r="G32" s="2492"/>
      <c r="H32" s="1716">
        <f>SUMIF(99:99,G32,100:100)-SUMIF(99:99,C32,100:100)+100</f>
        <v>100</v>
      </c>
      <c r="I32" s="1708"/>
      <c r="J32" s="1716">
        <f>SUMIF(99:99,I32,100:100)-SUMIF(99:99,C32,100:100)+100</f>
        <v>100</v>
      </c>
      <c r="K32" s="1990"/>
      <c r="L32" s="3002"/>
      <c r="M32" s="2998"/>
      <c r="N32" s="2998"/>
      <c r="O32" s="2998"/>
      <c r="P32" s="3436"/>
      <c r="Q32" s="2916">
        <f t="shared" si="11"/>
        <v>111</v>
      </c>
      <c r="R32" s="1726" t="s">
        <v>25</v>
      </c>
      <c r="S32" s="1727">
        <f t="shared" si="12"/>
        <v>100</v>
      </c>
      <c r="T32" s="1726" t="s">
        <v>25</v>
      </c>
      <c r="U32" s="1727">
        <f t="shared" si="13"/>
        <v>100</v>
      </c>
      <c r="V32" s="1726" t="s">
        <v>25</v>
      </c>
      <c r="W32" s="1727">
        <f t="shared" si="14"/>
        <v>100</v>
      </c>
      <c r="X32" s="2075"/>
      <c r="Y32" s="3436"/>
      <c r="Z32" s="2079">
        <f t="shared" si="15"/>
        <v>111</v>
      </c>
      <c r="AA32" s="2070">
        <f t="shared" si="3"/>
        <v>1</v>
      </c>
      <c r="AB32" s="2070">
        <f t="shared" si="4"/>
        <v>1</v>
      </c>
      <c r="AC32" s="2070">
        <f t="shared" si="5"/>
        <v>1</v>
      </c>
    </row>
    <row r="33" spans="1:29" ht="15">
      <c r="A33" s="1718" t="s">
        <v>2283</v>
      </c>
      <c r="B33" s="1688" t="s">
        <v>2399</v>
      </c>
      <c r="C33" s="2504"/>
      <c r="D33" s="1763">
        <v>100</v>
      </c>
      <c r="E33" s="2504"/>
      <c r="F33" s="1755">
        <f>SUMIF(101:101,E33,102:102)-SUMIF(101:101,C33,102:102)+100</f>
        <v>100</v>
      </c>
      <c r="G33" s="2504"/>
      <c r="H33" s="1712">
        <f>SUMIF(101:101,G33,102:102)-SUMIF(101:101,C33,102:102)+100</f>
        <v>100</v>
      </c>
      <c r="I33" s="2504"/>
      <c r="J33" s="1763">
        <f>SUMIF(101:101,I33,102:102)-SUMIF(101:101,C33,102:102)+100</f>
        <v>100</v>
      </c>
      <c r="K33" s="1993"/>
      <c r="L33" s="3002"/>
      <c r="M33" s="2998"/>
      <c r="N33" s="2998"/>
      <c r="O33" s="2998"/>
      <c r="P33" s="3501" t="s">
        <v>2285</v>
      </c>
      <c r="Q33" s="2916" t="str">
        <f t="shared" si="11"/>
        <v>建筑类型</v>
      </c>
      <c r="R33" s="1726" t="s">
        <v>25</v>
      </c>
      <c r="S33" s="1727">
        <f t="shared" si="12"/>
        <v>100</v>
      </c>
      <c r="T33" s="1726" t="s">
        <v>25</v>
      </c>
      <c r="U33" s="1727">
        <f t="shared" si="13"/>
        <v>100</v>
      </c>
      <c r="V33" s="1726" t="s">
        <v>25</v>
      </c>
      <c r="W33" s="1727">
        <f t="shared" si="14"/>
        <v>100</v>
      </c>
      <c r="X33" s="2075"/>
      <c r="Y33" s="3440" t="s">
        <v>2285</v>
      </c>
      <c r="Z33" s="2079" t="str">
        <f t="shared" si="15"/>
        <v>建筑类型</v>
      </c>
      <c r="AA33" s="2070">
        <f t="shared" si="3"/>
        <v>1</v>
      </c>
      <c r="AB33" s="2070">
        <f t="shared" si="4"/>
        <v>1</v>
      </c>
      <c r="AC33" s="2070">
        <f t="shared" si="5"/>
        <v>1</v>
      </c>
    </row>
    <row r="34" spans="1:29" s="1772" customFormat="1" ht="15">
      <c r="A34" s="1765"/>
      <c r="B34" s="1696" t="s">
        <v>2286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40"/>
      <c r="Q34" s="1767" t="str">
        <f t="shared" si="11"/>
        <v>项目建筑规模</v>
      </c>
      <c r="R34" s="1768" t="s">
        <v>25</v>
      </c>
      <c r="S34" s="1769" t="e">
        <f t="shared" si="12"/>
        <v>#N/A</v>
      </c>
      <c r="T34" s="1768" t="s">
        <v>25</v>
      </c>
      <c r="U34" s="1769" t="e">
        <f t="shared" si="13"/>
        <v>#N/A</v>
      </c>
      <c r="V34" s="1768" t="s">
        <v>25</v>
      </c>
      <c r="W34" s="1769" t="e">
        <f t="shared" si="14"/>
        <v>#N/A</v>
      </c>
      <c r="X34" s="1770"/>
      <c r="Y34" s="3440"/>
      <c r="Z34" s="1771" t="str">
        <f t="shared" si="15"/>
        <v>项目建筑规模</v>
      </c>
      <c r="AA34" s="2070" t="e">
        <f t="shared" si="3"/>
        <v>#N/A</v>
      </c>
      <c r="AB34" s="2070" t="e">
        <f t="shared" si="4"/>
        <v>#N/A</v>
      </c>
      <c r="AC34" s="2070" t="e">
        <f t="shared" si="5"/>
        <v>#N/A</v>
      </c>
    </row>
    <row r="35" spans="1:29" ht="15">
      <c r="A35" s="1773"/>
      <c r="B35" s="1696" t="s">
        <v>2287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40"/>
      <c r="Q35" s="2916" t="str">
        <f t="shared" si="11"/>
        <v>建筑结构</v>
      </c>
      <c r="R35" s="1726" t="s">
        <v>25</v>
      </c>
      <c r="S35" s="1727">
        <f t="shared" si="12"/>
        <v>100</v>
      </c>
      <c r="T35" s="1726" t="s">
        <v>25</v>
      </c>
      <c r="U35" s="1727">
        <f t="shared" si="13"/>
        <v>100</v>
      </c>
      <c r="V35" s="1726" t="s">
        <v>25</v>
      </c>
      <c r="W35" s="1727">
        <f t="shared" si="14"/>
        <v>100</v>
      </c>
      <c r="X35" s="2075"/>
      <c r="Y35" s="3440"/>
      <c r="Z35" s="2079" t="str">
        <f t="shared" si="15"/>
        <v>建筑结构</v>
      </c>
      <c r="AA35" s="2070">
        <f t="shared" si="3"/>
        <v>1</v>
      </c>
      <c r="AB35" s="2070">
        <f t="shared" si="4"/>
        <v>1</v>
      </c>
      <c r="AC35" s="2070">
        <f t="shared" si="5"/>
        <v>1</v>
      </c>
    </row>
    <row r="36" spans="1:29" ht="15">
      <c r="A36" s="1773"/>
      <c r="B36" s="1696" t="s">
        <v>2372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40"/>
      <c r="Q36" s="2916" t="str">
        <f t="shared" si="11"/>
        <v>公共部分装修</v>
      </c>
      <c r="R36" s="1726" t="s">
        <v>25</v>
      </c>
      <c r="S36" s="1727">
        <f t="shared" si="12"/>
        <v>100</v>
      </c>
      <c r="T36" s="1726" t="s">
        <v>25</v>
      </c>
      <c r="U36" s="1727">
        <f t="shared" si="13"/>
        <v>100</v>
      </c>
      <c r="V36" s="1726" t="s">
        <v>25</v>
      </c>
      <c r="W36" s="1727">
        <f t="shared" si="14"/>
        <v>100</v>
      </c>
      <c r="X36" s="2075"/>
      <c r="Y36" s="3440"/>
      <c r="Z36" s="2079" t="str">
        <f t="shared" si="15"/>
        <v>公共部分装修</v>
      </c>
      <c r="AA36" s="2070">
        <f t="shared" si="3"/>
        <v>1</v>
      </c>
      <c r="AB36" s="2070">
        <f t="shared" si="4"/>
        <v>1</v>
      </c>
      <c r="AC36" s="2070">
        <f t="shared" si="5"/>
        <v>1</v>
      </c>
    </row>
    <row r="37" spans="1:29" ht="15">
      <c r="A37" s="1773"/>
      <c r="B37" s="1696" t="s">
        <v>2373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40"/>
      <c r="Q37" s="2916" t="str">
        <f t="shared" si="11"/>
        <v>成新度</v>
      </c>
      <c r="R37" s="1726" t="s">
        <v>25</v>
      </c>
      <c r="S37" s="1727" t="e">
        <f t="shared" si="12"/>
        <v>#N/A</v>
      </c>
      <c r="T37" s="1726" t="s">
        <v>25</v>
      </c>
      <c r="U37" s="1727" t="e">
        <f t="shared" si="13"/>
        <v>#N/A</v>
      </c>
      <c r="V37" s="1726" t="s">
        <v>25</v>
      </c>
      <c r="W37" s="1727" t="e">
        <f t="shared" si="14"/>
        <v>#N/A</v>
      </c>
      <c r="X37" s="2075"/>
      <c r="Y37" s="3440"/>
      <c r="Z37" s="2079" t="str">
        <f t="shared" si="15"/>
        <v>成新度</v>
      </c>
      <c r="AA37" s="2070" t="e">
        <f t="shared" si="3"/>
        <v>#N/A</v>
      </c>
      <c r="AB37" s="2070" t="e">
        <f t="shared" si="4"/>
        <v>#N/A</v>
      </c>
      <c r="AC37" s="2070" t="e">
        <f t="shared" si="5"/>
        <v>#N/A</v>
      </c>
    </row>
    <row r="38" spans="1:29" s="1685" customFormat="1" ht="15">
      <c r="A38" s="1776"/>
      <c r="B38" s="1696" t="s">
        <v>2400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40"/>
      <c r="Q38" s="2915" t="str">
        <f t="shared" si="11"/>
        <v>写字楼等级</v>
      </c>
      <c r="R38" s="1681" t="s">
        <v>25</v>
      </c>
      <c r="S38" s="1682">
        <f t="shared" si="12"/>
        <v>100</v>
      </c>
      <c r="T38" s="1681" t="s">
        <v>25</v>
      </c>
      <c r="U38" s="1682">
        <f t="shared" si="13"/>
        <v>100</v>
      </c>
      <c r="V38" s="1681" t="s">
        <v>25</v>
      </c>
      <c r="W38" s="1682">
        <f t="shared" si="14"/>
        <v>100</v>
      </c>
      <c r="X38" s="1683"/>
      <c r="Y38" s="3440"/>
      <c r="Z38" s="1694" t="str">
        <f t="shared" si="15"/>
        <v>写字楼等级</v>
      </c>
      <c r="AA38" s="1684">
        <f t="shared" si="3"/>
        <v>1</v>
      </c>
      <c r="AB38" s="1684">
        <f t="shared" si="4"/>
        <v>1</v>
      </c>
      <c r="AC38" s="1684">
        <f t="shared" si="5"/>
        <v>1</v>
      </c>
    </row>
    <row r="39" spans="1:29" ht="15">
      <c r="A39" s="1773"/>
      <c r="B39" s="1696" t="s">
        <v>2401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40" t="s">
        <v>2285</v>
      </c>
      <c r="Q39" s="2916" t="str">
        <f t="shared" si="11"/>
        <v>物业管理</v>
      </c>
      <c r="R39" s="1726" t="s">
        <v>25</v>
      </c>
      <c r="S39" s="1727">
        <f t="shared" si="12"/>
        <v>100</v>
      </c>
      <c r="T39" s="1726" t="s">
        <v>25</v>
      </c>
      <c r="U39" s="1727">
        <f t="shared" si="13"/>
        <v>100</v>
      </c>
      <c r="V39" s="1726" t="s">
        <v>25</v>
      </c>
      <c r="W39" s="1727">
        <f t="shared" si="14"/>
        <v>100</v>
      </c>
      <c r="X39" s="2075"/>
      <c r="Y39" s="3440" t="s">
        <v>2285</v>
      </c>
      <c r="Z39" s="2079" t="str">
        <f t="shared" si="15"/>
        <v>物业管理</v>
      </c>
      <c r="AA39" s="2070">
        <f t="shared" si="3"/>
        <v>1</v>
      </c>
      <c r="AB39" s="2070">
        <f t="shared" si="4"/>
        <v>1</v>
      </c>
      <c r="AC39" s="2070">
        <f t="shared" si="5"/>
        <v>1</v>
      </c>
    </row>
    <row r="40" spans="1:29" ht="15">
      <c r="A40" s="1773"/>
      <c r="B40" s="1696" t="s">
        <v>2374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40"/>
      <c r="Q40" s="2916" t="str">
        <f t="shared" si="11"/>
        <v>市政基础设施</v>
      </c>
      <c r="R40" s="1726" t="s">
        <v>25</v>
      </c>
      <c r="S40" s="1727">
        <f t="shared" si="12"/>
        <v>100</v>
      </c>
      <c r="T40" s="1726" t="s">
        <v>25</v>
      </c>
      <c r="U40" s="1727">
        <f t="shared" si="13"/>
        <v>100</v>
      </c>
      <c r="V40" s="1726" t="s">
        <v>25</v>
      </c>
      <c r="W40" s="1727">
        <f t="shared" si="14"/>
        <v>100</v>
      </c>
      <c r="X40" s="2075"/>
      <c r="Y40" s="3440"/>
      <c r="Z40" s="2079" t="str">
        <f t="shared" si="15"/>
        <v>市政基础设施</v>
      </c>
      <c r="AA40" s="2070">
        <f t="shared" si="3"/>
        <v>1</v>
      </c>
      <c r="AB40" s="2070">
        <f t="shared" si="4"/>
        <v>1</v>
      </c>
      <c r="AC40" s="2070">
        <f t="shared" si="5"/>
        <v>1</v>
      </c>
    </row>
    <row r="41" spans="1:29" ht="15">
      <c r="A41" s="1773"/>
      <c r="B41" s="1696" t="s">
        <v>2376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40"/>
      <c r="Q41" s="2916" t="str">
        <f t="shared" si="11"/>
        <v>层高</v>
      </c>
      <c r="R41" s="1726" t="s">
        <v>25</v>
      </c>
      <c r="S41" s="1727">
        <f t="shared" si="12"/>
        <v>100</v>
      </c>
      <c r="T41" s="1726" t="s">
        <v>25</v>
      </c>
      <c r="U41" s="1727">
        <f t="shared" si="13"/>
        <v>100</v>
      </c>
      <c r="V41" s="1726" t="s">
        <v>25</v>
      </c>
      <c r="W41" s="1727">
        <f t="shared" si="14"/>
        <v>100</v>
      </c>
      <c r="X41" s="2075"/>
      <c r="Y41" s="3440"/>
      <c r="Z41" s="2079" t="str">
        <f t="shared" si="15"/>
        <v>层高</v>
      </c>
      <c r="AA41" s="2070">
        <f t="shared" si="3"/>
        <v>1</v>
      </c>
      <c r="AB41" s="2070">
        <f t="shared" si="4"/>
        <v>1</v>
      </c>
      <c r="AC41" s="2070">
        <f t="shared" si="5"/>
        <v>1</v>
      </c>
    </row>
    <row r="42" spans="1:29" s="1772" customFormat="1" ht="15">
      <c r="A42" s="1765"/>
      <c r="B42" s="2071" t="s">
        <v>2402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40"/>
      <c r="Q42" s="1767" t="str">
        <f t="shared" si="11"/>
        <v>单套建筑面积</v>
      </c>
      <c r="R42" s="1768" t="s">
        <v>25</v>
      </c>
      <c r="S42" s="1769">
        <f t="shared" si="12"/>
        <v>100</v>
      </c>
      <c r="T42" s="1768" t="s">
        <v>25</v>
      </c>
      <c r="U42" s="1769">
        <f t="shared" si="13"/>
        <v>100</v>
      </c>
      <c r="V42" s="1768" t="s">
        <v>25</v>
      </c>
      <c r="W42" s="1769">
        <f t="shared" si="14"/>
        <v>100</v>
      </c>
      <c r="X42" s="1770"/>
      <c r="Y42" s="3440"/>
      <c r="Z42" s="1771" t="str">
        <f t="shared" si="15"/>
        <v>单套建筑面积</v>
      </c>
      <c r="AA42" s="2070">
        <f t="shared" si="3"/>
        <v>1</v>
      </c>
      <c r="AB42" s="2070">
        <f t="shared" si="4"/>
        <v>1</v>
      </c>
      <c r="AC42" s="2070">
        <f t="shared" si="5"/>
        <v>1</v>
      </c>
    </row>
    <row r="43" spans="1:29" ht="15">
      <c r="A43" s="1773"/>
      <c r="B43" s="1696" t="s">
        <v>2379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40"/>
      <c r="Q43" s="2916" t="str">
        <f t="shared" si="11"/>
        <v>内部装修</v>
      </c>
      <c r="R43" s="1726" t="s">
        <v>25</v>
      </c>
      <c r="S43" s="1727">
        <f t="shared" si="12"/>
        <v>100</v>
      </c>
      <c r="T43" s="1726" t="s">
        <v>25</v>
      </c>
      <c r="U43" s="1727">
        <f t="shared" si="13"/>
        <v>100</v>
      </c>
      <c r="V43" s="1726" t="s">
        <v>25</v>
      </c>
      <c r="W43" s="1727">
        <f t="shared" si="14"/>
        <v>100</v>
      </c>
      <c r="X43" s="2075"/>
      <c r="Y43" s="3440"/>
      <c r="Z43" s="2079" t="str">
        <f t="shared" si="15"/>
        <v>内部装修</v>
      </c>
      <c r="AA43" s="2070">
        <f t="shared" si="3"/>
        <v>1</v>
      </c>
      <c r="AB43" s="2070">
        <f t="shared" si="4"/>
        <v>1</v>
      </c>
      <c r="AC43" s="2070">
        <f t="shared" si="5"/>
        <v>1</v>
      </c>
    </row>
    <row r="44" spans="1:29" ht="15">
      <c r="A44" s="1773"/>
      <c r="B44" s="1696" t="s">
        <v>2296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40"/>
      <c r="Q44" s="2916" t="str">
        <f t="shared" si="11"/>
        <v>内部装修维护情况</v>
      </c>
      <c r="R44" s="1726" t="s">
        <v>25</v>
      </c>
      <c r="S44" s="1727">
        <f t="shared" si="12"/>
        <v>100</v>
      </c>
      <c r="T44" s="1726" t="s">
        <v>25</v>
      </c>
      <c r="U44" s="1727">
        <f t="shared" si="13"/>
        <v>100</v>
      </c>
      <c r="V44" s="1726" t="s">
        <v>25</v>
      </c>
      <c r="W44" s="1727">
        <f t="shared" si="14"/>
        <v>100</v>
      </c>
      <c r="X44" s="2075"/>
      <c r="Y44" s="3440"/>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40"/>
      <c r="Q45" s="2915">
        <f t="shared" si="11"/>
        <v>111</v>
      </c>
      <c r="R45" s="1681" t="s">
        <v>25</v>
      </c>
      <c r="S45" s="1682">
        <f t="shared" si="12"/>
        <v>100</v>
      </c>
      <c r="T45" s="1681" t="s">
        <v>25</v>
      </c>
      <c r="U45" s="1682">
        <f t="shared" si="13"/>
        <v>100</v>
      </c>
      <c r="V45" s="1681" t="s">
        <v>25</v>
      </c>
      <c r="W45" s="1682">
        <f t="shared" si="14"/>
        <v>100</v>
      </c>
      <c r="X45" s="1683"/>
      <c r="Y45" s="3440"/>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40"/>
      <c r="Q46" s="2916">
        <f t="shared" si="11"/>
        <v>111</v>
      </c>
      <c r="R46" s="1726" t="s">
        <v>25</v>
      </c>
      <c r="S46" s="1727">
        <f t="shared" si="12"/>
        <v>100</v>
      </c>
      <c r="T46" s="1726" t="s">
        <v>25</v>
      </c>
      <c r="U46" s="1727">
        <f t="shared" si="13"/>
        <v>100</v>
      </c>
      <c r="V46" s="1726" t="s">
        <v>25</v>
      </c>
      <c r="W46" s="1727">
        <f t="shared" si="14"/>
        <v>100</v>
      </c>
      <c r="X46" s="2075"/>
      <c r="Y46" s="3440"/>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41"/>
      <c r="Q47" s="2916">
        <f t="shared" si="11"/>
        <v>111</v>
      </c>
      <c r="R47" s="1726" t="s">
        <v>25</v>
      </c>
      <c r="S47" s="1727">
        <f t="shared" si="12"/>
        <v>100</v>
      </c>
      <c r="T47" s="1726" t="s">
        <v>25</v>
      </c>
      <c r="U47" s="1727">
        <f t="shared" si="13"/>
        <v>100</v>
      </c>
      <c r="V47" s="1726" t="s">
        <v>25</v>
      </c>
      <c r="W47" s="1727">
        <f t="shared" si="14"/>
        <v>100</v>
      </c>
      <c r="X47" s="2075"/>
      <c r="Y47" s="3441"/>
      <c r="Z47" s="2079">
        <f t="shared" si="15"/>
        <v>111</v>
      </c>
      <c r="AA47" s="2070">
        <f t="shared" si="3"/>
        <v>1</v>
      </c>
      <c r="AB47" s="2070">
        <f t="shared" si="4"/>
        <v>1</v>
      </c>
      <c r="AC47" s="2070">
        <f t="shared" si="5"/>
        <v>1</v>
      </c>
    </row>
    <row r="48" spans="1:29" ht="15">
      <c r="A48" s="1782" t="s">
        <v>2297</v>
      </c>
      <c r="B48" s="1783"/>
      <c r="C48" s="1784" t="s">
        <v>1</v>
      </c>
      <c r="D48" s="1785"/>
      <c r="E48" s="1786"/>
      <c r="F48" s="1787"/>
      <c r="G48" s="1788"/>
      <c r="H48" s="1789"/>
      <c r="I48" s="1786"/>
      <c r="J48" s="1789"/>
      <c r="K48" s="2014"/>
      <c r="L48" s="3003"/>
      <c r="M48" s="2998"/>
      <c r="N48" s="2998"/>
      <c r="O48" s="2998"/>
      <c r="P48" s="3432" t="str">
        <f>A48</f>
        <v>成交单价（元/平方米）</v>
      </c>
      <c r="Q48" s="3432"/>
      <c r="R48" s="3428">
        <f>E48</f>
        <v>0</v>
      </c>
      <c r="S48" s="3428"/>
      <c r="T48" s="3428">
        <f>G48</f>
        <v>0</v>
      </c>
      <c r="U48" s="3428"/>
      <c r="V48" s="3428">
        <f>I48</f>
        <v>0</v>
      </c>
      <c r="W48" s="3428"/>
      <c r="X48" s="1792"/>
      <c r="Y48" s="2074"/>
      <c r="Z48" s="1792"/>
      <c r="AA48" s="1792"/>
      <c r="AB48" s="1792"/>
      <c r="AC48" s="1792"/>
    </row>
    <row r="49" spans="1:29" ht="15.75" thickBot="1">
      <c r="A49" s="1794" t="s">
        <v>2380</v>
      </c>
      <c r="B49" s="1795"/>
      <c r="C49" s="1796" t="e">
        <f>R50</f>
        <v>#DIV/0!</v>
      </c>
      <c r="D49" s="1797" t="s">
        <v>2753</v>
      </c>
      <c r="E49" s="1798" t="e">
        <f>R49</f>
        <v>#DIV/0!</v>
      </c>
      <c r="F49" s="1799"/>
      <c r="G49" s="1796" t="e">
        <f>T49</f>
        <v>#DIV/0!</v>
      </c>
      <c r="H49" s="1799"/>
      <c r="I49" s="1798" t="e">
        <f>V49</f>
        <v>#DIV/0!</v>
      </c>
      <c r="J49" s="1799"/>
      <c r="K49" s="2512">
        <f>F49+H49+J49</f>
        <v>0</v>
      </c>
      <c r="L49" s="3003"/>
      <c r="M49" s="2998"/>
      <c r="N49" s="2998"/>
      <c r="O49" s="2998"/>
      <c r="P49" s="3432" t="str">
        <f>A49</f>
        <v>比较价值（元/平方米）</v>
      </c>
      <c r="Q49" s="3432"/>
      <c r="R49" s="3428" t="e">
        <f>IF(E1="售价",ROUND(PRODUCT(R48,AA7:AA47),0),ROUND(PRODUCT(R48,AA7:AA47),1))</f>
        <v>#DIV/0!</v>
      </c>
      <c r="S49" s="3428"/>
      <c r="T49" s="3428" t="e">
        <f>IF(E1="售价",ROUND(PRODUCT(T48,AB7:AB47),0),ROUND(PRODUCT(T48,AB7:AB47),1))</f>
        <v>#DIV/0!</v>
      </c>
      <c r="U49" s="3428"/>
      <c r="V49" s="3428" t="e">
        <f>IF(E1="售价",ROUND(PRODUCT(V48,AC7:AC47),0),ROUND(PRODUCT(V48,AC7:AC47),1))</f>
        <v>#DIV/0!</v>
      </c>
      <c r="W49" s="3428"/>
      <c r="X49" s="1792"/>
      <c r="Y49" s="1792"/>
      <c r="Z49" s="1792"/>
      <c r="AA49" s="1792"/>
      <c r="AB49" s="1792"/>
      <c r="AC49" s="1792"/>
    </row>
    <row r="50" spans="1:29" ht="15.75" thickBot="1">
      <c r="A50" s="1800" t="s">
        <v>2403</v>
      </c>
      <c r="B50" s="1801"/>
      <c r="C50" s="1803" t="e">
        <f>R50</f>
        <v>#DIV/0!</v>
      </c>
      <c r="D50" s="1803"/>
      <c r="E50" s="1803"/>
      <c r="F50" s="1803"/>
      <c r="G50" s="1803"/>
      <c r="H50" s="1803"/>
      <c r="I50" s="1803"/>
      <c r="J50" s="1803"/>
      <c r="K50" s="2019"/>
      <c r="L50" s="3003"/>
      <c r="M50" s="2998"/>
      <c r="N50" s="2998"/>
      <c r="O50" s="2998"/>
      <c r="P50" s="3429" t="str">
        <f>A50</f>
        <v>估价对象XX用房的比较价值（楼面单价，元/平方米）</v>
      </c>
      <c r="Q50" s="3430"/>
      <c r="R50" s="3431" t="e">
        <f>IF(E1="售价",ROUND(IF(D49="简单平均",AVERAGE(R49:V49),R49*F49+T49*H49+V49*J49),0),ROUND(IF(D49="简单平均",AVERAGE(R49:V49),R49*F49+T49*H49+V49*J49),1))</f>
        <v>#DIV/0!</v>
      </c>
      <c r="S50" s="3431"/>
      <c r="T50" s="3431"/>
      <c r="U50" s="3431"/>
      <c r="V50" s="3431"/>
      <c r="W50" s="3431"/>
      <c r="X50" s="1792"/>
      <c r="Y50" s="1792"/>
      <c r="Z50" s="1792"/>
      <c r="AA50" s="1792"/>
      <c r="AB50" s="1792"/>
      <c r="AC50" s="1792"/>
    </row>
    <row r="51" spans="1:29">
      <c r="G51" s="3007"/>
    </row>
    <row r="53" spans="1:29" ht="13.5" customHeight="1">
      <c r="C53" s="383" t="s">
        <v>2382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2385</v>
      </c>
      <c r="B58" s="1792"/>
      <c r="C58" s="1818"/>
      <c r="D58" s="1818"/>
      <c r="E58" s="1818"/>
      <c r="F58" s="1818"/>
      <c r="G58" s="1818"/>
      <c r="H58" s="1818"/>
      <c r="I58" s="1818"/>
      <c r="J58" s="1818"/>
      <c r="K58" s="1819"/>
      <c r="L58" s="1820"/>
      <c r="M58" s="1818"/>
      <c r="N58" s="3006"/>
      <c r="O58" s="3006"/>
      <c r="P58" s="2046"/>
      <c r="Q58" s="1822"/>
    </row>
    <row r="59" spans="1:29" s="1828" customFormat="1" ht="15">
      <c r="A59" s="1823" t="s">
        <v>2267</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5"/>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2305</v>
      </c>
      <c r="B61" s="1836"/>
      <c r="C61" s="1837"/>
      <c r="D61" s="1838"/>
      <c r="E61" s="1838"/>
      <c r="F61" s="1838"/>
      <c r="G61" s="1838"/>
      <c r="H61" s="1838"/>
      <c r="I61" s="1838"/>
      <c r="J61" s="1838"/>
      <c r="K61" s="1838"/>
      <c r="L61" s="1838"/>
      <c r="M61" s="1839"/>
      <c r="N61" s="1838"/>
      <c r="O61" s="2506"/>
      <c r="P61" s="1822"/>
      <c r="Q61" s="1822"/>
    </row>
    <row r="62" spans="1:29" s="1685" customFormat="1" ht="15">
      <c r="A62" s="1840" t="s">
        <v>2269</v>
      </c>
      <c r="B62" s="1830"/>
      <c r="C62" s="1841" t="s">
        <v>2270</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2308</v>
      </c>
      <c r="B64" s="1848" t="s">
        <v>2273</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2276</v>
      </c>
      <c r="C66" s="1860" t="s">
        <v>2309</v>
      </c>
      <c r="D66" s="1860" t="s">
        <v>2310</v>
      </c>
      <c r="E66" s="1860" t="s">
        <v>2311</v>
      </c>
      <c r="F66" s="1860" t="s">
        <v>2312</v>
      </c>
      <c r="G66" s="1860" t="s">
        <v>2313</v>
      </c>
      <c r="H66" s="1860" t="s">
        <v>2314</v>
      </c>
      <c r="I66" s="1860" t="s">
        <v>2315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2277</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2278</v>
      </c>
      <c r="B77" s="1848" t="s">
        <v>2404</v>
      </c>
      <c r="C77" s="1886" t="s">
        <v>2317</v>
      </c>
      <c r="D77" s="1886" t="s">
        <v>2318</v>
      </c>
      <c r="E77" s="1886" t="s">
        <v>2319</v>
      </c>
      <c r="F77" s="1886" t="s">
        <v>2320</v>
      </c>
      <c r="G77" s="1886" t="s">
        <v>2321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2322</v>
      </c>
      <c r="C79" s="579" t="s">
        <v>2317</v>
      </c>
      <c r="D79" s="579" t="s">
        <v>2318</v>
      </c>
      <c r="E79" s="579" t="s">
        <v>2319</v>
      </c>
      <c r="F79" s="579" t="s">
        <v>2320</v>
      </c>
      <c r="G79" s="579" t="s">
        <v>2321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2323</v>
      </c>
      <c r="C81" s="579" t="s">
        <v>2317</v>
      </c>
      <c r="D81" s="579" t="s">
        <v>2318</v>
      </c>
      <c r="E81" s="579" t="s">
        <v>2319</v>
      </c>
      <c r="F81" s="579" t="s">
        <v>2320</v>
      </c>
      <c r="G81" s="579" t="s">
        <v>2321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2366</v>
      </c>
      <c r="C83" s="1860" t="s">
        <v>2324</v>
      </c>
      <c r="D83" s="1860" t="s">
        <v>2325</v>
      </c>
      <c r="E83" s="1860" t="s">
        <v>2326</v>
      </c>
      <c r="F83" s="1860" t="s">
        <v>2327</v>
      </c>
      <c r="G83" s="1860" t="s">
        <v>2328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2405</v>
      </c>
      <c r="C85" s="579" t="s">
        <v>2317</v>
      </c>
      <c r="D85" s="579" t="s">
        <v>2318</v>
      </c>
      <c r="E85" s="579" t="s">
        <v>2319</v>
      </c>
      <c r="F85" s="579" t="s">
        <v>2320</v>
      </c>
      <c r="G85" s="579" t="s">
        <v>2321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2406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2283</v>
      </c>
      <c r="B101" s="1848" t="s">
        <v>2332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2333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2334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2336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2337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5"/>
      <c r="J111" s="2485"/>
      <c r="K111" s="508"/>
      <c r="L111" s="508"/>
      <c r="M111" s="2486"/>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2407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2338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7" t="s">
        <v>2408</v>
      </c>
      <c r="C119" s="1578"/>
      <c r="D119" s="1578"/>
      <c r="E119" s="1578"/>
      <c r="F119" s="1578"/>
      <c r="G119" s="1578"/>
      <c r="H119" s="1578"/>
      <c r="I119" s="1578"/>
      <c r="J119" s="1578"/>
      <c r="K119" s="1578"/>
      <c r="L119" s="1578"/>
      <c r="M119" s="2508"/>
      <c r="N119" s="3017"/>
      <c r="O119" s="3017"/>
      <c r="P119" s="2509"/>
      <c r="Q119" s="2510"/>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2390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2341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2342</v>
      </c>
      <c r="C125" s="579" t="s">
        <v>2317</v>
      </c>
      <c r="D125" s="579" t="s">
        <v>2318</v>
      </c>
      <c r="E125" s="579" t="s">
        <v>2319</v>
      </c>
      <c r="F125" s="579" t="s">
        <v>2320</v>
      </c>
      <c r="G125" s="579" t="s">
        <v>2321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1"/>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2250</v>
      </c>
      <c r="B1" s="1226" t="s">
        <v>2409</v>
      </c>
      <c r="C1" s="1218"/>
      <c r="D1" s="1231"/>
      <c r="E1" s="1559"/>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1923</v>
      </c>
      <c r="B3" s="495" t="e">
        <f ca="1">ROUND(IF(D2="——",C43,IF(C2="万元",B2*10000/D3,B2/D3)),0)</f>
        <v>#DIV/0!</v>
      </c>
      <c r="C3" s="293" t="s">
        <v>2253</v>
      </c>
      <c r="D3" s="292">
        <f>IF(C1="仅计算典型户型",'数据-取费表'!E5,'数据-取费表'!B5)</f>
        <v>191.89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25" t="s">
        <v>2255</v>
      </c>
      <c r="D4" s="3526"/>
      <c r="E4" s="3527" t="s">
        <v>2256</v>
      </c>
      <c r="F4" s="3528"/>
      <c r="G4" s="3525" t="s">
        <v>2257</v>
      </c>
      <c r="H4" s="3526"/>
      <c r="I4" s="3525" t="s">
        <v>2258</v>
      </c>
      <c r="J4" s="3526"/>
      <c r="K4" s="496" t="s">
        <v>2259</v>
      </c>
      <c r="L4" s="3025"/>
      <c r="M4" s="3026"/>
      <c r="N4" s="3026"/>
      <c r="O4" s="3026"/>
      <c r="P4" s="3529" t="s">
        <v>2260</v>
      </c>
      <c r="Q4" s="3530"/>
      <c r="R4" s="3512" t="s">
        <v>2256</v>
      </c>
      <c r="S4" s="3513"/>
      <c r="T4" s="3512" t="s">
        <v>2257</v>
      </c>
      <c r="U4" s="3513"/>
      <c r="V4" s="3535" t="s">
        <v>2258</v>
      </c>
      <c r="W4" s="3535"/>
      <c r="X4" s="1335"/>
      <c r="Y4" s="3512" t="s">
        <v>2260</v>
      </c>
      <c r="Z4" s="3513"/>
      <c r="AA4" s="3522" t="s">
        <v>2256</v>
      </c>
      <c r="AB4" s="3523" t="s">
        <v>2257</v>
      </c>
      <c r="AC4" s="3522" t="s">
        <v>2258</v>
      </c>
    </row>
    <row r="5" spans="1:29" ht="15">
      <c r="A5" s="297"/>
      <c r="B5" s="298"/>
      <c r="C5" s="3538" t="s">
        <v>2261</v>
      </c>
      <c r="D5" s="3539"/>
      <c r="E5" s="3536" t="s">
        <v>2262</v>
      </c>
      <c r="F5" s="3537"/>
      <c r="G5" s="3538" t="s">
        <v>2263</v>
      </c>
      <c r="H5" s="3539"/>
      <c r="I5" s="3538" t="s">
        <v>2264</v>
      </c>
      <c r="J5" s="3539"/>
      <c r="K5" s="496"/>
      <c r="L5" s="3025"/>
      <c r="M5" s="3026"/>
      <c r="N5" s="3026"/>
      <c r="O5" s="3026"/>
      <c r="P5" s="3531"/>
      <c r="Q5" s="3532"/>
      <c r="R5" s="3514"/>
      <c r="S5" s="3515"/>
      <c r="T5" s="3514"/>
      <c r="U5" s="3515"/>
      <c r="V5" s="3535"/>
      <c r="W5" s="3535"/>
      <c r="X5" s="1335"/>
      <c r="Y5" s="3514"/>
      <c r="Z5" s="3515"/>
      <c r="AA5" s="3523"/>
      <c r="AB5" s="3523"/>
      <c r="AC5" s="3523"/>
    </row>
    <row r="6" spans="1:29" ht="15.75" thickBot="1">
      <c r="A6" s="299"/>
      <c r="B6" s="300"/>
      <c r="C6" s="3540" t="s">
        <v>2265</v>
      </c>
      <c r="D6" s="3541"/>
      <c r="E6" s="3542" t="s">
        <v>2265</v>
      </c>
      <c r="F6" s="3543"/>
      <c r="G6" s="3540" t="s">
        <v>2265</v>
      </c>
      <c r="H6" s="3541"/>
      <c r="I6" s="3540" t="s">
        <v>2265</v>
      </c>
      <c r="J6" s="3541"/>
      <c r="K6" s="496" t="s">
        <v>2266</v>
      </c>
      <c r="L6" s="3025"/>
      <c r="M6" s="3026"/>
      <c r="N6" s="3026"/>
      <c r="O6" s="3026"/>
      <c r="P6" s="3533"/>
      <c r="Q6" s="3534"/>
      <c r="R6" s="3514"/>
      <c r="S6" s="3515"/>
      <c r="T6" s="3516"/>
      <c r="U6" s="3517"/>
      <c r="V6" s="3535"/>
      <c r="W6" s="3535"/>
      <c r="X6" s="1335"/>
      <c r="Y6" s="3516"/>
      <c r="Z6" s="3517"/>
      <c r="AA6" s="3524"/>
      <c r="AB6" s="3524"/>
      <c r="AC6" s="3524"/>
    </row>
    <row r="7" spans="1:29" s="25" customFormat="1" ht="15.75" thickBot="1">
      <c r="A7" s="301" t="s">
        <v>2267</v>
      </c>
      <c r="B7" s="302"/>
      <c r="C7" s="303">
        <f>'数据-取费表'!B2</f>
        <v>44195</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10" t="s">
        <v>2268</v>
      </c>
      <c r="Q7" s="3518"/>
      <c r="R7" s="627" t="s">
        <v>25</v>
      </c>
      <c r="S7" s="628">
        <f t="shared" ref="S7:S15" si="0">F7</f>
        <v>0</v>
      </c>
      <c r="T7" s="627" t="s">
        <v>25</v>
      </c>
      <c r="U7" s="628">
        <f t="shared" ref="U7:U15" si="1">H7</f>
        <v>0</v>
      </c>
      <c r="V7" s="627" t="s">
        <v>25</v>
      </c>
      <c r="W7" s="628">
        <f t="shared" ref="W7:W15" si="2">J7</f>
        <v>0</v>
      </c>
      <c r="X7" s="629"/>
      <c r="Y7" s="3510" t="s">
        <v>2268</v>
      </c>
      <c r="Z7" s="3511"/>
      <c r="AA7" s="630" t="e">
        <f>D7/F7</f>
        <v>#DIV/0!</v>
      </c>
      <c r="AB7" s="630" t="e">
        <f>D7/H7</f>
        <v>#DIV/0!</v>
      </c>
      <c r="AC7" s="630" t="e">
        <f>D7/J7</f>
        <v>#DIV/0!</v>
      </c>
    </row>
    <row r="8" spans="1:29" s="25" customFormat="1" ht="15.75" thickBot="1">
      <c r="A8" s="301" t="s">
        <v>2269</v>
      </c>
      <c r="B8" s="302"/>
      <c r="C8" s="307" t="s">
        <v>2892</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10" t="s">
        <v>2271</v>
      </c>
      <c r="Q8" s="3511"/>
      <c r="R8" s="627" t="s">
        <v>25</v>
      </c>
      <c r="S8" s="628">
        <f t="shared" si="0"/>
        <v>0</v>
      </c>
      <c r="T8" s="627" t="s">
        <v>25</v>
      </c>
      <c r="U8" s="628">
        <f t="shared" si="1"/>
        <v>0</v>
      </c>
      <c r="V8" s="627" t="s">
        <v>25</v>
      </c>
      <c r="W8" s="628">
        <f t="shared" si="2"/>
        <v>0</v>
      </c>
      <c r="X8" s="629"/>
      <c r="Y8" s="3510" t="s">
        <v>2271</v>
      </c>
      <c r="Z8" s="3511"/>
      <c r="AA8" s="630" t="e">
        <f t="shared" ref="AA8:AA40" si="3">D8/F8</f>
        <v>#DIV/0!</v>
      </c>
      <c r="AB8" s="630" t="e">
        <f t="shared" ref="AB8:AB40" si="4">D8/H8</f>
        <v>#DIV/0!</v>
      </c>
      <c r="AC8" s="630" t="e">
        <f t="shared" ref="AC8:AC40" si="5">D8/J8</f>
        <v>#DIV/0!</v>
      </c>
    </row>
    <row r="9" spans="1:29" s="25" customFormat="1">
      <c r="A9" s="308" t="s">
        <v>2272</v>
      </c>
      <c r="B9" s="24" t="s">
        <v>2273</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02" t="s">
        <v>2274</v>
      </c>
      <c r="Q9" s="1327" t="str">
        <f t="shared" ref="Q9:Q15" si="6">B9</f>
        <v>用途</v>
      </c>
      <c r="R9" s="627" t="s">
        <v>25</v>
      </c>
      <c r="S9" s="628">
        <f t="shared" si="0"/>
        <v>100</v>
      </c>
      <c r="T9" s="627" t="s">
        <v>25</v>
      </c>
      <c r="U9" s="628">
        <f t="shared" si="1"/>
        <v>100</v>
      </c>
      <c r="V9" s="627" t="s">
        <v>25</v>
      </c>
      <c r="W9" s="628">
        <f t="shared" si="2"/>
        <v>100</v>
      </c>
      <c r="X9" s="629"/>
      <c r="Y9" s="3521" t="s">
        <v>2275</v>
      </c>
      <c r="Z9" s="19" t="str">
        <f t="shared" ref="Z9:Z15" si="7">Q9</f>
        <v>用途</v>
      </c>
      <c r="AA9" s="630">
        <f t="shared" si="3"/>
        <v>1</v>
      </c>
      <c r="AB9" s="630">
        <f t="shared" si="4"/>
        <v>1</v>
      </c>
      <c r="AC9" s="630">
        <f t="shared" si="5"/>
        <v>1</v>
      </c>
    </row>
    <row r="10" spans="1:29" s="317" customFormat="1" ht="27">
      <c r="A10" s="312"/>
      <c r="B10" s="313" t="s">
        <v>2276</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02"/>
      <c r="Q10" s="1327" t="str">
        <f t="shared" si="6"/>
        <v>土地使用年限（年）</v>
      </c>
      <c r="R10" s="627" t="s">
        <v>25</v>
      </c>
      <c r="S10" s="628">
        <f t="shared" si="0"/>
        <v>100</v>
      </c>
      <c r="T10" s="627" t="s">
        <v>25</v>
      </c>
      <c r="U10" s="628">
        <f t="shared" si="1"/>
        <v>100</v>
      </c>
      <c r="V10" s="627" t="s">
        <v>25</v>
      </c>
      <c r="W10" s="628">
        <f t="shared" si="2"/>
        <v>100</v>
      </c>
      <c r="X10" s="629"/>
      <c r="Y10" s="3521"/>
      <c r="Z10" s="19" t="str">
        <f t="shared" si="7"/>
        <v>土地使用年限（年）</v>
      </c>
      <c r="AA10" s="630">
        <f t="shared" si="3"/>
        <v>1</v>
      </c>
      <c r="AB10" s="630">
        <f t="shared" si="4"/>
        <v>1</v>
      </c>
      <c r="AC10" s="630">
        <f t="shared" si="5"/>
        <v>1</v>
      </c>
    </row>
    <row r="11" spans="1:29" ht="15">
      <c r="A11" s="318"/>
      <c r="B11" s="313" t="s">
        <v>2277</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02"/>
      <c r="Q11" s="1327" t="str">
        <f t="shared" si="6"/>
        <v>容积率</v>
      </c>
      <c r="R11" s="627" t="s">
        <v>25</v>
      </c>
      <c r="S11" s="628" t="e">
        <f t="shared" si="0"/>
        <v>#N/A</v>
      </c>
      <c r="T11" s="627" t="s">
        <v>25</v>
      </c>
      <c r="U11" s="628" t="e">
        <f t="shared" si="1"/>
        <v>#N/A</v>
      </c>
      <c r="V11" s="627" t="s">
        <v>25</v>
      </c>
      <c r="W11" s="628" t="e">
        <f t="shared" si="2"/>
        <v>#N/A</v>
      </c>
      <c r="X11" s="629"/>
      <c r="Y11" s="3521"/>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02"/>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02"/>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02"/>
      <c r="Q14" s="1327">
        <f t="shared" si="6"/>
        <v>111</v>
      </c>
      <c r="R14" s="627" t="s">
        <v>25</v>
      </c>
      <c r="S14" s="628">
        <f t="shared" si="0"/>
        <v>100</v>
      </c>
      <c r="T14" s="627" t="s">
        <v>25</v>
      </c>
      <c r="U14" s="628">
        <f t="shared" si="1"/>
        <v>100</v>
      </c>
      <c r="V14" s="627" t="s">
        <v>25</v>
      </c>
      <c r="W14" s="628">
        <f t="shared" si="2"/>
        <v>100</v>
      </c>
      <c r="X14" s="629"/>
      <c r="Y14" s="3521"/>
      <c r="Z14" s="19">
        <f t="shared" si="7"/>
        <v>111</v>
      </c>
      <c r="AA14" s="630">
        <f t="shared" si="3"/>
        <v>1</v>
      </c>
      <c r="AB14" s="630">
        <f t="shared" si="4"/>
        <v>1</v>
      </c>
      <c r="AC14" s="630">
        <f t="shared" si="5"/>
        <v>1</v>
      </c>
    </row>
    <row r="15" spans="1:29" ht="57">
      <c r="A15" s="329" t="s">
        <v>2278</v>
      </c>
      <c r="B15" s="22" t="s">
        <v>2410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19" t="s">
        <v>2279</v>
      </c>
      <c r="Q15" s="1334" t="str">
        <f t="shared" si="6"/>
        <v>产业集聚程度</v>
      </c>
      <c r="R15" s="631" t="s">
        <v>25</v>
      </c>
      <c r="S15" s="632">
        <f t="shared" si="0"/>
        <v>100</v>
      </c>
      <c r="T15" s="631" t="s">
        <v>25</v>
      </c>
      <c r="U15" s="632">
        <f t="shared" si="1"/>
        <v>100</v>
      </c>
      <c r="V15" s="631" t="s">
        <v>25</v>
      </c>
      <c r="W15" s="632">
        <f t="shared" si="2"/>
        <v>100</v>
      </c>
      <c r="X15" s="1335"/>
      <c r="Y15" s="3519" t="s">
        <v>2279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20"/>
      <c r="Q16" s="1334"/>
      <c r="R16" s="631"/>
      <c r="S16" s="632"/>
      <c r="T16" s="631"/>
      <c r="U16" s="632"/>
      <c r="V16" s="631"/>
      <c r="W16" s="632"/>
      <c r="X16" s="1335"/>
      <c r="Y16" s="3520"/>
      <c r="Z16" s="1336"/>
      <c r="AA16" s="1337">
        <v>1</v>
      </c>
      <c r="AB16" s="1337">
        <v>1</v>
      </c>
      <c r="AC16" s="1337">
        <v>1</v>
      </c>
    </row>
    <row r="17" spans="1:29" ht="85.5">
      <c r="A17" s="318"/>
      <c r="B17" s="340" t="s">
        <v>1714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20"/>
      <c r="Q17" s="1334" t="str">
        <f>B17</f>
        <v>交通便捷度</v>
      </c>
      <c r="R17" s="631" t="s">
        <v>25</v>
      </c>
      <c r="S17" s="632">
        <f>F17</f>
        <v>100</v>
      </c>
      <c r="T17" s="631" t="s">
        <v>25</v>
      </c>
      <c r="U17" s="632">
        <f>H17</f>
        <v>100</v>
      </c>
      <c r="V17" s="631" t="s">
        <v>25</v>
      </c>
      <c r="W17" s="632">
        <f>J17</f>
        <v>100</v>
      </c>
      <c r="X17" s="1335"/>
      <c r="Y17" s="3520"/>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20"/>
      <c r="Q18" s="1334"/>
      <c r="R18" s="631"/>
      <c r="S18" s="632"/>
      <c r="T18" s="631"/>
      <c r="U18" s="632"/>
      <c r="V18" s="631"/>
      <c r="W18" s="632"/>
      <c r="X18" s="1335"/>
      <c r="Y18" s="3520"/>
      <c r="Z18" s="1336"/>
      <c r="AA18" s="1337">
        <v>1</v>
      </c>
      <c r="AB18" s="1337">
        <v>1</v>
      </c>
      <c r="AC18" s="1337">
        <v>1</v>
      </c>
    </row>
    <row r="19" spans="1:29" ht="42.75">
      <c r="A19" s="318"/>
      <c r="B19" s="513" t="s">
        <v>2394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20"/>
      <c r="Q19" s="1334" t="str">
        <f>B19</f>
        <v>公共配套设施</v>
      </c>
      <c r="R19" s="631" t="s">
        <v>25</v>
      </c>
      <c r="S19" s="632">
        <f>F19</f>
        <v>100</v>
      </c>
      <c r="T19" s="631" t="s">
        <v>25</v>
      </c>
      <c r="U19" s="632">
        <f>H19</f>
        <v>100</v>
      </c>
      <c r="V19" s="631" t="s">
        <v>25</v>
      </c>
      <c r="W19" s="632">
        <f>J19</f>
        <v>100</v>
      </c>
      <c r="X19" s="1335"/>
      <c r="Y19" s="3520"/>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20"/>
      <c r="Q20" s="1334"/>
      <c r="R20" s="631"/>
      <c r="S20" s="632"/>
      <c r="T20" s="631"/>
      <c r="U20" s="632"/>
      <c r="V20" s="631"/>
      <c r="W20" s="632"/>
      <c r="X20" s="1335"/>
      <c r="Y20" s="3520"/>
      <c r="Z20" s="1336"/>
      <c r="AA20" s="1337">
        <v>1</v>
      </c>
      <c r="AB20" s="1337">
        <v>1</v>
      </c>
      <c r="AC20" s="1337">
        <v>1</v>
      </c>
    </row>
    <row r="21" spans="1:29" ht="28.5">
      <c r="A21" s="318"/>
      <c r="B21" s="515" t="s">
        <v>2395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20"/>
      <c r="Q21" s="1334" t="str">
        <f>B21</f>
        <v>基础设施水平</v>
      </c>
      <c r="R21" s="631" t="s">
        <v>25</v>
      </c>
      <c r="S21" s="632">
        <f>F21</f>
        <v>100</v>
      </c>
      <c r="T21" s="631" t="s">
        <v>25</v>
      </c>
      <c r="U21" s="632">
        <f>H21</f>
        <v>100</v>
      </c>
      <c r="V21" s="631" t="s">
        <v>25</v>
      </c>
      <c r="W21" s="632">
        <f>J21</f>
        <v>100</v>
      </c>
      <c r="X21" s="1335"/>
      <c r="Y21" s="3520"/>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20"/>
      <c r="Q22" s="1334"/>
      <c r="R22" s="631"/>
      <c r="S22" s="632"/>
      <c r="T22" s="631"/>
      <c r="U22" s="632"/>
      <c r="V22" s="631"/>
      <c r="W22" s="632"/>
      <c r="X22" s="1335"/>
      <c r="Y22" s="3520"/>
      <c r="Z22" s="1336"/>
      <c r="AA22" s="1337">
        <v>1</v>
      </c>
      <c r="AB22" s="1337">
        <v>1</v>
      </c>
      <c r="AC22" s="1337">
        <v>1</v>
      </c>
    </row>
    <row r="23" spans="1:29" ht="71.25">
      <c r="A23" s="318"/>
      <c r="B23" s="340" t="s">
        <v>2396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20"/>
      <c r="Q23" s="1334" t="str">
        <f>B23</f>
        <v>环境质量</v>
      </c>
      <c r="R23" s="631" t="s">
        <v>25</v>
      </c>
      <c r="S23" s="632">
        <f>F23</f>
        <v>100</v>
      </c>
      <c r="T23" s="631" t="s">
        <v>25</v>
      </c>
      <c r="U23" s="632">
        <f>H23</f>
        <v>100</v>
      </c>
      <c r="V23" s="631" t="s">
        <v>25</v>
      </c>
      <c r="W23" s="632">
        <f>J23</f>
        <v>100</v>
      </c>
      <c r="X23" s="1335"/>
      <c r="Y23" s="3520"/>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20"/>
      <c r="Q24" s="1334"/>
      <c r="R24" s="631"/>
      <c r="S24" s="632"/>
      <c r="T24" s="631"/>
      <c r="U24" s="632"/>
      <c r="V24" s="631"/>
      <c r="W24" s="632"/>
      <c r="X24" s="1335"/>
      <c r="Y24" s="3520"/>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20"/>
      <c r="Q25" s="1334">
        <f>B25</f>
        <v>111</v>
      </c>
      <c r="R25" s="631" t="s">
        <v>25</v>
      </c>
      <c r="S25" s="632">
        <f>F25</f>
        <v>100</v>
      </c>
      <c r="T25" s="631" t="s">
        <v>25</v>
      </c>
      <c r="U25" s="632">
        <f>H25</f>
        <v>100</v>
      </c>
      <c r="V25" s="631" t="s">
        <v>25</v>
      </c>
      <c r="W25" s="632">
        <f>J25</f>
        <v>100</v>
      </c>
      <c r="X25" s="1335"/>
      <c r="Y25" s="3520"/>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20"/>
      <c r="Q26" s="1334">
        <f t="shared" ref="Q26:Q40" si="11">B26</f>
        <v>111</v>
      </c>
      <c r="R26" s="631" t="s">
        <v>25</v>
      </c>
      <c r="S26" s="632">
        <f>F26</f>
        <v>100</v>
      </c>
      <c r="T26" s="631" t="s">
        <v>25</v>
      </c>
      <c r="U26" s="632">
        <f>H26</f>
        <v>100</v>
      </c>
      <c r="V26" s="631" t="s">
        <v>25</v>
      </c>
      <c r="W26" s="632">
        <f>J26</f>
        <v>100</v>
      </c>
      <c r="X26" s="1335"/>
      <c r="Y26" s="3520"/>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20"/>
      <c r="Q27" s="1327">
        <f t="shared" si="11"/>
        <v>111</v>
      </c>
      <c r="R27" s="627" t="s">
        <v>25</v>
      </c>
      <c r="S27" s="628">
        <f>F27</f>
        <v>100</v>
      </c>
      <c r="T27" s="627" t="s">
        <v>25</v>
      </c>
      <c r="U27" s="628">
        <f>H27</f>
        <v>100</v>
      </c>
      <c r="V27" s="627" t="s">
        <v>25</v>
      </c>
      <c r="W27" s="628">
        <f>J27</f>
        <v>100</v>
      </c>
      <c r="X27" s="629"/>
      <c r="Y27" s="3520"/>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20"/>
      <c r="Q28" s="1334">
        <f t="shared" si="11"/>
        <v>111</v>
      </c>
      <c r="R28" s="631" t="s">
        <v>25</v>
      </c>
      <c r="S28" s="632">
        <f t="shared" ref="S28:S40" si="12">F28</f>
        <v>100</v>
      </c>
      <c r="T28" s="631" t="s">
        <v>25</v>
      </c>
      <c r="U28" s="632">
        <f t="shared" ref="U28:U40" si="13">H28</f>
        <v>100</v>
      </c>
      <c r="V28" s="631" t="s">
        <v>25</v>
      </c>
      <c r="W28" s="632">
        <f t="shared" ref="W28:W40" si="14">J28</f>
        <v>100</v>
      </c>
      <c r="X28" s="1335"/>
      <c r="Y28" s="3520"/>
      <c r="Z28" s="1336">
        <f t="shared" ref="Z28:Z40" si="15">Q28</f>
        <v>111</v>
      </c>
      <c r="AA28" s="1337">
        <f t="shared" si="3"/>
        <v>1</v>
      </c>
      <c r="AB28" s="1337">
        <f t="shared" si="4"/>
        <v>1</v>
      </c>
      <c r="AC28" s="1337">
        <f t="shared" si="5"/>
        <v>1</v>
      </c>
    </row>
    <row r="29" spans="1:29" ht="28.5">
      <c r="A29" s="354" t="s">
        <v>2283</v>
      </c>
      <c r="B29" s="24" t="s">
        <v>2399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07" t="s">
        <v>2285</v>
      </c>
      <c r="Q29" s="1334" t="str">
        <f t="shared" si="11"/>
        <v>建筑类型</v>
      </c>
      <c r="R29" s="631" t="s">
        <v>25</v>
      </c>
      <c r="S29" s="632">
        <f t="shared" si="12"/>
        <v>100</v>
      </c>
      <c r="T29" s="631" t="s">
        <v>25</v>
      </c>
      <c r="U29" s="632">
        <f t="shared" si="13"/>
        <v>100</v>
      </c>
      <c r="V29" s="631" t="s">
        <v>25</v>
      </c>
      <c r="W29" s="632">
        <f t="shared" si="14"/>
        <v>100</v>
      </c>
      <c r="X29" s="1335"/>
      <c r="Y29" s="3508" t="s">
        <v>2285</v>
      </c>
      <c r="Z29" s="1336" t="str">
        <f t="shared" si="15"/>
        <v>建筑类型</v>
      </c>
      <c r="AA29" s="1337">
        <f t="shared" si="3"/>
        <v>1</v>
      </c>
      <c r="AB29" s="1337">
        <f t="shared" si="4"/>
        <v>1</v>
      </c>
      <c r="AC29" s="1337">
        <f t="shared" si="5"/>
        <v>1</v>
      </c>
    </row>
    <row r="30" spans="1:29" s="359" customFormat="1" ht="15">
      <c r="A30" s="356"/>
      <c r="B30" s="313" t="s">
        <v>2286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08"/>
      <c r="Q30" s="633" t="str">
        <f t="shared" si="11"/>
        <v>项目建筑规模</v>
      </c>
      <c r="R30" s="634" t="s">
        <v>25</v>
      </c>
      <c r="S30" s="635" t="e">
        <f t="shared" si="12"/>
        <v>#N/A</v>
      </c>
      <c r="T30" s="634" t="s">
        <v>25</v>
      </c>
      <c r="U30" s="635" t="e">
        <f t="shared" si="13"/>
        <v>#N/A</v>
      </c>
      <c r="V30" s="634" t="s">
        <v>25</v>
      </c>
      <c r="W30" s="635" t="e">
        <f t="shared" si="14"/>
        <v>#N/A</v>
      </c>
      <c r="X30" s="636"/>
      <c r="Y30" s="3508"/>
      <c r="Z30" s="637" t="str">
        <f t="shared" si="15"/>
        <v>项目建筑规模</v>
      </c>
      <c r="AA30" s="1337" t="e">
        <f t="shared" si="3"/>
        <v>#N/A</v>
      </c>
      <c r="AB30" s="1337" t="e">
        <f t="shared" si="4"/>
        <v>#N/A</v>
      </c>
      <c r="AC30" s="1337" t="e">
        <f t="shared" si="5"/>
        <v>#N/A</v>
      </c>
    </row>
    <row r="31" spans="1:29" ht="15">
      <c r="A31" s="360"/>
      <c r="B31" s="313" t="s">
        <v>2287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08"/>
      <c r="Q31" s="1334" t="str">
        <f t="shared" si="11"/>
        <v>建筑结构</v>
      </c>
      <c r="R31" s="631" t="s">
        <v>25</v>
      </c>
      <c r="S31" s="632">
        <f t="shared" si="12"/>
        <v>100</v>
      </c>
      <c r="T31" s="631" t="s">
        <v>25</v>
      </c>
      <c r="U31" s="632">
        <f t="shared" si="13"/>
        <v>100</v>
      </c>
      <c r="V31" s="631" t="s">
        <v>25</v>
      </c>
      <c r="W31" s="632">
        <f t="shared" si="14"/>
        <v>100</v>
      </c>
      <c r="X31" s="1335"/>
      <c r="Y31" s="3508"/>
      <c r="Z31" s="1336" t="str">
        <f t="shared" si="15"/>
        <v>建筑结构</v>
      </c>
      <c r="AA31" s="1337">
        <f t="shared" si="3"/>
        <v>1</v>
      </c>
      <c r="AB31" s="1337">
        <f t="shared" si="4"/>
        <v>1</v>
      </c>
      <c r="AC31" s="1337">
        <f t="shared" si="5"/>
        <v>1</v>
      </c>
    </row>
    <row r="32" spans="1:29" ht="15">
      <c r="A32" s="360"/>
      <c r="B32" s="313" t="s">
        <v>2372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08"/>
      <c r="Q32" s="1334" t="str">
        <f t="shared" si="11"/>
        <v>公共部分装修</v>
      </c>
      <c r="R32" s="631" t="s">
        <v>25</v>
      </c>
      <c r="S32" s="632">
        <f t="shared" si="12"/>
        <v>100</v>
      </c>
      <c r="T32" s="631" t="s">
        <v>25</v>
      </c>
      <c r="U32" s="632">
        <f t="shared" si="13"/>
        <v>100</v>
      </c>
      <c r="V32" s="631" t="s">
        <v>25</v>
      </c>
      <c r="W32" s="632">
        <f t="shared" si="14"/>
        <v>100</v>
      </c>
      <c r="X32" s="1335"/>
      <c r="Y32" s="3508"/>
      <c r="Z32" s="1336" t="str">
        <f t="shared" si="15"/>
        <v>公共部分装修</v>
      </c>
      <c r="AA32" s="1337">
        <f t="shared" si="3"/>
        <v>1</v>
      </c>
      <c r="AB32" s="1337">
        <f t="shared" si="4"/>
        <v>1</v>
      </c>
      <c r="AC32" s="1337">
        <f t="shared" si="5"/>
        <v>1</v>
      </c>
    </row>
    <row r="33" spans="1:29" ht="15">
      <c r="A33" s="360"/>
      <c r="B33" s="313" t="s">
        <v>2373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08"/>
      <c r="Q33" s="1334" t="str">
        <f t="shared" si="11"/>
        <v>成新度</v>
      </c>
      <c r="R33" s="631" t="s">
        <v>25</v>
      </c>
      <c r="S33" s="632" t="e">
        <f t="shared" si="12"/>
        <v>#N/A</v>
      </c>
      <c r="T33" s="631" t="s">
        <v>25</v>
      </c>
      <c r="U33" s="632" t="e">
        <f t="shared" si="13"/>
        <v>#N/A</v>
      </c>
      <c r="V33" s="631" t="s">
        <v>25</v>
      </c>
      <c r="W33" s="632" t="e">
        <f t="shared" si="14"/>
        <v>#N/A</v>
      </c>
      <c r="X33" s="1335"/>
      <c r="Y33" s="3508"/>
      <c r="Z33" s="1336" t="str">
        <f t="shared" si="15"/>
        <v>成新度</v>
      </c>
      <c r="AA33" s="1337" t="e">
        <f t="shared" si="3"/>
        <v>#N/A</v>
      </c>
      <c r="AB33" s="1337" t="e">
        <f t="shared" si="4"/>
        <v>#N/A</v>
      </c>
      <c r="AC33" s="1337" t="e">
        <f t="shared" si="5"/>
        <v>#N/A</v>
      </c>
    </row>
    <row r="34" spans="1:29" s="25" customFormat="1" ht="15">
      <c r="A34" s="361"/>
      <c r="B34" s="313" t="s">
        <v>2401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08"/>
      <c r="Q34" s="1327" t="str">
        <f t="shared" si="11"/>
        <v>物业管理</v>
      </c>
      <c r="R34" s="627" t="s">
        <v>25</v>
      </c>
      <c r="S34" s="628">
        <f t="shared" si="12"/>
        <v>100</v>
      </c>
      <c r="T34" s="627" t="s">
        <v>25</v>
      </c>
      <c r="U34" s="628">
        <f t="shared" si="13"/>
        <v>100</v>
      </c>
      <c r="V34" s="627" t="s">
        <v>25</v>
      </c>
      <c r="W34" s="628">
        <f t="shared" si="14"/>
        <v>100</v>
      </c>
      <c r="X34" s="629"/>
      <c r="Y34" s="3508"/>
      <c r="Z34" s="19" t="str">
        <f t="shared" si="15"/>
        <v>物业管理</v>
      </c>
      <c r="AA34" s="630">
        <f t="shared" si="3"/>
        <v>1</v>
      </c>
      <c r="AB34" s="630">
        <f t="shared" si="4"/>
        <v>1</v>
      </c>
      <c r="AC34" s="630">
        <f t="shared" si="5"/>
        <v>1</v>
      </c>
    </row>
    <row r="35" spans="1:29" ht="15">
      <c r="A35" s="360"/>
      <c r="B35" s="313" t="s">
        <v>2374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08" t="s">
        <v>2285</v>
      </c>
      <c r="Q35" s="1334" t="str">
        <f t="shared" si="11"/>
        <v>市政基础设施</v>
      </c>
      <c r="R35" s="631" t="s">
        <v>25</v>
      </c>
      <c r="S35" s="632">
        <f t="shared" si="12"/>
        <v>100</v>
      </c>
      <c r="T35" s="631" t="s">
        <v>25</v>
      </c>
      <c r="U35" s="632">
        <f t="shared" si="13"/>
        <v>100</v>
      </c>
      <c r="V35" s="631" t="s">
        <v>25</v>
      </c>
      <c r="W35" s="632">
        <f t="shared" si="14"/>
        <v>100</v>
      </c>
      <c r="X35" s="1335"/>
      <c r="Y35" s="3508" t="s">
        <v>2285</v>
      </c>
      <c r="Z35" s="1336" t="str">
        <f t="shared" si="15"/>
        <v>市政基础设施</v>
      </c>
      <c r="AA35" s="1337">
        <f t="shared" si="3"/>
        <v>1</v>
      </c>
      <c r="AB35" s="1337">
        <f t="shared" si="4"/>
        <v>1</v>
      </c>
      <c r="AC35" s="1337">
        <f t="shared" si="5"/>
        <v>1</v>
      </c>
    </row>
    <row r="36" spans="1:29" ht="15">
      <c r="A36" s="360"/>
      <c r="B36" s="313" t="s">
        <v>2379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08"/>
      <c r="Q36" s="1334" t="str">
        <f t="shared" si="11"/>
        <v>内部装修</v>
      </c>
      <c r="R36" s="631" t="s">
        <v>25</v>
      </c>
      <c r="S36" s="632">
        <f t="shared" si="12"/>
        <v>100</v>
      </c>
      <c r="T36" s="631" t="s">
        <v>25</v>
      </c>
      <c r="U36" s="632">
        <f t="shared" si="13"/>
        <v>100</v>
      </c>
      <c r="V36" s="631" t="s">
        <v>25</v>
      </c>
      <c r="W36" s="632">
        <f t="shared" si="14"/>
        <v>100</v>
      </c>
      <c r="X36" s="1335"/>
      <c r="Y36" s="3508"/>
      <c r="Z36" s="1336" t="str">
        <f t="shared" si="15"/>
        <v>内部装修</v>
      </c>
      <c r="AA36" s="1337">
        <f t="shared" si="3"/>
        <v>1</v>
      </c>
      <c r="AB36" s="1337">
        <f t="shared" si="4"/>
        <v>1</v>
      </c>
      <c r="AC36" s="1337">
        <f t="shared" si="5"/>
        <v>1</v>
      </c>
    </row>
    <row r="37" spans="1:29" ht="15">
      <c r="A37" s="360"/>
      <c r="B37" s="313" t="s">
        <v>2411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08"/>
      <c r="Q37" s="1334" t="str">
        <f t="shared" si="11"/>
        <v>内部装修状况</v>
      </c>
      <c r="R37" s="631" t="s">
        <v>25</v>
      </c>
      <c r="S37" s="632">
        <f t="shared" si="12"/>
        <v>100</v>
      </c>
      <c r="T37" s="631" t="s">
        <v>25</v>
      </c>
      <c r="U37" s="632">
        <f t="shared" si="13"/>
        <v>100</v>
      </c>
      <c r="V37" s="631" t="s">
        <v>25</v>
      </c>
      <c r="W37" s="632">
        <f t="shared" si="14"/>
        <v>100</v>
      </c>
      <c r="X37" s="1335"/>
      <c r="Y37" s="350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08"/>
      <c r="Q38" s="633">
        <f t="shared" si="11"/>
        <v>111</v>
      </c>
      <c r="R38" s="634" t="s">
        <v>25</v>
      </c>
      <c r="S38" s="635">
        <f t="shared" si="12"/>
        <v>100</v>
      </c>
      <c r="T38" s="634" t="s">
        <v>25</v>
      </c>
      <c r="U38" s="635">
        <f t="shared" si="13"/>
        <v>100</v>
      </c>
      <c r="V38" s="634" t="s">
        <v>25</v>
      </c>
      <c r="W38" s="635">
        <f t="shared" si="14"/>
        <v>100</v>
      </c>
      <c r="X38" s="636"/>
      <c r="Y38" s="350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08"/>
      <c r="Q39" s="1334">
        <f t="shared" si="11"/>
        <v>111</v>
      </c>
      <c r="R39" s="631" t="s">
        <v>25</v>
      </c>
      <c r="S39" s="632">
        <f t="shared" si="12"/>
        <v>100</v>
      </c>
      <c r="T39" s="631" t="s">
        <v>25</v>
      </c>
      <c r="U39" s="632">
        <f t="shared" si="13"/>
        <v>100</v>
      </c>
      <c r="V39" s="631" t="s">
        <v>25</v>
      </c>
      <c r="W39" s="632">
        <f t="shared" si="14"/>
        <v>100</v>
      </c>
      <c r="X39" s="1335"/>
      <c r="Y39" s="350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09"/>
      <c r="Q40" s="1334">
        <f t="shared" si="11"/>
        <v>111</v>
      </c>
      <c r="R40" s="631" t="s">
        <v>25</v>
      </c>
      <c r="S40" s="632">
        <f t="shared" si="12"/>
        <v>100</v>
      </c>
      <c r="T40" s="631" t="s">
        <v>25</v>
      </c>
      <c r="U40" s="632">
        <f t="shared" si="13"/>
        <v>100</v>
      </c>
      <c r="V40" s="631" t="s">
        <v>25</v>
      </c>
      <c r="W40" s="632">
        <f t="shared" si="14"/>
        <v>100</v>
      </c>
      <c r="X40" s="1335"/>
      <c r="Y40" s="3509"/>
      <c r="Z40" s="1336">
        <f t="shared" si="15"/>
        <v>111</v>
      </c>
      <c r="AA40" s="1337">
        <f t="shared" si="3"/>
        <v>1</v>
      </c>
      <c r="AB40" s="1337">
        <f t="shared" si="4"/>
        <v>1</v>
      </c>
      <c r="AC40" s="1337">
        <f t="shared" si="5"/>
        <v>1</v>
      </c>
    </row>
    <row r="41" spans="1:29" ht="15">
      <c r="A41" s="367" t="s">
        <v>2297</v>
      </c>
      <c r="B41" s="368"/>
      <c r="C41" s="1153" t="s">
        <v>1</v>
      </c>
      <c r="D41" s="1154"/>
      <c r="E41" s="1155"/>
      <c r="F41" s="1156"/>
      <c r="G41" s="1157"/>
      <c r="H41" s="1158"/>
      <c r="I41" s="1155"/>
      <c r="J41" s="1158"/>
      <c r="K41" s="640"/>
      <c r="L41" s="3037"/>
      <c r="N41" s="3026"/>
      <c r="P41" s="3502" t="str">
        <f>A41</f>
        <v>成交单价（元/平方米）</v>
      </c>
      <c r="Q41" s="3502"/>
      <c r="R41" s="3503">
        <f>E41</f>
        <v>0</v>
      </c>
      <c r="S41" s="3503"/>
      <c r="T41" s="3503">
        <f>G41</f>
        <v>0</v>
      </c>
      <c r="U41" s="3503"/>
      <c r="V41" s="3503">
        <f>I41</f>
        <v>0</v>
      </c>
      <c r="W41" s="3503"/>
      <c r="X41" s="618"/>
      <c r="Y41" s="638"/>
      <c r="Z41" s="618"/>
      <c r="AA41" s="618"/>
      <c r="AB41" s="618"/>
      <c r="AC41" s="618"/>
    </row>
    <row r="42" spans="1:29" ht="15.75" thickBot="1">
      <c r="A42" s="374" t="s">
        <v>2380</v>
      </c>
      <c r="B42" s="375"/>
      <c r="C42" s="1159" t="e">
        <f>R43</f>
        <v>#DIV/0!</v>
      </c>
      <c r="D42" s="1797" t="s">
        <v>2753</v>
      </c>
      <c r="E42" s="1160" t="e">
        <f>R42</f>
        <v>#DIV/0!</v>
      </c>
      <c r="F42" s="1799"/>
      <c r="G42" s="1159" t="e">
        <f>T42</f>
        <v>#DIV/0!</v>
      </c>
      <c r="H42" s="1799"/>
      <c r="I42" s="1160" t="e">
        <f>V42</f>
        <v>#DIV/0!</v>
      </c>
      <c r="J42" s="1799"/>
      <c r="K42" s="2512">
        <f>F42+H42+J42</f>
        <v>0</v>
      </c>
      <c r="L42" s="3037"/>
      <c r="N42" s="3026"/>
      <c r="P42" s="3502" t="str">
        <f>A42</f>
        <v>比较价值（元/平方米）</v>
      </c>
      <c r="Q42" s="3502"/>
      <c r="R42" s="3503" t="e">
        <f>IF(E1="售价",ROUND(PRODUCT(R41,AA7:AA40),0),ROUND(PRODUCT(R41,AA7:AA40),1))</f>
        <v>#DIV/0!</v>
      </c>
      <c r="S42" s="3503"/>
      <c r="T42" s="3503" t="e">
        <f>IF(E1="售价",ROUND(PRODUCT(T41,AB7:AB40),0),ROUND(PRODUCT(T41,AB7:AB40),1))</f>
        <v>#DIV/0!</v>
      </c>
      <c r="U42" s="3503"/>
      <c r="V42" s="3503" t="e">
        <f>IF(E1="售价",ROUND(PRODUCT(V41,AC7:AC40),0),ROUND(PRODUCT(V41,AC7:AC40),1))</f>
        <v>#DIV/0!</v>
      </c>
      <c r="W42" s="3503"/>
      <c r="X42" s="618"/>
      <c r="Y42" s="618"/>
      <c r="Z42" s="618"/>
      <c r="AA42" s="618"/>
      <c r="AB42" s="618"/>
      <c r="AC42" s="618"/>
    </row>
    <row r="43" spans="1:29" ht="15.75" thickBot="1">
      <c r="A43" s="378" t="s">
        <v>2403</v>
      </c>
      <c r="B43" s="379"/>
      <c r="C43" s="1161" t="e">
        <f>R43</f>
        <v>#DIV/0!</v>
      </c>
      <c r="D43" s="1161"/>
      <c r="E43" s="1161"/>
      <c r="F43" s="1161"/>
      <c r="G43" s="1161"/>
      <c r="H43" s="1161"/>
      <c r="I43" s="1161"/>
      <c r="J43" s="1161"/>
      <c r="K43" s="641"/>
      <c r="L43" s="3037"/>
      <c r="P43" s="3504" t="str">
        <f>A43</f>
        <v>估价对象XX用房的比较价值（楼面单价，元/平方米）</v>
      </c>
      <c r="Q43" s="3505"/>
      <c r="R43" s="3506" t="e">
        <f>IF(E1="售价",ROUND(IF(D42="简单平均",AVERAGE(R42:V42),R42*F42+T42*H42+V42*J42),0),ROUND(IF(D42="简单平均",AVERAGE(R42:V42),R42*F42+T42*H42+V42*J42),1))</f>
        <v>#DIV/0!</v>
      </c>
      <c r="S43" s="3506"/>
      <c r="T43" s="3506"/>
      <c r="U43" s="3506"/>
      <c r="V43" s="3506"/>
      <c r="W43" s="3506"/>
      <c r="X43" s="618"/>
      <c r="Y43" s="618"/>
      <c r="Z43" s="618"/>
      <c r="AA43" s="618"/>
      <c r="AB43" s="618"/>
      <c r="AC43" s="618"/>
    </row>
    <row r="44" spans="1:29">
      <c r="G44" s="3040"/>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2385</v>
      </c>
      <c r="B51" s="618"/>
      <c r="C51" s="621"/>
      <c r="D51" s="621"/>
      <c r="E51" s="621"/>
      <c r="F51" s="622"/>
      <c r="G51" s="622"/>
      <c r="H51" s="621"/>
      <c r="I51" s="621"/>
      <c r="J51" s="621"/>
      <c r="K51" s="623"/>
      <c r="L51" s="624"/>
      <c r="M51" s="621"/>
      <c r="N51" s="3043"/>
      <c r="O51" s="3043"/>
      <c r="P51" s="389"/>
      <c r="Q51" s="390"/>
    </row>
    <row r="52" spans="1:17" s="394" customFormat="1" ht="15">
      <c r="A52" s="391" t="s">
        <v>2267</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2305</v>
      </c>
      <c r="B54" s="401"/>
      <c r="C54" s="402"/>
      <c r="D54" s="403"/>
      <c r="E54" s="403"/>
      <c r="F54" s="403"/>
      <c r="G54" s="403"/>
      <c r="H54" s="403"/>
      <c r="I54" s="403"/>
      <c r="J54" s="403"/>
      <c r="K54" s="403"/>
      <c r="L54" s="403"/>
      <c r="M54" s="404"/>
      <c r="N54" s="403"/>
      <c r="O54" s="405"/>
      <c r="P54" s="390"/>
      <c r="Q54" s="390"/>
    </row>
    <row r="55" spans="1:17" s="25" customFormat="1" ht="15">
      <c r="A55" s="406" t="s">
        <v>2269</v>
      </c>
      <c r="B55" s="396"/>
      <c r="C55" s="407" t="s">
        <v>2270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2308</v>
      </c>
      <c r="B57" s="413" t="s">
        <v>2273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2276</v>
      </c>
      <c r="C59" s="426" t="s">
        <v>2309</v>
      </c>
      <c r="D59" s="426" t="s">
        <v>2310</v>
      </c>
      <c r="E59" s="426" t="s">
        <v>2311</v>
      </c>
      <c r="F59" s="426" t="s">
        <v>2312</v>
      </c>
      <c r="G59" s="426" t="s">
        <v>2313</v>
      </c>
      <c r="H59" s="426" t="s">
        <v>2314</v>
      </c>
      <c r="I59" s="426" t="s">
        <v>2315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2278</v>
      </c>
      <c r="B70" s="413" t="s">
        <v>2412</v>
      </c>
      <c r="C70" s="461" t="s">
        <v>2317</v>
      </c>
      <c r="D70" s="461" t="s">
        <v>2318</v>
      </c>
      <c r="E70" s="461" t="s">
        <v>2319</v>
      </c>
      <c r="F70" s="461" t="s">
        <v>2320</v>
      </c>
      <c r="G70" s="461" t="s">
        <v>2321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2322</v>
      </c>
      <c r="C72" s="466" t="s">
        <v>2317</v>
      </c>
      <c r="D72" s="466" t="s">
        <v>2318</v>
      </c>
      <c r="E72" s="466" t="s">
        <v>2319</v>
      </c>
      <c r="F72" s="466" t="s">
        <v>2320</v>
      </c>
      <c r="G72" s="466" t="s">
        <v>2321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2323</v>
      </c>
      <c r="C74" s="466" t="s">
        <v>2317</v>
      </c>
      <c r="D74" s="466" t="s">
        <v>2318</v>
      </c>
      <c r="E74" s="466" t="s">
        <v>2319</v>
      </c>
      <c r="F74" s="466" t="s">
        <v>2320</v>
      </c>
      <c r="G74" s="466" t="s">
        <v>2321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2395</v>
      </c>
      <c r="C76" s="426" t="s">
        <v>2324</v>
      </c>
      <c r="D76" s="426" t="s">
        <v>2325</v>
      </c>
      <c r="E76" s="426" t="s">
        <v>2326</v>
      </c>
      <c r="F76" s="426" t="s">
        <v>2327</v>
      </c>
      <c r="G76" s="426" t="s">
        <v>2328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2405</v>
      </c>
      <c r="C78" s="466" t="s">
        <v>2317</v>
      </c>
      <c r="D78" s="466" t="s">
        <v>2318</v>
      </c>
      <c r="E78" s="466" t="s">
        <v>2319</v>
      </c>
      <c r="F78" s="466" t="s">
        <v>2320</v>
      </c>
      <c r="G78" s="466" t="s">
        <v>2321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2283</v>
      </c>
      <c r="B88" s="413" t="s">
        <v>2332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2413</v>
      </c>
      <c r="C106" s="466" t="s">
        <v>2317</v>
      </c>
      <c r="D106" s="466" t="s">
        <v>2318</v>
      </c>
      <c r="E106" s="466" t="s">
        <v>2319</v>
      </c>
      <c r="F106" s="466" t="s">
        <v>2320</v>
      </c>
      <c r="G106" s="466" t="s">
        <v>2321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22"/>
      <c r="E1" s="1559"/>
      <c r="F1" s="1223" t="s">
        <v>2252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1923</v>
      </c>
      <c r="B3" s="495" t="e">
        <f>IF(AND(D2="——",B37="元/平方米"),C39,ROUND(F3*C39/D3,0))</f>
        <v>#DIV/0!</v>
      </c>
      <c r="C3" s="293" t="s">
        <v>2253</v>
      </c>
      <c r="D3" s="292">
        <f>IF(C1="仅计算典型户型",'数据-取费表'!E5,'数据-取费表'!B5)</f>
        <v>191.89</v>
      </c>
      <c r="E3" s="839" t="s">
        <v>2415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25" t="s">
        <v>2255</v>
      </c>
      <c r="D4" s="3526"/>
      <c r="E4" s="3527" t="s">
        <v>2256</v>
      </c>
      <c r="F4" s="3528"/>
      <c r="G4" s="3525" t="s">
        <v>2257</v>
      </c>
      <c r="H4" s="3526"/>
      <c r="I4" s="3525" t="s">
        <v>2258</v>
      </c>
      <c r="J4" s="3526"/>
      <c r="K4" s="496" t="s">
        <v>2259</v>
      </c>
      <c r="L4" s="3025"/>
      <c r="M4" s="3026"/>
      <c r="N4" s="3026"/>
      <c r="O4" s="3026"/>
      <c r="P4" s="3529" t="s">
        <v>2260</v>
      </c>
      <c r="Q4" s="3530"/>
      <c r="R4" s="3512" t="s">
        <v>2256</v>
      </c>
      <c r="S4" s="3513"/>
      <c r="T4" s="3512" t="s">
        <v>2257</v>
      </c>
      <c r="U4" s="3513"/>
      <c r="V4" s="3535" t="s">
        <v>2258</v>
      </c>
      <c r="W4" s="3535"/>
      <c r="X4" s="1335"/>
      <c r="Y4" s="3512" t="s">
        <v>2260</v>
      </c>
      <c r="Z4" s="3513"/>
      <c r="AA4" s="3522" t="s">
        <v>2256</v>
      </c>
      <c r="AB4" s="3523" t="s">
        <v>2257</v>
      </c>
      <c r="AC4" s="3522" t="s">
        <v>2258</v>
      </c>
    </row>
    <row r="5" spans="1:29" ht="15">
      <c r="A5" s="297"/>
      <c r="B5" s="298"/>
      <c r="C5" s="3538" t="s">
        <v>2261</v>
      </c>
      <c r="D5" s="3539"/>
      <c r="E5" s="3536" t="s">
        <v>2262</v>
      </c>
      <c r="F5" s="3537"/>
      <c r="G5" s="3538" t="s">
        <v>2263</v>
      </c>
      <c r="H5" s="3539"/>
      <c r="I5" s="3538" t="s">
        <v>2264</v>
      </c>
      <c r="J5" s="3539"/>
      <c r="K5" s="496"/>
      <c r="L5" s="3025"/>
      <c r="M5" s="3026"/>
      <c r="N5" s="3026"/>
      <c r="O5" s="3026"/>
      <c r="P5" s="3531"/>
      <c r="Q5" s="3532"/>
      <c r="R5" s="3514"/>
      <c r="S5" s="3515"/>
      <c r="T5" s="3514"/>
      <c r="U5" s="3515"/>
      <c r="V5" s="3535"/>
      <c r="W5" s="3535"/>
      <c r="X5" s="1335"/>
      <c r="Y5" s="3514"/>
      <c r="Z5" s="3515"/>
      <c r="AA5" s="3523"/>
      <c r="AB5" s="3523"/>
      <c r="AC5" s="3523"/>
    </row>
    <row r="6" spans="1:29" ht="15.75" thickBot="1">
      <c r="A6" s="299"/>
      <c r="B6" s="300"/>
      <c r="C6" s="3540" t="s">
        <v>2265</v>
      </c>
      <c r="D6" s="3541"/>
      <c r="E6" s="3542" t="s">
        <v>2265</v>
      </c>
      <c r="F6" s="3543"/>
      <c r="G6" s="3540" t="s">
        <v>2265</v>
      </c>
      <c r="H6" s="3541"/>
      <c r="I6" s="3540" t="s">
        <v>2265</v>
      </c>
      <c r="J6" s="3541"/>
      <c r="K6" s="496" t="s">
        <v>2266</v>
      </c>
      <c r="L6" s="3025"/>
      <c r="M6" s="3026"/>
      <c r="N6" s="3026"/>
      <c r="O6" s="3026"/>
      <c r="P6" s="3533"/>
      <c r="Q6" s="3534"/>
      <c r="R6" s="3514"/>
      <c r="S6" s="3515"/>
      <c r="T6" s="3516"/>
      <c r="U6" s="3517"/>
      <c r="V6" s="3535"/>
      <c r="W6" s="3535"/>
      <c r="X6" s="1335"/>
      <c r="Y6" s="3516"/>
      <c r="Z6" s="3517"/>
      <c r="AA6" s="3524"/>
      <c r="AB6" s="3524"/>
      <c r="AC6" s="3524"/>
    </row>
    <row r="7" spans="1:29" s="25" customFormat="1" ht="15.75" thickBot="1">
      <c r="A7" s="301" t="s">
        <v>2267</v>
      </c>
      <c r="B7" s="302"/>
      <c r="C7" s="303">
        <f>'数据-取费表'!B2</f>
        <v>44195</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10" t="s">
        <v>2268</v>
      </c>
      <c r="Q7" s="3518"/>
      <c r="R7" s="627" t="s">
        <v>25</v>
      </c>
      <c r="S7" s="628">
        <f t="shared" ref="S7:S14" si="0">F7</f>
        <v>0</v>
      </c>
      <c r="T7" s="627" t="s">
        <v>25</v>
      </c>
      <c r="U7" s="628">
        <f t="shared" ref="U7:U14" si="1">H7</f>
        <v>0</v>
      </c>
      <c r="V7" s="627" t="s">
        <v>25</v>
      </c>
      <c r="W7" s="628">
        <f t="shared" ref="W7:W14" si="2">J7</f>
        <v>0</v>
      </c>
      <c r="X7" s="629"/>
      <c r="Y7" s="3510" t="s">
        <v>2268</v>
      </c>
      <c r="Z7" s="3511"/>
      <c r="AA7" s="630" t="e">
        <f>D7/F7</f>
        <v>#DIV/0!</v>
      </c>
      <c r="AB7" s="630" t="e">
        <f>D7/H7</f>
        <v>#DIV/0!</v>
      </c>
      <c r="AC7" s="630" t="e">
        <f>D7/J7</f>
        <v>#DIV/0!</v>
      </c>
    </row>
    <row r="8" spans="1:29" s="25" customFormat="1" ht="15.75" thickBot="1">
      <c r="A8" s="301" t="s">
        <v>2269</v>
      </c>
      <c r="B8" s="302"/>
      <c r="C8" s="307" t="s">
        <v>2270</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10" t="s">
        <v>2271</v>
      </c>
      <c r="Q8" s="3511"/>
      <c r="R8" s="627" t="s">
        <v>25</v>
      </c>
      <c r="S8" s="628">
        <f t="shared" si="0"/>
        <v>0</v>
      </c>
      <c r="T8" s="627" t="s">
        <v>25</v>
      </c>
      <c r="U8" s="628">
        <f t="shared" si="1"/>
        <v>0</v>
      </c>
      <c r="V8" s="627" t="s">
        <v>25</v>
      </c>
      <c r="W8" s="628">
        <f t="shared" si="2"/>
        <v>0</v>
      </c>
      <c r="X8" s="629"/>
      <c r="Y8" s="3510" t="s">
        <v>2271</v>
      </c>
      <c r="Z8" s="3511"/>
      <c r="AA8" s="630" t="e">
        <f t="shared" ref="AA8:AA36" si="3">D8/F8</f>
        <v>#DIV/0!</v>
      </c>
      <c r="AB8" s="630" t="e">
        <f t="shared" ref="AB8:AB36" si="4">D8/H8</f>
        <v>#DIV/0!</v>
      </c>
      <c r="AC8" s="630" t="e">
        <f t="shared" ref="AC8:AC36" si="5">D8/J8</f>
        <v>#DIV/0!</v>
      </c>
    </row>
    <row r="9" spans="1:29" s="25" customFormat="1">
      <c r="A9" s="21" t="s">
        <v>2272</v>
      </c>
      <c r="B9" s="522" t="s">
        <v>2273</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02" t="s">
        <v>2274</v>
      </c>
      <c r="Q9" s="1327" t="str">
        <f t="shared" ref="Q9:Q14" si="6">B9</f>
        <v>用途</v>
      </c>
      <c r="R9" s="627" t="s">
        <v>25</v>
      </c>
      <c r="S9" s="628">
        <f t="shared" si="0"/>
        <v>100</v>
      </c>
      <c r="T9" s="627" t="s">
        <v>25</v>
      </c>
      <c r="U9" s="628">
        <f t="shared" si="1"/>
        <v>100</v>
      </c>
      <c r="V9" s="627" t="s">
        <v>25</v>
      </c>
      <c r="W9" s="628">
        <f t="shared" si="2"/>
        <v>100</v>
      </c>
      <c r="X9" s="629"/>
      <c r="Y9" s="3521" t="s">
        <v>2275</v>
      </c>
      <c r="Z9" s="19" t="str">
        <f t="shared" ref="Z9:Z14" si="7">Q9</f>
        <v>用途</v>
      </c>
      <c r="AA9" s="630">
        <f t="shared" si="3"/>
        <v>1</v>
      </c>
      <c r="AB9" s="630">
        <f t="shared" si="4"/>
        <v>1</v>
      </c>
      <c r="AC9" s="630">
        <f t="shared" si="5"/>
        <v>1</v>
      </c>
    </row>
    <row r="10" spans="1:29" s="317" customFormat="1" ht="27">
      <c r="A10" s="523"/>
      <c r="B10" s="524" t="s">
        <v>2276</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02"/>
      <c r="Q10" s="1327" t="str">
        <f t="shared" si="6"/>
        <v>土地使用年限（年）</v>
      </c>
      <c r="R10" s="627" t="s">
        <v>25</v>
      </c>
      <c r="S10" s="628">
        <f t="shared" si="0"/>
        <v>100</v>
      </c>
      <c r="T10" s="627" t="s">
        <v>25</v>
      </c>
      <c r="U10" s="628">
        <f t="shared" si="1"/>
        <v>100</v>
      </c>
      <c r="V10" s="627" t="s">
        <v>25</v>
      </c>
      <c r="W10" s="628">
        <f t="shared" si="2"/>
        <v>100</v>
      </c>
      <c r="X10" s="629"/>
      <c r="Y10" s="352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02"/>
      <c r="Q11" s="1327">
        <f t="shared" si="6"/>
        <v>111</v>
      </c>
      <c r="R11" s="627" t="s">
        <v>25</v>
      </c>
      <c r="S11" s="628">
        <f t="shared" si="0"/>
        <v>100</v>
      </c>
      <c r="T11" s="627" t="s">
        <v>25</v>
      </c>
      <c r="U11" s="628">
        <f t="shared" si="1"/>
        <v>100</v>
      </c>
      <c r="V11" s="627" t="s">
        <v>25</v>
      </c>
      <c r="W11" s="628">
        <f t="shared" si="2"/>
        <v>100</v>
      </c>
      <c r="X11" s="629"/>
      <c r="Y11" s="352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02"/>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02"/>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85.5">
      <c r="A14" s="294" t="s">
        <v>2278</v>
      </c>
      <c r="B14" s="511" t="s">
        <v>2416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19" t="s">
        <v>2279</v>
      </c>
      <c r="Q14" s="1334" t="str">
        <f t="shared" si="6"/>
        <v>交通便捷度</v>
      </c>
      <c r="R14" s="631" t="s">
        <v>25</v>
      </c>
      <c r="S14" s="632">
        <f t="shared" si="0"/>
        <v>100</v>
      </c>
      <c r="T14" s="631" t="s">
        <v>25</v>
      </c>
      <c r="U14" s="632">
        <f t="shared" si="1"/>
        <v>100</v>
      </c>
      <c r="V14" s="631" t="s">
        <v>25</v>
      </c>
      <c r="W14" s="632">
        <f t="shared" si="2"/>
        <v>100</v>
      </c>
      <c r="X14" s="1335"/>
      <c r="Y14" s="3519" t="s">
        <v>2279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20"/>
      <c r="Q15" s="1334"/>
      <c r="R15" s="631"/>
      <c r="S15" s="632"/>
      <c r="T15" s="631"/>
      <c r="U15" s="632"/>
      <c r="V15" s="631"/>
      <c r="W15" s="632"/>
      <c r="X15" s="1335"/>
      <c r="Y15" s="3520"/>
      <c r="Z15" s="1336"/>
      <c r="AA15" s="1337">
        <v>1</v>
      </c>
      <c r="AB15" s="1337">
        <v>1</v>
      </c>
      <c r="AC15" s="1337">
        <v>1</v>
      </c>
    </row>
    <row r="16" spans="1:29" ht="42.75">
      <c r="A16" s="297"/>
      <c r="B16" s="513" t="s">
        <v>2394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20"/>
      <c r="Q16" s="1334" t="str">
        <f>B16</f>
        <v>公共配套设施</v>
      </c>
      <c r="R16" s="631" t="s">
        <v>25</v>
      </c>
      <c r="S16" s="632">
        <f>F16</f>
        <v>100</v>
      </c>
      <c r="T16" s="631" t="s">
        <v>25</v>
      </c>
      <c r="U16" s="632">
        <f>H16</f>
        <v>100</v>
      </c>
      <c r="V16" s="631" t="s">
        <v>25</v>
      </c>
      <c r="W16" s="632">
        <f>J16</f>
        <v>100</v>
      </c>
      <c r="X16" s="1335"/>
      <c r="Y16" s="352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20"/>
      <c r="Q17" s="1334"/>
      <c r="R17" s="631"/>
      <c r="S17" s="632"/>
      <c r="T17" s="631"/>
      <c r="U17" s="632"/>
      <c r="V17" s="631"/>
      <c r="W17" s="632"/>
      <c r="X17" s="1335"/>
      <c r="Y17" s="3520"/>
      <c r="Z17" s="1336"/>
      <c r="AA17" s="1337">
        <v>1</v>
      </c>
      <c r="AB17" s="1337">
        <v>1</v>
      </c>
      <c r="AC17" s="1337">
        <v>1</v>
      </c>
    </row>
    <row r="18" spans="1:29" ht="28.5">
      <c r="A18" s="297"/>
      <c r="B18" s="515" t="s">
        <v>2395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20"/>
      <c r="Q18" s="1334" t="str">
        <f>B18</f>
        <v>基础设施水平</v>
      </c>
      <c r="R18" s="631" t="s">
        <v>25</v>
      </c>
      <c r="S18" s="632">
        <f>F18</f>
        <v>100</v>
      </c>
      <c r="T18" s="631" t="s">
        <v>25</v>
      </c>
      <c r="U18" s="632">
        <f>H18</f>
        <v>100</v>
      </c>
      <c r="V18" s="631" t="s">
        <v>25</v>
      </c>
      <c r="W18" s="632">
        <f>J18</f>
        <v>100</v>
      </c>
      <c r="X18" s="1335"/>
      <c r="Y18" s="352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20"/>
      <c r="Q19" s="1334"/>
      <c r="R19" s="631"/>
      <c r="S19" s="632"/>
      <c r="T19" s="631"/>
      <c r="U19" s="632"/>
      <c r="V19" s="631"/>
      <c r="W19" s="632"/>
      <c r="X19" s="1335"/>
      <c r="Y19" s="3520"/>
      <c r="Z19" s="1336"/>
      <c r="AA19" s="1337">
        <v>1</v>
      </c>
      <c r="AB19" s="1337">
        <v>1</v>
      </c>
      <c r="AC19" s="1337">
        <v>1</v>
      </c>
    </row>
    <row r="20" spans="1:29" ht="57">
      <c r="A20" s="297"/>
      <c r="B20" s="513" t="s">
        <v>2417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20"/>
      <c r="Q20" s="1334" t="str">
        <f>B20</f>
        <v>自然及人文环境</v>
      </c>
      <c r="R20" s="631" t="s">
        <v>25</v>
      </c>
      <c r="S20" s="632">
        <f>F20</f>
        <v>100</v>
      </c>
      <c r="T20" s="631" t="s">
        <v>25</v>
      </c>
      <c r="U20" s="632">
        <f>H20</f>
        <v>100</v>
      </c>
      <c r="V20" s="631" t="s">
        <v>25</v>
      </c>
      <c r="W20" s="632">
        <f>J20</f>
        <v>100</v>
      </c>
      <c r="X20" s="1335"/>
      <c r="Y20" s="352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20"/>
      <c r="Q21" s="1334"/>
      <c r="R21" s="631"/>
      <c r="S21" s="632"/>
      <c r="T21" s="631"/>
      <c r="U21" s="632"/>
      <c r="V21" s="631"/>
      <c r="W21" s="632"/>
      <c r="X21" s="1335"/>
      <c r="Y21" s="3520"/>
      <c r="Z21" s="1336"/>
      <c r="AA21" s="1337">
        <v>1</v>
      </c>
      <c r="AB21" s="1337">
        <v>1</v>
      </c>
      <c r="AC21" s="1337">
        <v>1</v>
      </c>
    </row>
    <row r="22" spans="1:29" ht="15">
      <c r="A22" s="297"/>
      <c r="B22" s="513" t="s">
        <v>2418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20"/>
      <c r="Q22" s="1334" t="str">
        <f>B22</f>
        <v>楼层</v>
      </c>
      <c r="R22" s="631" t="s">
        <v>25</v>
      </c>
      <c r="S22" s="632">
        <f>F22</f>
        <v>100</v>
      </c>
      <c r="T22" s="631" t="s">
        <v>25</v>
      </c>
      <c r="U22" s="632">
        <f>H22</f>
        <v>100</v>
      </c>
      <c r="V22" s="631" t="s">
        <v>25</v>
      </c>
      <c r="W22" s="632">
        <f>J22</f>
        <v>100</v>
      </c>
      <c r="X22" s="1335"/>
      <c r="Y22" s="352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20"/>
      <c r="Q23" s="1334">
        <f>B23</f>
        <v>111</v>
      </c>
      <c r="R23" s="631" t="s">
        <v>25</v>
      </c>
      <c r="S23" s="632">
        <f>F23</f>
        <v>100</v>
      </c>
      <c r="T23" s="631" t="s">
        <v>25</v>
      </c>
      <c r="U23" s="632">
        <f>H23</f>
        <v>100</v>
      </c>
      <c r="V23" s="631" t="s">
        <v>25</v>
      </c>
      <c r="W23" s="632">
        <f>J23</f>
        <v>100</v>
      </c>
      <c r="X23" s="1335"/>
      <c r="Y23" s="352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20"/>
      <c r="Q24" s="1334">
        <f t="shared" ref="Q24:Q36" si="11">B24</f>
        <v>111</v>
      </c>
      <c r="R24" s="631" t="s">
        <v>25</v>
      </c>
      <c r="S24" s="632">
        <f>F24</f>
        <v>100</v>
      </c>
      <c r="T24" s="631" t="s">
        <v>25</v>
      </c>
      <c r="U24" s="632">
        <f>H24</f>
        <v>100</v>
      </c>
      <c r="V24" s="631" t="s">
        <v>25</v>
      </c>
      <c r="W24" s="632">
        <f>J24</f>
        <v>100</v>
      </c>
      <c r="X24" s="1335"/>
      <c r="Y24" s="352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20"/>
      <c r="Q25" s="1327">
        <f t="shared" si="11"/>
        <v>111</v>
      </c>
      <c r="R25" s="627" t="s">
        <v>25</v>
      </c>
      <c r="S25" s="628">
        <f>F25</f>
        <v>100</v>
      </c>
      <c r="T25" s="627" t="s">
        <v>25</v>
      </c>
      <c r="U25" s="628">
        <f>H25</f>
        <v>100</v>
      </c>
      <c r="V25" s="627" t="s">
        <v>25</v>
      </c>
      <c r="W25" s="628">
        <f>J25</f>
        <v>100</v>
      </c>
      <c r="X25" s="629"/>
      <c r="Y25" s="3520"/>
      <c r="Z25" s="19">
        <f>Q25</f>
        <v>111</v>
      </c>
      <c r="AA25" s="1337">
        <f>D25/F25</f>
        <v>1</v>
      </c>
      <c r="AB25" s="1337">
        <f>D25/H25</f>
        <v>1</v>
      </c>
      <c r="AC25" s="1337">
        <f>D25/J25</f>
        <v>1</v>
      </c>
    </row>
    <row r="26" spans="1:29" ht="28.5">
      <c r="A26" s="533" t="s">
        <v>2283</v>
      </c>
      <c r="B26" s="23" t="s">
        <v>2419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07" t="s">
        <v>2285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8" t="s">
        <v>2285</v>
      </c>
      <c r="Z26" s="1336" t="str">
        <f t="shared" ref="Z26:Z36" si="15">Q26</f>
        <v>配套类型</v>
      </c>
      <c r="AA26" s="1337">
        <f t="shared" si="3"/>
        <v>1</v>
      </c>
      <c r="AB26" s="1337">
        <f t="shared" si="4"/>
        <v>1</v>
      </c>
      <c r="AC26" s="1337">
        <f t="shared" si="5"/>
        <v>1</v>
      </c>
    </row>
    <row r="27" spans="1:29" s="359" customFormat="1" ht="15">
      <c r="A27" s="534"/>
      <c r="B27" s="535" t="s">
        <v>2420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08"/>
      <c r="Q27" s="633" t="str">
        <f t="shared" si="11"/>
        <v>项目停车位配比</v>
      </c>
      <c r="R27" s="634" t="s">
        <v>25</v>
      </c>
      <c r="S27" s="635">
        <f t="shared" si="12"/>
        <v>100</v>
      </c>
      <c r="T27" s="634" t="s">
        <v>25</v>
      </c>
      <c r="U27" s="635">
        <f t="shared" si="13"/>
        <v>100</v>
      </c>
      <c r="V27" s="634" t="s">
        <v>25</v>
      </c>
      <c r="W27" s="635">
        <f t="shared" si="14"/>
        <v>100</v>
      </c>
      <c r="X27" s="636"/>
      <c r="Y27" s="3508"/>
      <c r="Z27" s="637" t="str">
        <f t="shared" si="15"/>
        <v>项目停车位配比</v>
      </c>
      <c r="AA27" s="1337">
        <f t="shared" si="3"/>
        <v>1</v>
      </c>
      <c r="AB27" s="1337">
        <f t="shared" si="4"/>
        <v>1</v>
      </c>
      <c r="AC27" s="1337">
        <f t="shared" si="5"/>
        <v>1</v>
      </c>
    </row>
    <row r="28" spans="1:29" ht="15">
      <c r="A28" s="537"/>
      <c r="B28" s="535" t="s">
        <v>2421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08"/>
      <c r="Q28" s="1334" t="str">
        <f t="shared" si="11"/>
        <v>公共部分装修</v>
      </c>
      <c r="R28" s="631" t="s">
        <v>25</v>
      </c>
      <c r="S28" s="632">
        <f t="shared" si="12"/>
        <v>100</v>
      </c>
      <c r="T28" s="631" t="s">
        <v>25</v>
      </c>
      <c r="U28" s="632">
        <f t="shared" si="13"/>
        <v>100</v>
      </c>
      <c r="V28" s="631" t="s">
        <v>25</v>
      </c>
      <c r="W28" s="632">
        <f t="shared" si="14"/>
        <v>100</v>
      </c>
      <c r="X28" s="1335"/>
      <c r="Y28" s="3508"/>
      <c r="Z28" s="1336" t="str">
        <f t="shared" si="15"/>
        <v>公共部分装修</v>
      </c>
      <c r="AA28" s="1337">
        <f t="shared" si="3"/>
        <v>1</v>
      </c>
      <c r="AB28" s="1337">
        <f t="shared" si="4"/>
        <v>1</v>
      </c>
      <c r="AC28" s="1337">
        <f t="shared" si="5"/>
        <v>1</v>
      </c>
    </row>
    <row r="29" spans="1:29" ht="15">
      <c r="A29" s="537"/>
      <c r="B29" s="535" t="s">
        <v>2422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08"/>
      <c r="Q29" s="1334" t="str">
        <f t="shared" si="11"/>
        <v>成新率</v>
      </c>
      <c r="R29" s="631" t="s">
        <v>25</v>
      </c>
      <c r="S29" s="632" t="e">
        <f t="shared" si="12"/>
        <v>#N/A</v>
      </c>
      <c r="T29" s="631" t="s">
        <v>25</v>
      </c>
      <c r="U29" s="632" t="e">
        <f t="shared" si="13"/>
        <v>#N/A</v>
      </c>
      <c r="V29" s="631" t="s">
        <v>25</v>
      </c>
      <c r="W29" s="632" t="e">
        <f t="shared" si="14"/>
        <v>#N/A</v>
      </c>
      <c r="X29" s="1335"/>
      <c r="Y29" s="3508"/>
      <c r="Z29" s="1336" t="str">
        <f t="shared" si="15"/>
        <v>成新率</v>
      </c>
      <c r="AA29" s="1337" t="e">
        <f t="shared" si="3"/>
        <v>#N/A</v>
      </c>
      <c r="AB29" s="1337" t="e">
        <f t="shared" si="4"/>
        <v>#N/A</v>
      </c>
      <c r="AC29" s="1337" t="e">
        <f t="shared" si="5"/>
        <v>#N/A</v>
      </c>
    </row>
    <row r="30" spans="1:29" ht="15">
      <c r="A30" s="537"/>
      <c r="B30" s="535" t="s">
        <v>2423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08"/>
      <c r="Q30" s="1334" t="str">
        <f t="shared" si="11"/>
        <v>物业等级</v>
      </c>
      <c r="R30" s="631" t="s">
        <v>25</v>
      </c>
      <c r="S30" s="632">
        <f t="shared" si="12"/>
        <v>100</v>
      </c>
      <c r="T30" s="631" t="s">
        <v>25</v>
      </c>
      <c r="U30" s="632">
        <f t="shared" si="13"/>
        <v>100</v>
      </c>
      <c r="V30" s="631" t="s">
        <v>25</v>
      </c>
      <c r="W30" s="632">
        <f t="shared" si="14"/>
        <v>100</v>
      </c>
      <c r="X30" s="1335"/>
      <c r="Y30" s="3508"/>
      <c r="Z30" s="1336" t="str">
        <f t="shared" si="15"/>
        <v>物业等级</v>
      </c>
      <c r="AA30" s="1337">
        <f t="shared" si="3"/>
        <v>1</v>
      </c>
      <c r="AB30" s="1337">
        <f t="shared" si="4"/>
        <v>1</v>
      </c>
      <c r="AC30" s="1337">
        <f t="shared" si="5"/>
        <v>1</v>
      </c>
    </row>
    <row r="31" spans="1:29" s="25" customFormat="1" ht="15">
      <c r="A31" s="539"/>
      <c r="B31" s="535" t="s">
        <v>2424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08"/>
      <c r="Q31" s="1327" t="str">
        <f t="shared" si="11"/>
        <v>停车位面积</v>
      </c>
      <c r="R31" s="627" t="s">
        <v>25</v>
      </c>
      <c r="S31" s="628" t="e">
        <f t="shared" si="12"/>
        <v>#N/A</v>
      </c>
      <c r="T31" s="627" t="s">
        <v>25</v>
      </c>
      <c r="U31" s="628" t="e">
        <f t="shared" si="13"/>
        <v>#N/A</v>
      </c>
      <c r="V31" s="627" t="s">
        <v>25</v>
      </c>
      <c r="W31" s="628" t="e">
        <f t="shared" si="14"/>
        <v>#N/A</v>
      </c>
      <c r="X31" s="629"/>
      <c r="Y31" s="3508"/>
      <c r="Z31" s="19" t="str">
        <f t="shared" si="15"/>
        <v>停车位面积</v>
      </c>
      <c r="AA31" s="630" t="e">
        <f t="shared" si="3"/>
        <v>#N/A</v>
      </c>
      <c r="AB31" s="630" t="e">
        <f t="shared" si="4"/>
        <v>#N/A</v>
      </c>
      <c r="AC31" s="630" t="e">
        <f t="shared" si="5"/>
        <v>#N/A</v>
      </c>
    </row>
    <row r="32" spans="1:29" ht="15">
      <c r="A32" s="537"/>
      <c r="B32" s="535" t="s">
        <v>2425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08" t="s">
        <v>2285</v>
      </c>
      <c r="Q32" s="1334" t="str">
        <f t="shared" si="11"/>
        <v>车位类型</v>
      </c>
      <c r="R32" s="631" t="s">
        <v>25</v>
      </c>
      <c r="S32" s="632">
        <f t="shared" si="12"/>
        <v>100</v>
      </c>
      <c r="T32" s="631" t="s">
        <v>25</v>
      </c>
      <c r="U32" s="632">
        <f t="shared" si="13"/>
        <v>100</v>
      </c>
      <c r="V32" s="631" t="s">
        <v>25</v>
      </c>
      <c r="W32" s="632">
        <f t="shared" si="14"/>
        <v>100</v>
      </c>
      <c r="X32" s="1335"/>
      <c r="Y32" s="3508" t="s">
        <v>2285</v>
      </c>
      <c r="Z32" s="1336" t="str">
        <f t="shared" si="15"/>
        <v>车位类型</v>
      </c>
      <c r="AA32" s="1337">
        <f t="shared" si="3"/>
        <v>1</v>
      </c>
      <c r="AB32" s="1337">
        <f t="shared" si="4"/>
        <v>1</v>
      </c>
      <c r="AC32" s="1337">
        <f t="shared" si="5"/>
        <v>1</v>
      </c>
    </row>
    <row r="33" spans="1:29" ht="15">
      <c r="A33" s="537"/>
      <c r="B33" s="535" t="s">
        <v>2426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08"/>
      <c r="Q33" s="1334" t="str">
        <f t="shared" si="11"/>
        <v>是否直接入户</v>
      </c>
      <c r="R33" s="631" t="s">
        <v>25</v>
      </c>
      <c r="S33" s="632">
        <f t="shared" si="12"/>
        <v>100</v>
      </c>
      <c r="T33" s="631" t="s">
        <v>25</v>
      </c>
      <c r="U33" s="632">
        <f t="shared" si="13"/>
        <v>100</v>
      </c>
      <c r="V33" s="631" t="s">
        <v>25</v>
      </c>
      <c r="W33" s="632">
        <f t="shared" si="14"/>
        <v>100</v>
      </c>
      <c r="X33" s="1335"/>
      <c r="Y33" s="350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08"/>
      <c r="Q34" s="1334">
        <f t="shared" si="11"/>
        <v>111</v>
      </c>
      <c r="R34" s="631" t="s">
        <v>25</v>
      </c>
      <c r="S34" s="632">
        <f t="shared" si="12"/>
        <v>100</v>
      </c>
      <c r="T34" s="631" t="s">
        <v>25</v>
      </c>
      <c r="U34" s="632">
        <f t="shared" si="13"/>
        <v>100</v>
      </c>
      <c r="V34" s="631" t="s">
        <v>25</v>
      </c>
      <c r="W34" s="632">
        <f t="shared" si="14"/>
        <v>100</v>
      </c>
      <c r="X34" s="1335"/>
      <c r="Y34" s="350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08"/>
      <c r="Q35" s="633">
        <f t="shared" si="11"/>
        <v>111</v>
      </c>
      <c r="R35" s="634" t="s">
        <v>25</v>
      </c>
      <c r="S35" s="635">
        <f t="shared" si="12"/>
        <v>100</v>
      </c>
      <c r="T35" s="634" t="s">
        <v>25</v>
      </c>
      <c r="U35" s="635">
        <f t="shared" si="13"/>
        <v>100</v>
      </c>
      <c r="V35" s="634" t="s">
        <v>25</v>
      </c>
      <c r="W35" s="635">
        <f t="shared" si="14"/>
        <v>100</v>
      </c>
      <c r="X35" s="636"/>
      <c r="Y35" s="350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08"/>
      <c r="Q36" s="1334">
        <f t="shared" si="11"/>
        <v>111</v>
      </c>
      <c r="R36" s="631" t="s">
        <v>25</v>
      </c>
      <c r="S36" s="632">
        <f t="shared" si="12"/>
        <v>100</v>
      </c>
      <c r="T36" s="631" t="s">
        <v>25</v>
      </c>
      <c r="U36" s="632">
        <f t="shared" si="13"/>
        <v>100</v>
      </c>
      <c r="V36" s="631" t="s">
        <v>25</v>
      </c>
      <c r="W36" s="632">
        <f t="shared" si="14"/>
        <v>100</v>
      </c>
      <c r="X36" s="1335"/>
      <c r="Y36" s="3508"/>
      <c r="Z36" s="1336">
        <f t="shared" si="15"/>
        <v>111</v>
      </c>
      <c r="AA36" s="1337">
        <f t="shared" si="3"/>
        <v>1</v>
      </c>
      <c r="AB36" s="1337">
        <f t="shared" si="4"/>
        <v>1</v>
      </c>
      <c r="AC36" s="1337">
        <f t="shared" si="5"/>
        <v>1</v>
      </c>
    </row>
    <row r="37" spans="1:29" ht="15">
      <c r="A37" s="367" t="s">
        <v>2427</v>
      </c>
      <c r="B37" s="840" t="s">
        <v>2428</v>
      </c>
      <c r="C37" s="1153" t="s">
        <v>1</v>
      </c>
      <c r="D37" s="1154"/>
      <c r="E37" s="1155"/>
      <c r="F37" s="1156"/>
      <c r="G37" s="1157"/>
      <c r="H37" s="1158"/>
      <c r="I37" s="1155"/>
      <c r="J37" s="1158"/>
      <c r="K37" s="503"/>
      <c r="L37" s="3037"/>
      <c r="N37" s="3026"/>
      <c r="P37" s="3502" t="str">
        <f>A37</f>
        <v>成交单价</v>
      </c>
      <c r="Q37" s="3502"/>
      <c r="R37" s="3503">
        <f>E37</f>
        <v>0</v>
      </c>
      <c r="S37" s="3503"/>
      <c r="T37" s="3503">
        <f>G37</f>
        <v>0</v>
      </c>
      <c r="U37" s="3503"/>
      <c r="V37" s="3503">
        <f>I37</f>
        <v>0</v>
      </c>
      <c r="W37" s="3503"/>
      <c r="X37" s="618"/>
      <c r="Y37" s="638"/>
      <c r="Z37" s="618"/>
      <c r="AA37" s="618"/>
      <c r="AB37" s="618"/>
      <c r="AC37" s="618"/>
    </row>
    <row r="38" spans="1:29" ht="15.75" thickBot="1">
      <c r="A38" s="374" t="s">
        <v>2429</v>
      </c>
      <c r="B38" s="375" t="str">
        <f>B37</f>
        <v>元/平方米</v>
      </c>
      <c r="C38" s="1159" t="e">
        <f>R39</f>
        <v>#DIV/0!</v>
      </c>
      <c r="D38" s="1797" t="s">
        <v>2753</v>
      </c>
      <c r="E38" s="1160" t="e">
        <f>R38</f>
        <v>#DIV/0!</v>
      </c>
      <c r="F38" s="1799"/>
      <c r="G38" s="1159" t="e">
        <f>T38</f>
        <v>#DIV/0!</v>
      </c>
      <c r="H38" s="1799"/>
      <c r="I38" s="1160" t="e">
        <f>V38</f>
        <v>#DIV/0!</v>
      </c>
      <c r="J38" s="1799"/>
      <c r="K38" s="2512">
        <f>F38+H38+J38</f>
        <v>0</v>
      </c>
      <c r="L38" s="3037"/>
      <c r="P38" s="3502" t="str">
        <f>A38</f>
        <v>比较价值</v>
      </c>
      <c r="Q38" s="3502"/>
      <c r="R38" s="3503" t="e">
        <f>IF(E1="售价",ROUND(PRODUCT(R37,AA7:AA36),0),ROUND(PRODUCT(R37,AA7:AA36),1))</f>
        <v>#DIV/0!</v>
      </c>
      <c r="S38" s="3503"/>
      <c r="T38" s="3503" t="e">
        <f>IF(E1="售价",ROUND(PRODUCT(T37,AB7:AB36),0),ROUND(PRODUCT(T37,AB7:AB36),1))</f>
        <v>#DIV/0!</v>
      </c>
      <c r="U38" s="3503"/>
      <c r="V38" s="3503" t="e">
        <f>IF(E1="售价",ROUND(PRODUCT(V37,AC7:AC36),0),ROUND(PRODUCT(V37,AC7:AC36),1))</f>
        <v>#DIV/0!</v>
      </c>
      <c r="W38" s="3503"/>
      <c r="X38" s="618"/>
      <c r="Y38" s="618"/>
      <c r="Z38" s="618"/>
      <c r="AA38" s="618"/>
      <c r="AB38" s="618"/>
      <c r="AC38" s="618"/>
    </row>
    <row r="39" spans="1:29" ht="15.75" thickBot="1">
      <c r="A39" s="378" t="s">
        <v>2430</v>
      </c>
      <c r="B39" s="379"/>
      <c r="C39" s="1161" t="e">
        <f>R39</f>
        <v>#DIV/0!</v>
      </c>
      <c r="D39" s="1161"/>
      <c r="E39" s="1161"/>
      <c r="F39" s="1161"/>
      <c r="G39" s="1161"/>
      <c r="H39" s="1161"/>
      <c r="I39" s="1161"/>
      <c r="J39" s="1161"/>
      <c r="K39" s="504"/>
      <c r="L39" s="3037"/>
      <c r="P39" s="3504" t="str">
        <f>A39</f>
        <v>估价对象XX用房的比较价值（楼面单价，元/平方米）</v>
      </c>
      <c r="Q39" s="3505"/>
      <c r="R39" s="3506" t="e">
        <f>IF(E1="售价",ROUND(IF(D38="简单平均",AVERAGE(R38:W38),R38*F38+T38*H38+V38*J38),0),ROUND(IF(D38="简单平均",AVERAGE(R38:V38),R38*F38+T38*H38+V38*J38),1))</f>
        <v>#DIV/0!</v>
      </c>
      <c r="S39" s="3506"/>
      <c r="T39" s="3506"/>
      <c r="U39" s="3506"/>
      <c r="V39" s="3506"/>
      <c r="W39" s="3506"/>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2434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2435</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2305</v>
      </c>
      <c r="B50" s="401"/>
      <c r="C50" s="402"/>
      <c r="D50" s="403"/>
      <c r="E50" s="403"/>
      <c r="F50" s="403"/>
      <c r="G50" s="403"/>
      <c r="H50" s="403"/>
      <c r="I50" s="403"/>
      <c r="J50" s="403"/>
      <c r="K50" s="403"/>
      <c r="L50" s="403"/>
      <c r="M50" s="404"/>
      <c r="N50" s="403"/>
      <c r="O50" s="405"/>
      <c r="P50" s="390"/>
      <c r="Q50" s="390"/>
    </row>
    <row r="51" spans="1:17" s="25" customFormat="1" ht="15">
      <c r="A51" s="406" t="s">
        <v>2269</v>
      </c>
      <c r="B51" s="396"/>
      <c r="C51" s="407" t="s">
        <v>2270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2308</v>
      </c>
      <c r="B53" s="413" t="s">
        <v>2273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2276</v>
      </c>
      <c r="C55" s="426" t="s">
        <v>2309</v>
      </c>
      <c r="D55" s="426" t="s">
        <v>2310</v>
      </c>
      <c r="E55" s="426" t="s">
        <v>2311</v>
      </c>
      <c r="F55" s="426" t="s">
        <v>2312</v>
      </c>
      <c r="G55" s="426" t="s">
        <v>2313</v>
      </c>
      <c r="H55" s="426" t="s">
        <v>2314</v>
      </c>
      <c r="I55" s="426" t="s">
        <v>2315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2278</v>
      </c>
      <c r="B63" s="413" t="s">
        <v>2322</v>
      </c>
      <c r="C63" s="461" t="s">
        <v>2317</v>
      </c>
      <c r="D63" s="461" t="s">
        <v>2318</v>
      </c>
      <c r="E63" s="461" t="s">
        <v>2319</v>
      </c>
      <c r="F63" s="461" t="s">
        <v>2320</v>
      </c>
      <c r="G63" s="461" t="s">
        <v>2321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2323</v>
      </c>
      <c r="C65" s="466" t="s">
        <v>2317</v>
      </c>
      <c r="D65" s="466" t="s">
        <v>2318</v>
      </c>
      <c r="E65" s="466" t="s">
        <v>2319</v>
      </c>
      <c r="F65" s="466" t="s">
        <v>2320</v>
      </c>
      <c r="G65" s="466" t="s">
        <v>2321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2395</v>
      </c>
      <c r="C67" s="426" t="s">
        <v>2324</v>
      </c>
      <c r="D67" s="426" t="s">
        <v>2325</v>
      </c>
      <c r="E67" s="426" t="s">
        <v>2326</v>
      </c>
      <c r="F67" s="426" t="s">
        <v>2327</v>
      </c>
      <c r="G67" s="426" t="s">
        <v>2328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2329</v>
      </c>
      <c r="C69" s="466" t="s">
        <v>2317</v>
      </c>
      <c r="D69" s="466" t="s">
        <v>2318</v>
      </c>
      <c r="E69" s="466" t="s">
        <v>2319</v>
      </c>
      <c r="F69" s="466" t="s">
        <v>2320</v>
      </c>
      <c r="G69" s="466" t="s">
        <v>2321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2283</v>
      </c>
      <c r="B79" s="413" t="s">
        <v>2437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2440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31"/>
      <c r="E1" s="1559" t="s">
        <v>2754</v>
      </c>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1923</v>
      </c>
      <c r="B3" s="495" t="e">
        <f ca="1">ROUND(IF(D2="——",C37,IF(C2="万元",B2*10000/D3,B2/D3)),0)</f>
        <v>#DIV/0!</v>
      </c>
      <c r="C3" s="293" t="s">
        <v>2253</v>
      </c>
      <c r="D3" s="292">
        <f>IF(C1="仅计算典型户型",'数据-取费表'!E5,'数据-取费表'!B5)</f>
        <v>191.89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25" t="s">
        <v>2255</v>
      </c>
      <c r="D4" s="3526"/>
      <c r="E4" s="3527" t="s">
        <v>2256</v>
      </c>
      <c r="F4" s="3528"/>
      <c r="G4" s="3525" t="s">
        <v>2257</v>
      </c>
      <c r="H4" s="3526"/>
      <c r="I4" s="3525" t="s">
        <v>2258</v>
      </c>
      <c r="J4" s="3526"/>
      <c r="K4" s="496" t="s">
        <v>2259</v>
      </c>
      <c r="L4" s="3025"/>
      <c r="M4" s="3026"/>
      <c r="N4" s="3026"/>
      <c r="O4" s="3026"/>
      <c r="P4" s="3529" t="s">
        <v>2260</v>
      </c>
      <c r="Q4" s="3530"/>
      <c r="R4" s="3512" t="s">
        <v>2256</v>
      </c>
      <c r="S4" s="3513"/>
      <c r="T4" s="3512" t="s">
        <v>2257</v>
      </c>
      <c r="U4" s="3513"/>
      <c r="V4" s="3535" t="s">
        <v>2258</v>
      </c>
      <c r="W4" s="3535"/>
      <c r="X4" s="1335"/>
      <c r="Y4" s="3512" t="s">
        <v>2260</v>
      </c>
      <c r="Z4" s="3513"/>
      <c r="AA4" s="3522" t="s">
        <v>2256</v>
      </c>
      <c r="AB4" s="3523" t="s">
        <v>2257</v>
      </c>
      <c r="AC4" s="3522" t="s">
        <v>2258</v>
      </c>
    </row>
    <row r="5" spans="1:29" ht="15">
      <c r="A5" s="297"/>
      <c r="B5" s="298"/>
      <c r="C5" s="3538" t="s">
        <v>2261</v>
      </c>
      <c r="D5" s="3539"/>
      <c r="E5" s="3536" t="s">
        <v>2262</v>
      </c>
      <c r="F5" s="3537"/>
      <c r="G5" s="3538" t="s">
        <v>2263</v>
      </c>
      <c r="H5" s="3539"/>
      <c r="I5" s="3538" t="s">
        <v>2264</v>
      </c>
      <c r="J5" s="3539"/>
      <c r="K5" s="496"/>
      <c r="L5" s="3025"/>
      <c r="M5" s="3026"/>
      <c r="N5" s="3026"/>
      <c r="O5" s="3026"/>
      <c r="P5" s="3531"/>
      <c r="Q5" s="3532"/>
      <c r="R5" s="3514"/>
      <c r="S5" s="3515"/>
      <c r="T5" s="3514"/>
      <c r="U5" s="3515"/>
      <c r="V5" s="3535"/>
      <c r="W5" s="3535"/>
      <c r="X5" s="1335"/>
      <c r="Y5" s="3514"/>
      <c r="Z5" s="3515"/>
      <c r="AA5" s="3523"/>
      <c r="AB5" s="3523"/>
      <c r="AC5" s="3523"/>
    </row>
    <row r="6" spans="1:29" ht="15.75" thickBot="1">
      <c r="A6" s="299"/>
      <c r="B6" s="300"/>
      <c r="C6" s="3540" t="s">
        <v>2265</v>
      </c>
      <c r="D6" s="3541"/>
      <c r="E6" s="3542" t="s">
        <v>2265</v>
      </c>
      <c r="F6" s="3543"/>
      <c r="G6" s="3540" t="s">
        <v>2265</v>
      </c>
      <c r="H6" s="3541"/>
      <c r="I6" s="3540" t="s">
        <v>2265</v>
      </c>
      <c r="J6" s="3541"/>
      <c r="K6" s="496" t="s">
        <v>2266</v>
      </c>
      <c r="L6" s="3025"/>
      <c r="M6" s="3026"/>
      <c r="N6" s="3026"/>
      <c r="O6" s="3026"/>
      <c r="P6" s="3533"/>
      <c r="Q6" s="3534"/>
      <c r="R6" s="3514"/>
      <c r="S6" s="3515"/>
      <c r="T6" s="3516"/>
      <c r="U6" s="3517"/>
      <c r="V6" s="3535"/>
      <c r="W6" s="3535"/>
      <c r="X6" s="1335"/>
      <c r="Y6" s="3516"/>
      <c r="Z6" s="3517"/>
      <c r="AA6" s="3524"/>
      <c r="AB6" s="3524"/>
      <c r="AC6" s="3524"/>
    </row>
    <row r="7" spans="1:29" s="25" customFormat="1" ht="15.75" thickBot="1">
      <c r="A7" s="301" t="s">
        <v>2267</v>
      </c>
      <c r="B7" s="302"/>
      <c r="C7" s="303">
        <f>'数据-取费表'!B2</f>
        <v>44195</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10" t="s">
        <v>2268</v>
      </c>
      <c r="Q7" s="3518"/>
      <c r="R7" s="627" t="s">
        <v>25</v>
      </c>
      <c r="S7" s="628">
        <f t="shared" ref="S7:S14" si="0">F7</f>
        <v>0</v>
      </c>
      <c r="T7" s="627" t="s">
        <v>25</v>
      </c>
      <c r="U7" s="628">
        <f t="shared" ref="U7:U14" si="1">H7</f>
        <v>0</v>
      </c>
      <c r="V7" s="627" t="s">
        <v>25</v>
      </c>
      <c r="W7" s="628">
        <f t="shared" ref="W7:W14" si="2">J7</f>
        <v>0</v>
      </c>
      <c r="X7" s="629"/>
      <c r="Y7" s="3510" t="s">
        <v>2268</v>
      </c>
      <c r="Z7" s="3511"/>
      <c r="AA7" s="630" t="e">
        <f>D7/F7</f>
        <v>#DIV/0!</v>
      </c>
      <c r="AB7" s="630" t="e">
        <f>D7/H7</f>
        <v>#DIV/0!</v>
      </c>
      <c r="AC7" s="630" t="e">
        <f>D7/J7</f>
        <v>#DIV/0!</v>
      </c>
    </row>
    <row r="8" spans="1:29" s="25" customFormat="1" ht="15.75" thickBot="1">
      <c r="A8" s="301" t="s">
        <v>2269</v>
      </c>
      <c r="B8" s="302"/>
      <c r="C8" s="307" t="s">
        <v>2270</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10" t="s">
        <v>2271</v>
      </c>
      <c r="Q8" s="3511"/>
      <c r="R8" s="627" t="s">
        <v>25</v>
      </c>
      <c r="S8" s="628">
        <f t="shared" si="0"/>
        <v>0</v>
      </c>
      <c r="T8" s="627" t="s">
        <v>25</v>
      </c>
      <c r="U8" s="628">
        <f t="shared" si="1"/>
        <v>0</v>
      </c>
      <c r="V8" s="627" t="s">
        <v>25</v>
      </c>
      <c r="W8" s="628">
        <f t="shared" si="2"/>
        <v>0</v>
      </c>
      <c r="X8" s="629"/>
      <c r="Y8" s="3510" t="s">
        <v>2271</v>
      </c>
      <c r="Z8" s="3511"/>
      <c r="AA8" s="630" t="e">
        <f t="shared" ref="AA8:AA34" si="3">D8/F8</f>
        <v>#DIV/0!</v>
      </c>
      <c r="AB8" s="630" t="e">
        <f t="shared" ref="AB8:AB34" si="4">D8/H8</f>
        <v>#DIV/0!</v>
      </c>
      <c r="AC8" s="630" t="e">
        <f t="shared" ref="AC8:AC34" si="5">D8/J8</f>
        <v>#DIV/0!</v>
      </c>
    </row>
    <row r="9" spans="1:29" s="25" customFormat="1">
      <c r="A9" s="308" t="s">
        <v>2272</v>
      </c>
      <c r="B9" s="24" t="s">
        <v>2273</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02" t="s">
        <v>2274</v>
      </c>
      <c r="Q9" s="1327" t="str">
        <f t="shared" ref="Q9:Q14" si="6">B9</f>
        <v>用途</v>
      </c>
      <c r="R9" s="627" t="s">
        <v>25</v>
      </c>
      <c r="S9" s="628">
        <f t="shared" si="0"/>
        <v>100</v>
      </c>
      <c r="T9" s="627" t="s">
        <v>25</v>
      </c>
      <c r="U9" s="628">
        <f t="shared" si="1"/>
        <v>100</v>
      </c>
      <c r="V9" s="627" t="s">
        <v>25</v>
      </c>
      <c r="W9" s="628">
        <f t="shared" si="2"/>
        <v>100</v>
      </c>
      <c r="X9" s="629"/>
      <c r="Y9" s="3521" t="s">
        <v>2275</v>
      </c>
      <c r="Z9" s="19" t="str">
        <f t="shared" ref="Z9:Z14" si="7">Q9</f>
        <v>用途</v>
      </c>
      <c r="AA9" s="630">
        <f t="shared" si="3"/>
        <v>1</v>
      </c>
      <c r="AB9" s="630">
        <f t="shared" si="4"/>
        <v>1</v>
      </c>
      <c r="AC9" s="630">
        <f t="shared" si="5"/>
        <v>1</v>
      </c>
    </row>
    <row r="10" spans="1:29" s="317" customFormat="1" ht="27">
      <c r="A10" s="312"/>
      <c r="B10" s="313" t="s">
        <v>2276</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02"/>
      <c r="Q10" s="1327" t="str">
        <f t="shared" si="6"/>
        <v>土地使用年限（年）</v>
      </c>
      <c r="R10" s="627" t="s">
        <v>25</v>
      </c>
      <c r="S10" s="628">
        <f t="shared" si="0"/>
        <v>100</v>
      </c>
      <c r="T10" s="627" t="s">
        <v>25</v>
      </c>
      <c r="U10" s="628">
        <f t="shared" si="1"/>
        <v>100</v>
      </c>
      <c r="V10" s="627" t="s">
        <v>25</v>
      </c>
      <c r="W10" s="628">
        <f t="shared" si="2"/>
        <v>100</v>
      </c>
      <c r="X10" s="629"/>
      <c r="Y10" s="3521"/>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02"/>
      <c r="Q11" s="1327">
        <f t="shared" si="6"/>
        <v>111</v>
      </c>
      <c r="R11" s="627" t="s">
        <v>25</v>
      </c>
      <c r="S11" s="628">
        <f t="shared" si="0"/>
        <v>100</v>
      </c>
      <c r="T11" s="627" t="s">
        <v>25</v>
      </c>
      <c r="U11" s="628">
        <f t="shared" si="1"/>
        <v>100</v>
      </c>
      <c r="V11" s="627" t="s">
        <v>25</v>
      </c>
      <c r="W11" s="628">
        <f t="shared" si="2"/>
        <v>100</v>
      </c>
      <c r="X11" s="629"/>
      <c r="Y11" s="3521"/>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02"/>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02"/>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85.5">
      <c r="A14" s="329" t="s">
        <v>2278</v>
      </c>
      <c r="B14" s="22" t="s">
        <v>2416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19" t="s">
        <v>2279</v>
      </c>
      <c r="Q14" s="1334" t="str">
        <f t="shared" si="6"/>
        <v>交通便捷度</v>
      </c>
      <c r="R14" s="631" t="s">
        <v>25</v>
      </c>
      <c r="S14" s="632">
        <f t="shared" si="0"/>
        <v>100</v>
      </c>
      <c r="T14" s="631" t="s">
        <v>25</v>
      </c>
      <c r="U14" s="632">
        <f t="shared" si="1"/>
        <v>100</v>
      </c>
      <c r="V14" s="631" t="s">
        <v>25</v>
      </c>
      <c r="W14" s="632">
        <f t="shared" si="2"/>
        <v>100</v>
      </c>
      <c r="X14" s="1335"/>
      <c r="Y14" s="3519" t="s">
        <v>2279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20"/>
      <c r="Q15" s="1334"/>
      <c r="R15" s="631"/>
      <c r="S15" s="632"/>
      <c r="T15" s="631"/>
      <c r="U15" s="632"/>
      <c r="V15" s="631"/>
      <c r="W15" s="632"/>
      <c r="X15" s="1335"/>
      <c r="Y15" s="3520"/>
      <c r="Z15" s="1336"/>
      <c r="AA15" s="1337">
        <v>1</v>
      </c>
      <c r="AB15" s="1337">
        <v>1</v>
      </c>
      <c r="AC15" s="1337">
        <v>1</v>
      </c>
    </row>
    <row r="16" spans="1:29" ht="42.75">
      <c r="A16" s="318"/>
      <c r="B16" s="513" t="s">
        <v>2394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20"/>
      <c r="Q16" s="1334" t="str">
        <f>B16</f>
        <v>公共配套设施</v>
      </c>
      <c r="R16" s="631" t="s">
        <v>25</v>
      </c>
      <c r="S16" s="632">
        <f>F16</f>
        <v>100</v>
      </c>
      <c r="T16" s="631" t="s">
        <v>25</v>
      </c>
      <c r="U16" s="632">
        <f>H16</f>
        <v>100</v>
      </c>
      <c r="V16" s="631" t="s">
        <v>25</v>
      </c>
      <c r="W16" s="632">
        <f>J16</f>
        <v>100</v>
      </c>
      <c r="X16" s="1335"/>
      <c r="Y16" s="352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20"/>
      <c r="Q17" s="1334"/>
      <c r="R17" s="631"/>
      <c r="S17" s="632"/>
      <c r="T17" s="631"/>
      <c r="U17" s="632"/>
      <c r="V17" s="631"/>
      <c r="W17" s="632"/>
      <c r="X17" s="1335"/>
      <c r="Y17" s="3520"/>
      <c r="Z17" s="1336"/>
      <c r="AA17" s="1337">
        <v>1</v>
      </c>
      <c r="AB17" s="1337">
        <v>1</v>
      </c>
      <c r="AC17" s="1337">
        <v>1</v>
      </c>
    </row>
    <row r="18" spans="1:29" ht="28.5">
      <c r="A18" s="318"/>
      <c r="B18" s="515" t="s">
        <v>2395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20"/>
      <c r="Q18" s="1334" t="str">
        <f>B18</f>
        <v>基础设施水平</v>
      </c>
      <c r="R18" s="631" t="s">
        <v>25</v>
      </c>
      <c r="S18" s="632">
        <f>F18</f>
        <v>100</v>
      </c>
      <c r="T18" s="631" t="s">
        <v>25</v>
      </c>
      <c r="U18" s="632">
        <f>H18</f>
        <v>100</v>
      </c>
      <c r="V18" s="631" t="s">
        <v>25</v>
      </c>
      <c r="W18" s="632">
        <f>J18</f>
        <v>100</v>
      </c>
      <c r="X18" s="1335"/>
      <c r="Y18" s="352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20"/>
      <c r="Q19" s="1334"/>
      <c r="R19" s="631"/>
      <c r="S19" s="632"/>
      <c r="T19" s="631"/>
      <c r="U19" s="632"/>
      <c r="V19" s="631"/>
      <c r="W19" s="632"/>
      <c r="X19" s="1335"/>
      <c r="Y19" s="3520"/>
      <c r="Z19" s="1336"/>
      <c r="AA19" s="1337">
        <v>1</v>
      </c>
      <c r="AB19" s="1337">
        <v>1</v>
      </c>
      <c r="AC19" s="1337">
        <v>1</v>
      </c>
    </row>
    <row r="20" spans="1:29" ht="57">
      <c r="A20" s="318"/>
      <c r="B20" s="340" t="s">
        <v>2417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20"/>
      <c r="Q20" s="1334" t="str">
        <f>B20</f>
        <v>自然及人文环境</v>
      </c>
      <c r="R20" s="631" t="s">
        <v>25</v>
      </c>
      <c r="S20" s="632">
        <f>F20</f>
        <v>100</v>
      </c>
      <c r="T20" s="631" t="s">
        <v>25</v>
      </c>
      <c r="U20" s="632">
        <f>H20</f>
        <v>100</v>
      </c>
      <c r="V20" s="631" t="s">
        <v>25</v>
      </c>
      <c r="W20" s="632">
        <f>J20</f>
        <v>100</v>
      </c>
      <c r="X20" s="1335"/>
      <c r="Y20" s="352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20"/>
      <c r="Q21" s="1334"/>
      <c r="R21" s="631"/>
      <c r="S21" s="632"/>
      <c r="T21" s="631"/>
      <c r="U21" s="632"/>
      <c r="V21" s="631"/>
      <c r="W21" s="632"/>
      <c r="X21" s="1335"/>
      <c r="Y21" s="3520"/>
      <c r="Z21" s="1336"/>
      <c r="AA21" s="1337">
        <v>1</v>
      </c>
      <c r="AB21" s="1337">
        <v>1</v>
      </c>
      <c r="AC21" s="1337">
        <v>1</v>
      </c>
    </row>
    <row r="22" spans="1:29" ht="15">
      <c r="A22" s="318"/>
      <c r="B22" s="340" t="s">
        <v>2418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20"/>
      <c r="Q22" s="1334" t="str">
        <f>B22</f>
        <v>楼层</v>
      </c>
      <c r="R22" s="631" t="s">
        <v>25</v>
      </c>
      <c r="S22" s="632">
        <f>F22</f>
        <v>100</v>
      </c>
      <c r="T22" s="631" t="s">
        <v>25</v>
      </c>
      <c r="U22" s="632">
        <f>H22</f>
        <v>100</v>
      </c>
      <c r="V22" s="631" t="s">
        <v>25</v>
      </c>
      <c r="W22" s="632">
        <f>J22</f>
        <v>100</v>
      </c>
      <c r="X22" s="1335"/>
      <c r="Y22" s="3520"/>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20"/>
      <c r="Q23" s="1334">
        <f>B23</f>
        <v>111</v>
      </c>
      <c r="R23" s="631" t="s">
        <v>25</v>
      </c>
      <c r="S23" s="632">
        <f>F23</f>
        <v>100</v>
      </c>
      <c r="T23" s="631" t="s">
        <v>25</v>
      </c>
      <c r="U23" s="632">
        <f>H23</f>
        <v>100</v>
      </c>
      <c r="V23" s="631" t="s">
        <v>25</v>
      </c>
      <c r="W23" s="632">
        <f>J23</f>
        <v>100</v>
      </c>
      <c r="X23" s="1335"/>
      <c r="Y23" s="3520"/>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20"/>
      <c r="Q24" s="1334">
        <f t="shared" ref="Q24:Q34" si="11">B24</f>
        <v>111</v>
      </c>
      <c r="R24" s="631" t="s">
        <v>25</v>
      </c>
      <c r="S24" s="632">
        <f>F24</f>
        <v>100</v>
      </c>
      <c r="T24" s="631" t="s">
        <v>25</v>
      </c>
      <c r="U24" s="632">
        <f>H24</f>
        <v>100</v>
      </c>
      <c r="V24" s="631" t="s">
        <v>25</v>
      </c>
      <c r="W24" s="632">
        <f>J24</f>
        <v>100</v>
      </c>
      <c r="X24" s="1335"/>
      <c r="Y24" s="3520"/>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20"/>
      <c r="Q25" s="1327">
        <f t="shared" si="11"/>
        <v>111</v>
      </c>
      <c r="R25" s="627" t="s">
        <v>25</v>
      </c>
      <c r="S25" s="628">
        <f>F25</f>
        <v>100</v>
      </c>
      <c r="T25" s="627" t="s">
        <v>25</v>
      </c>
      <c r="U25" s="628">
        <f>H25</f>
        <v>100</v>
      </c>
      <c r="V25" s="627" t="s">
        <v>25</v>
      </c>
      <c r="W25" s="628">
        <f>J25</f>
        <v>100</v>
      </c>
      <c r="X25" s="629"/>
      <c r="Y25" s="3520"/>
      <c r="Z25" s="19">
        <f>Q25</f>
        <v>111</v>
      </c>
      <c r="AA25" s="1337">
        <f>D25/F25</f>
        <v>1</v>
      </c>
      <c r="AB25" s="1337">
        <f>D25/H25</f>
        <v>1</v>
      </c>
      <c r="AC25" s="1337">
        <f>D25/J25</f>
        <v>1</v>
      </c>
    </row>
    <row r="26" spans="1:29" ht="28.5">
      <c r="A26" s="354" t="s">
        <v>2283</v>
      </c>
      <c r="B26" s="24" t="s">
        <v>2421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07" t="s">
        <v>2285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8" t="s">
        <v>2285</v>
      </c>
      <c r="Z26" s="1336" t="str">
        <f t="shared" ref="Z26:Z34" si="15">Q26</f>
        <v>公共部分装修</v>
      </c>
      <c r="AA26" s="1337">
        <f t="shared" si="3"/>
        <v>1</v>
      </c>
      <c r="AB26" s="1337">
        <f t="shared" si="4"/>
        <v>1</v>
      </c>
      <c r="AC26" s="1337">
        <f t="shared" si="5"/>
        <v>1</v>
      </c>
    </row>
    <row r="27" spans="1:29" s="359" customFormat="1" ht="15">
      <c r="A27" s="356"/>
      <c r="B27" s="313" t="s">
        <v>2422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08"/>
      <c r="Q27" s="633" t="str">
        <f t="shared" si="11"/>
        <v>成新率</v>
      </c>
      <c r="R27" s="634" t="s">
        <v>25</v>
      </c>
      <c r="S27" s="635" t="e">
        <f t="shared" si="12"/>
        <v>#N/A</v>
      </c>
      <c r="T27" s="634" t="s">
        <v>25</v>
      </c>
      <c r="U27" s="635" t="e">
        <f t="shared" si="13"/>
        <v>#N/A</v>
      </c>
      <c r="V27" s="634" t="s">
        <v>25</v>
      </c>
      <c r="W27" s="635" t="e">
        <f t="shared" si="14"/>
        <v>#N/A</v>
      </c>
      <c r="X27" s="636"/>
      <c r="Y27" s="3508"/>
      <c r="Z27" s="637" t="str">
        <f t="shared" si="15"/>
        <v>成新率</v>
      </c>
      <c r="AA27" s="1337" t="e">
        <f t="shared" si="3"/>
        <v>#N/A</v>
      </c>
      <c r="AB27" s="1337" t="e">
        <f t="shared" si="4"/>
        <v>#N/A</v>
      </c>
      <c r="AC27" s="1337" t="e">
        <f t="shared" si="5"/>
        <v>#N/A</v>
      </c>
    </row>
    <row r="28" spans="1:29" ht="15">
      <c r="A28" s="360"/>
      <c r="B28" s="313" t="s">
        <v>2423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08"/>
      <c r="Q28" s="1334" t="str">
        <f t="shared" si="11"/>
        <v>物业等级</v>
      </c>
      <c r="R28" s="631" t="s">
        <v>25</v>
      </c>
      <c r="S28" s="632">
        <f t="shared" si="12"/>
        <v>100</v>
      </c>
      <c r="T28" s="631" t="s">
        <v>25</v>
      </c>
      <c r="U28" s="632">
        <f t="shared" si="13"/>
        <v>100</v>
      </c>
      <c r="V28" s="631" t="s">
        <v>25</v>
      </c>
      <c r="W28" s="632">
        <f t="shared" si="14"/>
        <v>100</v>
      </c>
      <c r="X28" s="1335"/>
      <c r="Y28" s="3508"/>
      <c r="Z28" s="1336" t="str">
        <f t="shared" si="15"/>
        <v>物业等级</v>
      </c>
      <c r="AA28" s="1337">
        <f t="shared" si="3"/>
        <v>1</v>
      </c>
      <c r="AB28" s="1337">
        <f t="shared" si="4"/>
        <v>1</v>
      </c>
      <c r="AC28" s="1337">
        <f t="shared" si="5"/>
        <v>1</v>
      </c>
    </row>
    <row r="29" spans="1:29" ht="15">
      <c r="A29" s="360"/>
      <c r="B29" s="313" t="s">
        <v>2444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08"/>
      <c r="Q29" s="1334" t="str">
        <f t="shared" si="11"/>
        <v>有无电梯</v>
      </c>
      <c r="R29" s="631" t="s">
        <v>25</v>
      </c>
      <c r="S29" s="632">
        <f t="shared" si="12"/>
        <v>100</v>
      </c>
      <c r="T29" s="631" t="s">
        <v>25</v>
      </c>
      <c r="U29" s="632">
        <f t="shared" si="13"/>
        <v>100</v>
      </c>
      <c r="V29" s="631" t="s">
        <v>25</v>
      </c>
      <c r="W29" s="632">
        <f t="shared" si="14"/>
        <v>100</v>
      </c>
      <c r="X29" s="1335"/>
      <c r="Y29" s="3508"/>
      <c r="Z29" s="1336" t="str">
        <f t="shared" si="15"/>
        <v>有无电梯</v>
      </c>
      <c r="AA29" s="1337">
        <f t="shared" si="3"/>
        <v>1</v>
      </c>
      <c r="AB29" s="1337">
        <f t="shared" si="4"/>
        <v>1</v>
      </c>
      <c r="AC29" s="1337">
        <f t="shared" si="5"/>
        <v>1</v>
      </c>
    </row>
    <row r="30" spans="1:29" ht="15">
      <c r="A30" s="360"/>
      <c r="B30" s="313" t="s">
        <v>2445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08"/>
      <c r="Q30" s="1334" t="str">
        <f t="shared" si="11"/>
        <v>建筑面积</v>
      </c>
      <c r="R30" s="631" t="s">
        <v>25</v>
      </c>
      <c r="S30" s="632" t="e">
        <f t="shared" si="12"/>
        <v>#N/A</v>
      </c>
      <c r="T30" s="631" t="s">
        <v>25</v>
      </c>
      <c r="U30" s="632" t="e">
        <f t="shared" si="13"/>
        <v>#N/A</v>
      </c>
      <c r="V30" s="631" t="s">
        <v>25</v>
      </c>
      <c r="W30" s="632" t="e">
        <f t="shared" si="14"/>
        <v>#N/A</v>
      </c>
      <c r="X30" s="1335"/>
      <c r="Y30" s="3508"/>
      <c r="Z30" s="1336" t="str">
        <f t="shared" si="15"/>
        <v>建筑面积</v>
      </c>
      <c r="AA30" s="1337" t="e">
        <f t="shared" si="3"/>
        <v>#N/A</v>
      </c>
      <c r="AB30" s="1337" t="e">
        <f t="shared" si="4"/>
        <v>#N/A</v>
      </c>
      <c r="AC30" s="1337" t="e">
        <f t="shared" si="5"/>
        <v>#N/A</v>
      </c>
    </row>
    <row r="31" spans="1:29" s="25" customFormat="1" ht="15">
      <c r="A31" s="361"/>
      <c r="B31" s="313" t="s">
        <v>2446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08"/>
      <c r="Q31" s="1327" t="str">
        <f t="shared" si="11"/>
        <v>是否封闭</v>
      </c>
      <c r="R31" s="627" t="s">
        <v>25</v>
      </c>
      <c r="S31" s="628">
        <f t="shared" si="12"/>
        <v>100</v>
      </c>
      <c r="T31" s="627" t="s">
        <v>25</v>
      </c>
      <c r="U31" s="628">
        <f t="shared" si="13"/>
        <v>100</v>
      </c>
      <c r="V31" s="627" t="s">
        <v>25</v>
      </c>
      <c r="W31" s="628">
        <f t="shared" si="14"/>
        <v>100</v>
      </c>
      <c r="X31" s="629"/>
      <c r="Y31" s="350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08" t="s">
        <v>2285</v>
      </c>
      <c r="Q32" s="1334">
        <f t="shared" si="11"/>
        <v>111</v>
      </c>
      <c r="R32" s="631" t="s">
        <v>25</v>
      </c>
      <c r="S32" s="632">
        <f t="shared" si="12"/>
        <v>100</v>
      </c>
      <c r="T32" s="631" t="s">
        <v>25</v>
      </c>
      <c r="U32" s="632">
        <f t="shared" si="13"/>
        <v>100</v>
      </c>
      <c r="V32" s="631" t="s">
        <v>25</v>
      </c>
      <c r="W32" s="632">
        <f t="shared" si="14"/>
        <v>100</v>
      </c>
      <c r="X32" s="1335"/>
      <c r="Y32" s="3508" t="s">
        <v>2285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08"/>
      <c r="Q33" s="1334">
        <f t="shared" si="11"/>
        <v>111</v>
      </c>
      <c r="R33" s="631" t="s">
        <v>25</v>
      </c>
      <c r="S33" s="632">
        <f t="shared" si="12"/>
        <v>100</v>
      </c>
      <c r="T33" s="631" t="s">
        <v>25</v>
      </c>
      <c r="U33" s="632">
        <f t="shared" si="13"/>
        <v>100</v>
      </c>
      <c r="V33" s="631" t="s">
        <v>25</v>
      </c>
      <c r="W33" s="632">
        <f t="shared" si="14"/>
        <v>100</v>
      </c>
      <c r="X33" s="1335"/>
      <c r="Y33" s="350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08"/>
      <c r="Q34" s="1334">
        <f t="shared" si="11"/>
        <v>111</v>
      </c>
      <c r="R34" s="631" t="s">
        <v>25</v>
      </c>
      <c r="S34" s="632">
        <f t="shared" si="12"/>
        <v>100</v>
      </c>
      <c r="T34" s="631" t="s">
        <v>25</v>
      </c>
      <c r="U34" s="632">
        <f t="shared" si="13"/>
        <v>100</v>
      </c>
      <c r="V34" s="631" t="s">
        <v>25</v>
      </c>
      <c r="W34" s="632">
        <f t="shared" si="14"/>
        <v>100</v>
      </c>
      <c r="X34" s="1335"/>
      <c r="Y34" s="3508"/>
      <c r="Z34" s="1336">
        <f t="shared" si="15"/>
        <v>111</v>
      </c>
      <c r="AA34" s="1337">
        <f t="shared" si="3"/>
        <v>1</v>
      </c>
      <c r="AB34" s="1337">
        <f t="shared" si="4"/>
        <v>1</v>
      </c>
      <c r="AC34" s="1337">
        <f t="shared" si="5"/>
        <v>1</v>
      </c>
    </row>
    <row r="35" spans="1:29" ht="15">
      <c r="A35" s="367" t="s">
        <v>2297</v>
      </c>
      <c r="B35" s="368"/>
      <c r="C35" s="1153" t="s">
        <v>1</v>
      </c>
      <c r="D35" s="1154"/>
      <c r="E35" s="1155"/>
      <c r="F35" s="1156"/>
      <c r="G35" s="1157"/>
      <c r="H35" s="1158"/>
      <c r="I35" s="1155"/>
      <c r="J35" s="1158"/>
      <c r="K35" s="640"/>
      <c r="L35" s="3037"/>
      <c r="N35" s="3026"/>
      <c r="P35" s="3502" t="str">
        <f>A35</f>
        <v>成交单价（元/平方米）</v>
      </c>
      <c r="Q35" s="3502"/>
      <c r="R35" s="3503">
        <f>E35</f>
        <v>0</v>
      </c>
      <c r="S35" s="3503"/>
      <c r="T35" s="3503">
        <f>G35</f>
        <v>0</v>
      </c>
      <c r="U35" s="3503"/>
      <c r="V35" s="3503">
        <f>I35</f>
        <v>0</v>
      </c>
      <c r="W35" s="3503"/>
      <c r="X35" s="618"/>
      <c r="Y35" s="638"/>
      <c r="Z35" s="618"/>
      <c r="AA35" s="618"/>
      <c r="AB35" s="618"/>
      <c r="AC35" s="618"/>
    </row>
    <row r="36" spans="1:29" ht="15.75" thickBot="1">
      <c r="A36" s="374" t="s">
        <v>2380</v>
      </c>
      <c r="B36" s="375"/>
      <c r="C36" s="1159" t="e">
        <f>R37</f>
        <v>#DIV/0!</v>
      </c>
      <c r="D36" s="1797" t="s">
        <v>2753</v>
      </c>
      <c r="E36" s="1160" t="e">
        <f>R36</f>
        <v>#DIV/0!</v>
      </c>
      <c r="F36" s="1799"/>
      <c r="G36" s="1159" t="e">
        <f>T36</f>
        <v>#DIV/0!</v>
      </c>
      <c r="H36" s="1799"/>
      <c r="I36" s="1160" t="e">
        <f>V36</f>
        <v>#DIV/0!</v>
      </c>
      <c r="J36" s="1799"/>
      <c r="K36" s="2512">
        <f>F36+H36+J36</f>
        <v>0</v>
      </c>
      <c r="L36" s="3037"/>
      <c r="N36" s="3026"/>
      <c r="P36" s="3502" t="str">
        <f>A36</f>
        <v>比较价值（元/平方米）</v>
      </c>
      <c r="Q36" s="3502"/>
      <c r="R36" s="3503" t="e">
        <f>IF(E1="售价",ROUND(PRODUCT(R35,AA7:AA34),0),ROUND(PRODUCT(R35,AA7:AA34),1))</f>
        <v>#DIV/0!</v>
      </c>
      <c r="S36" s="3503"/>
      <c r="T36" s="3503" t="e">
        <f>IF(E1="售价",ROUND(PRODUCT(T35,AB7:AB34),0),ROUND(PRODUCT(T35,AB7:AB34),1))</f>
        <v>#DIV/0!</v>
      </c>
      <c r="U36" s="3503"/>
      <c r="V36" s="3503" t="e">
        <f>IF(E1="售价",ROUND(PRODUCT(V35,AC7:AC34),0),ROUND(PRODUCT(V35,AC7:AC34),1))</f>
        <v>#DIV/0!</v>
      </c>
      <c r="W36" s="3503"/>
      <c r="X36" s="618"/>
      <c r="Y36" s="618"/>
      <c r="Z36" s="618"/>
      <c r="AA36" s="618"/>
      <c r="AB36" s="618"/>
      <c r="AC36" s="618"/>
    </row>
    <row r="37" spans="1:29" ht="15.75" thickBot="1">
      <c r="A37" s="378" t="s">
        <v>2403</v>
      </c>
      <c r="B37" s="379"/>
      <c r="C37" s="1161" t="e">
        <f>R37</f>
        <v>#DIV/0!</v>
      </c>
      <c r="D37" s="1161"/>
      <c r="E37" s="1161"/>
      <c r="F37" s="1161"/>
      <c r="G37" s="1161"/>
      <c r="H37" s="1161"/>
      <c r="I37" s="1161"/>
      <c r="J37" s="1161"/>
      <c r="K37" s="641"/>
      <c r="L37" s="3037"/>
      <c r="P37" s="3504" t="str">
        <f>A37</f>
        <v>估价对象XX用房的比较价值（楼面单价，元/平方米）</v>
      </c>
      <c r="Q37" s="3505"/>
      <c r="R37" s="3506" t="e">
        <f>IF(E1="售价",ROUND(IF(D36="简单平均",AVERAGE(R36:W36),R36*F36+T36*H36+V36*J36),0),ROUND(IF(D36="简单平均",AVERAGE(R36:V36),R36*F36+T36*H36+V36*J36),1))</f>
        <v>#DIV/0!</v>
      </c>
      <c r="S37" s="3506"/>
      <c r="T37" s="3506"/>
      <c r="U37" s="3506"/>
      <c r="V37" s="3506"/>
      <c r="W37" s="3506"/>
      <c r="X37" s="618"/>
      <c r="Y37" s="618"/>
      <c r="Z37" s="618"/>
      <c r="AA37" s="618"/>
      <c r="AB37" s="618"/>
      <c r="AC37" s="618"/>
    </row>
    <row r="38" spans="1:29">
      <c r="G38" s="3040"/>
    </row>
    <row r="40" spans="1:29" ht="13.5" customHeight="1">
      <c r="C40" s="383" t="s">
        <v>2382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2385</v>
      </c>
      <c r="B45" s="618"/>
      <c r="C45" s="621"/>
      <c r="D45" s="621"/>
      <c r="E45" s="621"/>
      <c r="F45" s="622"/>
      <c r="G45" s="622"/>
      <c r="H45" s="621"/>
      <c r="I45" s="621"/>
      <c r="J45" s="621"/>
      <c r="K45" s="623"/>
      <c r="L45" s="624"/>
      <c r="M45" s="621"/>
      <c r="N45" s="3043"/>
      <c r="O45" s="3043"/>
      <c r="P45" s="389"/>
      <c r="Q45" s="390"/>
    </row>
    <row r="46" spans="1:29" s="394" customFormat="1" ht="15">
      <c r="A46" s="391" t="s">
        <v>2267</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2305</v>
      </c>
      <c r="B48" s="401"/>
      <c r="C48" s="402"/>
      <c r="D48" s="403"/>
      <c r="E48" s="403"/>
      <c r="F48" s="403"/>
      <c r="G48" s="403"/>
      <c r="H48" s="403"/>
      <c r="I48" s="403"/>
      <c r="J48" s="403"/>
      <c r="K48" s="403"/>
      <c r="L48" s="403"/>
      <c r="M48" s="404"/>
      <c r="N48" s="403"/>
      <c r="O48" s="405"/>
      <c r="P48" s="390"/>
      <c r="Q48" s="390"/>
    </row>
    <row r="49" spans="1:17" s="25" customFormat="1" ht="15">
      <c r="A49" s="406" t="s">
        <v>2269</v>
      </c>
      <c r="B49" s="396"/>
      <c r="C49" s="407" t="s">
        <v>2270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2308</v>
      </c>
      <c r="B51" s="413" t="s">
        <v>2273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2276</v>
      </c>
      <c r="C53" s="426" t="s">
        <v>2309</v>
      </c>
      <c r="D53" s="426" t="s">
        <v>2310</v>
      </c>
      <c r="E53" s="426" t="s">
        <v>2311</v>
      </c>
      <c r="F53" s="426" t="s">
        <v>2312</v>
      </c>
      <c r="G53" s="426" t="s">
        <v>2313</v>
      </c>
      <c r="H53" s="426" t="s">
        <v>2314</v>
      </c>
      <c r="I53" s="426" t="s">
        <v>2315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2278</v>
      </c>
      <c r="B61" s="413" t="s">
        <v>2322</v>
      </c>
      <c r="C61" s="461" t="s">
        <v>2317</v>
      </c>
      <c r="D61" s="461" t="s">
        <v>2318</v>
      </c>
      <c r="E61" s="461" t="s">
        <v>2319</v>
      </c>
      <c r="F61" s="461" t="s">
        <v>2320</v>
      </c>
      <c r="G61" s="461" t="s">
        <v>2321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2323</v>
      </c>
      <c r="C63" s="466" t="s">
        <v>2317</v>
      </c>
      <c r="D63" s="466" t="s">
        <v>2318</v>
      </c>
      <c r="E63" s="466" t="s">
        <v>2319</v>
      </c>
      <c r="F63" s="466" t="s">
        <v>2320</v>
      </c>
      <c r="G63" s="466" t="s">
        <v>2321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2395</v>
      </c>
      <c r="C65" s="426" t="s">
        <v>2324</v>
      </c>
      <c r="D65" s="426" t="s">
        <v>2325</v>
      </c>
      <c r="E65" s="426" t="s">
        <v>2326</v>
      </c>
      <c r="F65" s="426" t="s">
        <v>2327</v>
      </c>
      <c r="G65" s="426" t="s">
        <v>2328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2329</v>
      </c>
      <c r="C67" s="466" t="s">
        <v>2317</v>
      </c>
      <c r="D67" s="466" t="s">
        <v>2318</v>
      </c>
      <c r="E67" s="466" t="s">
        <v>2319</v>
      </c>
      <c r="F67" s="466" t="s">
        <v>2320</v>
      </c>
      <c r="G67" s="466" t="s">
        <v>2321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2283</v>
      </c>
      <c r="B77" s="413" t="s">
        <v>2336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2440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2450</v>
      </c>
      <c r="B1" s="1952"/>
      <c r="C1" s="1953" t="s">
        <v>2451</v>
      </c>
      <c r="D1" s="1952"/>
      <c r="E1" s="1952"/>
      <c r="F1" s="1954" t="s">
        <v>2252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1922</v>
      </c>
      <c r="B2" s="1962" t="e">
        <f>F66</f>
        <v>#DIV/0!</v>
      </c>
      <c r="C2" s="1657" t="s">
        <v>2452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1923</v>
      </c>
      <c r="B3" s="1963" t="e">
        <f>ROUND(B2/'数据-取费表'!B5,0)</f>
        <v>#DIV/0!</v>
      </c>
      <c r="C3" s="1657" t="s">
        <v>2453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2254</v>
      </c>
      <c r="B4" s="1664"/>
      <c r="C4" s="3459" t="s">
        <v>2255</v>
      </c>
      <c r="D4" s="3460"/>
      <c r="E4" s="3461" t="s">
        <v>2256</v>
      </c>
      <c r="F4" s="3462"/>
      <c r="G4" s="3459" t="s">
        <v>2257</v>
      </c>
      <c r="H4" s="3460"/>
      <c r="I4" s="3459" t="s">
        <v>2258</v>
      </c>
      <c r="J4" s="3460"/>
      <c r="K4" s="1966" t="s">
        <v>2259</v>
      </c>
      <c r="L4" s="2997"/>
      <c r="M4" s="2998"/>
      <c r="N4" s="2998"/>
      <c r="O4" s="2998"/>
      <c r="P4" s="3463" t="s">
        <v>2260</v>
      </c>
      <c r="Q4" s="3464"/>
      <c r="R4" s="3448" t="s">
        <v>2256</v>
      </c>
      <c r="S4" s="3449"/>
      <c r="T4" s="3448" t="s">
        <v>2257</v>
      </c>
      <c r="U4" s="3449"/>
      <c r="V4" s="3469" t="s">
        <v>2258</v>
      </c>
      <c r="W4" s="3469"/>
      <c r="X4" s="1666"/>
      <c r="Y4" s="3448" t="s">
        <v>2260</v>
      </c>
      <c r="Z4" s="3449"/>
      <c r="AA4" s="3456" t="s">
        <v>2256</v>
      </c>
      <c r="AB4" s="3457" t="s">
        <v>2257</v>
      </c>
      <c r="AC4" s="3456" t="s">
        <v>2258</v>
      </c>
    </row>
    <row r="5" spans="1:30" ht="15">
      <c r="A5" s="1668"/>
      <c r="B5" s="1669"/>
      <c r="C5" s="3444" t="s">
        <v>2261</v>
      </c>
      <c r="D5" s="3445"/>
      <c r="E5" s="3470" t="s">
        <v>2262</v>
      </c>
      <c r="F5" s="3471"/>
      <c r="G5" s="3444" t="s">
        <v>2263</v>
      </c>
      <c r="H5" s="3445"/>
      <c r="I5" s="3444" t="s">
        <v>2264</v>
      </c>
      <c r="J5" s="3445"/>
      <c r="K5" s="1966"/>
      <c r="L5" s="2997"/>
      <c r="M5" s="2998"/>
      <c r="N5" s="2998"/>
      <c r="O5" s="2998"/>
      <c r="P5" s="3465"/>
      <c r="Q5" s="3466"/>
      <c r="R5" s="3450"/>
      <c r="S5" s="3451"/>
      <c r="T5" s="3450"/>
      <c r="U5" s="3451"/>
      <c r="V5" s="3469"/>
      <c r="W5" s="3469"/>
      <c r="X5" s="1666"/>
      <c r="Y5" s="3450"/>
      <c r="Z5" s="3451"/>
      <c r="AA5" s="3457"/>
      <c r="AB5" s="3457"/>
      <c r="AC5" s="3457"/>
    </row>
    <row r="6" spans="1:30" ht="15.75" thickBot="1">
      <c r="A6" s="1671"/>
      <c r="B6" s="1672"/>
      <c r="C6" s="3442" t="s">
        <v>2265</v>
      </c>
      <c r="D6" s="3443"/>
      <c r="E6" s="3472" t="s">
        <v>2265</v>
      </c>
      <c r="F6" s="3473"/>
      <c r="G6" s="3442" t="s">
        <v>2265</v>
      </c>
      <c r="H6" s="3443"/>
      <c r="I6" s="3442" t="s">
        <v>2265</v>
      </c>
      <c r="J6" s="3443"/>
      <c r="K6" s="1966" t="s">
        <v>2266</v>
      </c>
      <c r="L6" s="2997"/>
      <c r="M6" s="2998"/>
      <c r="N6" s="2998"/>
      <c r="O6" s="2998"/>
      <c r="P6" s="3467"/>
      <c r="Q6" s="3468"/>
      <c r="R6" s="3450"/>
      <c r="S6" s="3451"/>
      <c r="T6" s="3452"/>
      <c r="U6" s="3453"/>
      <c r="V6" s="3469"/>
      <c r="W6" s="3469"/>
      <c r="X6" s="1666"/>
      <c r="Y6" s="3452"/>
      <c r="Z6" s="3453"/>
      <c r="AA6" s="3458"/>
      <c r="AB6" s="3458"/>
      <c r="AC6" s="3458"/>
    </row>
    <row r="7" spans="1:30" s="1685" customFormat="1" ht="15.75" thickBot="1">
      <c r="A7" s="1673" t="s">
        <v>2267</v>
      </c>
      <c r="B7" s="1674"/>
      <c r="C7" s="1675">
        <f>'数据-取费表'!B2</f>
        <v>44195</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46" t="s">
        <v>2268</v>
      </c>
      <c r="Q7" s="3454"/>
      <c r="R7" s="1681" t="s">
        <v>25</v>
      </c>
      <c r="S7" s="1682">
        <f t="shared" ref="S7:S15" si="0">F7</f>
        <v>0</v>
      </c>
      <c r="T7" s="1681" t="s">
        <v>25</v>
      </c>
      <c r="U7" s="1682">
        <f t="shared" ref="U7:U15" si="1">H7</f>
        <v>0</v>
      </c>
      <c r="V7" s="1681" t="s">
        <v>25</v>
      </c>
      <c r="W7" s="1682">
        <f t="shared" ref="W7:W15" si="2">J7</f>
        <v>0</v>
      </c>
      <c r="X7" s="1683"/>
      <c r="Y7" s="3446" t="s">
        <v>2268</v>
      </c>
      <c r="Z7" s="3447"/>
      <c r="AA7" s="1684" t="e">
        <f>D7/F7</f>
        <v>#DIV/0!</v>
      </c>
      <c r="AB7" s="1684" t="e">
        <f>D7/H7</f>
        <v>#DIV/0!</v>
      </c>
      <c r="AC7" s="1684" t="e">
        <f>D7/J7</f>
        <v>#DIV/0!</v>
      </c>
    </row>
    <row r="8" spans="1:30" s="1685" customFormat="1" ht="15.75" thickBot="1">
      <c r="A8" s="1673" t="s">
        <v>2269</v>
      </c>
      <c r="B8" s="1674"/>
      <c r="C8" s="1686" t="s">
        <v>2454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46" t="s">
        <v>2271</v>
      </c>
      <c r="Q8" s="3447"/>
      <c r="R8" s="1681" t="s">
        <v>25</v>
      </c>
      <c r="S8" s="1682">
        <f t="shared" si="0"/>
        <v>0</v>
      </c>
      <c r="T8" s="1681" t="s">
        <v>25</v>
      </c>
      <c r="U8" s="1682">
        <f t="shared" si="1"/>
        <v>0</v>
      </c>
      <c r="V8" s="1681" t="s">
        <v>25</v>
      </c>
      <c r="W8" s="1682">
        <f t="shared" si="2"/>
        <v>0</v>
      </c>
      <c r="X8" s="1683"/>
      <c r="Y8" s="3446" t="s">
        <v>2271</v>
      </c>
      <c r="Z8" s="3447"/>
      <c r="AA8" s="1684" t="e">
        <f t="shared" ref="AA8:AA45" si="3">D8/F8</f>
        <v>#DIV/0!</v>
      </c>
      <c r="AB8" s="1684" t="e">
        <f t="shared" ref="AB8:AB45" si="4">D8/H8</f>
        <v>#DIV/0!</v>
      </c>
      <c r="AC8" s="1684" t="e">
        <f t="shared" ref="AC8:AC45" si="5">D8/J8</f>
        <v>#DIV/0!</v>
      </c>
    </row>
    <row r="9" spans="1:30" s="1685" customFormat="1">
      <c r="A9" s="1636" t="s">
        <v>2272</v>
      </c>
      <c r="B9" s="1688" t="s">
        <v>2273</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2" t="s">
        <v>2274</v>
      </c>
      <c r="Q9" s="1635" t="str">
        <f t="shared" ref="Q9:Q15" si="6">B9</f>
        <v>用途</v>
      </c>
      <c r="R9" s="1681" t="s">
        <v>25</v>
      </c>
      <c r="S9" s="1682">
        <f t="shared" si="0"/>
        <v>100</v>
      </c>
      <c r="T9" s="1681" t="s">
        <v>25</v>
      </c>
      <c r="U9" s="1682">
        <f t="shared" si="1"/>
        <v>100</v>
      </c>
      <c r="V9" s="1681" t="s">
        <v>25</v>
      </c>
      <c r="W9" s="1682">
        <f t="shared" si="2"/>
        <v>100</v>
      </c>
      <c r="X9" s="1683"/>
      <c r="Y9" s="3286" t="s">
        <v>2275</v>
      </c>
      <c r="Z9" s="1694" t="str">
        <f t="shared" ref="Z9:Z15" si="7">Q9</f>
        <v>用途</v>
      </c>
      <c r="AA9" s="1684">
        <f t="shared" si="3"/>
        <v>1</v>
      </c>
      <c r="AB9" s="1684">
        <f t="shared" si="4"/>
        <v>1</v>
      </c>
      <c r="AC9" s="1684">
        <f t="shared" si="5"/>
        <v>1</v>
      </c>
    </row>
    <row r="10" spans="1:30" s="1702" customFormat="1" ht="27">
      <c r="A10" s="1695"/>
      <c r="B10" s="1696" t="s">
        <v>2276</v>
      </c>
      <c r="C10" s="1708"/>
      <c r="D10" s="1698">
        <v>100</v>
      </c>
      <c r="E10" s="1760"/>
      <c r="F10" s="1698">
        <f>ROUND(100/'数据-取费表'!B14,0)</f>
        <v>122</v>
      </c>
      <c r="G10" s="1758"/>
      <c r="H10" s="1698">
        <f>ROUND(100/'数据-取费表'!B14,0)</f>
        <v>122</v>
      </c>
      <c r="I10" s="1758"/>
      <c r="J10" s="1698">
        <f>ROUND(100/'数据-取费表'!B14,0)</f>
        <v>122</v>
      </c>
      <c r="K10" s="1970"/>
      <c r="L10" s="2999"/>
      <c r="M10" s="3000"/>
      <c r="N10" s="3000"/>
      <c r="O10" s="3045"/>
      <c r="P10" s="3432"/>
      <c r="Q10" s="1635" t="str">
        <f t="shared" si="6"/>
        <v>土地使用年限（年）</v>
      </c>
      <c r="R10" s="1681" t="s">
        <v>25</v>
      </c>
      <c r="S10" s="1682">
        <f t="shared" si="0"/>
        <v>122</v>
      </c>
      <c r="T10" s="1681" t="s">
        <v>25</v>
      </c>
      <c r="U10" s="1682">
        <f t="shared" si="1"/>
        <v>122</v>
      </c>
      <c r="V10" s="1681" t="s">
        <v>25</v>
      </c>
      <c r="W10" s="1682">
        <f t="shared" si="2"/>
        <v>122</v>
      </c>
      <c r="X10" s="1683"/>
      <c r="Y10" s="3286"/>
      <c r="Z10" s="1694" t="str">
        <f t="shared" si="7"/>
        <v>土地使用年限（年）</v>
      </c>
      <c r="AA10" s="1684">
        <f t="shared" si="3"/>
        <v>0.81967213114754101</v>
      </c>
      <c r="AB10" s="1684">
        <f t="shared" si="4"/>
        <v>0.81967213114754101</v>
      </c>
      <c r="AC10" s="1684">
        <f t="shared" si="5"/>
        <v>0.81967213114754101</v>
      </c>
    </row>
    <row r="11" spans="1:30" ht="15">
      <c r="A11" s="1703"/>
      <c r="B11" s="1696" t="s">
        <v>2277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2"/>
      <c r="Q11" s="1635" t="str">
        <f t="shared" si="6"/>
        <v>容积率</v>
      </c>
      <c r="R11" s="1681" t="s">
        <v>25</v>
      </c>
      <c r="S11" s="1682" t="e">
        <f t="shared" si="0"/>
        <v>#N/A</v>
      </c>
      <c r="T11" s="1681" t="s">
        <v>25</v>
      </c>
      <c r="U11" s="1682" t="e">
        <f t="shared" si="1"/>
        <v>#N/A</v>
      </c>
      <c r="V11" s="1681" t="s">
        <v>25</v>
      </c>
      <c r="W11" s="1682" t="e">
        <f t="shared" si="2"/>
        <v>#N/A</v>
      </c>
      <c r="X11" s="1683"/>
      <c r="Y11" s="3286"/>
      <c r="Z11" s="1694" t="str">
        <f t="shared" si="7"/>
        <v>容积率</v>
      </c>
      <c r="AA11" s="1684" t="e">
        <f t="shared" si="3"/>
        <v>#N/A</v>
      </c>
      <c r="AB11" s="1684" t="e">
        <f t="shared" si="4"/>
        <v>#N/A</v>
      </c>
      <c r="AC11" s="1684" t="e">
        <f t="shared" si="5"/>
        <v>#N/A</v>
      </c>
    </row>
    <row r="12" spans="1:30" s="1685" customFormat="1" ht="15">
      <c r="A12" s="1706"/>
      <c r="B12" s="1707" t="s">
        <v>2455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2"/>
      <c r="Q12" s="1635" t="str">
        <f t="shared" si="6"/>
        <v>配建</v>
      </c>
      <c r="R12" s="1681" t="s">
        <v>25</v>
      </c>
      <c r="S12" s="1682">
        <f t="shared" si="0"/>
        <v>100</v>
      </c>
      <c r="T12" s="1681" t="s">
        <v>25</v>
      </c>
      <c r="U12" s="1682">
        <f t="shared" si="1"/>
        <v>100</v>
      </c>
      <c r="V12" s="1681" t="s">
        <v>25</v>
      </c>
      <c r="W12" s="1682">
        <f t="shared" si="2"/>
        <v>100</v>
      </c>
      <c r="X12" s="1683"/>
      <c r="Y12" s="3286"/>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2"/>
      <c r="Q13" s="1635">
        <f t="shared" si="6"/>
        <v>111</v>
      </c>
      <c r="R13" s="1681" t="s">
        <v>25</v>
      </c>
      <c r="S13" s="1682">
        <f t="shared" si="0"/>
        <v>100</v>
      </c>
      <c r="T13" s="1681" t="s">
        <v>25</v>
      </c>
      <c r="U13" s="1682">
        <f t="shared" si="1"/>
        <v>100</v>
      </c>
      <c r="V13" s="1681" t="s">
        <v>25</v>
      </c>
      <c r="W13" s="1682">
        <f t="shared" si="2"/>
        <v>100</v>
      </c>
      <c r="X13" s="1683"/>
      <c r="Y13" s="3286"/>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2"/>
      <c r="Q14" s="1635">
        <f t="shared" si="6"/>
        <v>111</v>
      </c>
      <c r="R14" s="1681" t="s">
        <v>25</v>
      </c>
      <c r="S14" s="1682">
        <f t="shared" si="0"/>
        <v>100</v>
      </c>
      <c r="T14" s="1681" t="s">
        <v>25</v>
      </c>
      <c r="U14" s="1682">
        <f t="shared" si="1"/>
        <v>100</v>
      </c>
      <c r="V14" s="1681" t="s">
        <v>25</v>
      </c>
      <c r="W14" s="1682">
        <f t="shared" si="2"/>
        <v>100</v>
      </c>
      <c r="X14" s="1683"/>
      <c r="Y14" s="3286"/>
      <c r="Z14" s="1694">
        <f t="shared" si="7"/>
        <v>111</v>
      </c>
      <c r="AA14" s="1684">
        <f>D14/F14</f>
        <v>1</v>
      </c>
      <c r="AB14" s="1684">
        <f>D14/H14</f>
        <v>1</v>
      </c>
      <c r="AC14" s="1684">
        <f>D14/J14</f>
        <v>1</v>
      </c>
    </row>
    <row r="15" spans="1:30" ht="99.75">
      <c r="A15" s="1663" t="s">
        <v>2278</v>
      </c>
      <c r="B15" s="1973" t="s">
        <v>1712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5" t="s">
        <v>2279</v>
      </c>
      <c r="Q15" s="1616" t="str">
        <f t="shared" si="6"/>
        <v>居住社区成熟度</v>
      </c>
      <c r="R15" s="1726" t="s">
        <v>25</v>
      </c>
      <c r="S15" s="1727">
        <f t="shared" si="0"/>
        <v>100</v>
      </c>
      <c r="T15" s="1726" t="s">
        <v>25</v>
      </c>
      <c r="U15" s="1727">
        <f t="shared" si="1"/>
        <v>100</v>
      </c>
      <c r="V15" s="1726" t="s">
        <v>25</v>
      </c>
      <c r="W15" s="1727">
        <f t="shared" si="2"/>
        <v>100</v>
      </c>
      <c r="X15" s="1666"/>
      <c r="Y15" s="3435" t="s">
        <v>2279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6"/>
      <c r="Q16" s="1616"/>
      <c r="R16" s="1726"/>
      <c r="S16" s="1727"/>
      <c r="T16" s="1726"/>
      <c r="U16" s="1727"/>
      <c r="V16" s="1726"/>
      <c r="W16" s="1727"/>
      <c r="X16" s="1666"/>
      <c r="Y16" s="3436"/>
      <c r="Z16" s="1728"/>
      <c r="AA16" s="1729">
        <v>1</v>
      </c>
      <c r="AB16" s="1729">
        <v>1</v>
      </c>
      <c r="AC16" s="1729">
        <v>1</v>
      </c>
    </row>
    <row r="17" spans="1:29" ht="71.25">
      <c r="A17" s="1668"/>
      <c r="B17" s="1977" t="s">
        <v>2364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6"/>
      <c r="Q17" s="1616" t="str">
        <f>B17</f>
        <v>商业繁华度</v>
      </c>
      <c r="R17" s="1726" t="s">
        <v>25</v>
      </c>
      <c r="S17" s="1727">
        <f>F17</f>
        <v>100</v>
      </c>
      <c r="T17" s="1726" t="s">
        <v>25</v>
      </c>
      <c r="U17" s="1727">
        <f>H17</f>
        <v>100</v>
      </c>
      <c r="V17" s="1726" t="s">
        <v>25</v>
      </c>
      <c r="W17" s="1727">
        <f>J17</f>
        <v>100</v>
      </c>
      <c r="X17" s="1666"/>
      <c r="Y17" s="3436"/>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6"/>
      <c r="Q18" s="1616"/>
      <c r="R18" s="1726"/>
      <c r="S18" s="1727"/>
      <c r="T18" s="1726"/>
      <c r="U18" s="1727"/>
      <c r="V18" s="1726"/>
      <c r="W18" s="1727"/>
      <c r="X18" s="1666"/>
      <c r="Y18" s="3436"/>
      <c r="Z18" s="1728"/>
      <c r="AA18" s="1729">
        <v>1</v>
      </c>
      <c r="AB18" s="1729">
        <v>1</v>
      </c>
      <c r="AC18" s="1729">
        <v>1</v>
      </c>
    </row>
    <row r="19" spans="1:29" ht="71.25">
      <c r="A19" s="1668"/>
      <c r="B19" s="1977" t="s">
        <v>2393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6"/>
      <c r="Q19" s="1616" t="str">
        <f>B19</f>
        <v>办公集聚程度</v>
      </c>
      <c r="R19" s="1726" t="s">
        <v>25</v>
      </c>
      <c r="S19" s="1727">
        <f>F19</f>
        <v>100</v>
      </c>
      <c r="T19" s="1726" t="s">
        <v>25</v>
      </c>
      <c r="U19" s="1727">
        <f>H19</f>
        <v>100</v>
      </c>
      <c r="V19" s="1726" t="s">
        <v>25</v>
      </c>
      <c r="W19" s="1727">
        <f>J19</f>
        <v>100</v>
      </c>
      <c r="X19" s="1666"/>
      <c r="Y19" s="3436"/>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6"/>
      <c r="Q20" s="1616"/>
      <c r="R20" s="1726"/>
      <c r="S20" s="1727"/>
      <c r="T20" s="1726"/>
      <c r="U20" s="1727"/>
      <c r="V20" s="1726"/>
      <c r="W20" s="1727"/>
      <c r="X20" s="1666"/>
      <c r="Y20" s="3436"/>
      <c r="Z20" s="1728"/>
      <c r="AA20" s="1729">
        <v>1</v>
      </c>
      <c r="AB20" s="1729">
        <v>1</v>
      </c>
      <c r="AC20" s="1729">
        <v>1</v>
      </c>
    </row>
    <row r="21" spans="1:29" ht="85.5">
      <c r="A21" s="1668"/>
      <c r="B21" s="1977" t="s">
        <v>2416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6"/>
      <c r="Q21" s="1616" t="str">
        <f>B21</f>
        <v>交通便捷度</v>
      </c>
      <c r="R21" s="1726" t="s">
        <v>25</v>
      </c>
      <c r="S21" s="1727">
        <f>F21</f>
        <v>100</v>
      </c>
      <c r="T21" s="1726" t="s">
        <v>25</v>
      </c>
      <c r="U21" s="1727">
        <f>H21</f>
        <v>100</v>
      </c>
      <c r="V21" s="1726" t="s">
        <v>25</v>
      </c>
      <c r="W21" s="1727">
        <f>J21</f>
        <v>100</v>
      </c>
      <c r="X21" s="1666"/>
      <c r="Y21" s="3436"/>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6"/>
      <c r="Q22" s="1616"/>
      <c r="R22" s="1726"/>
      <c r="S22" s="1727"/>
      <c r="T22" s="1726"/>
      <c r="U22" s="1727"/>
      <c r="V22" s="1726"/>
      <c r="W22" s="1727"/>
      <c r="X22" s="1666"/>
      <c r="Y22" s="3436"/>
      <c r="Z22" s="1728"/>
      <c r="AA22" s="1729">
        <v>1</v>
      </c>
      <c r="AB22" s="1729">
        <v>1</v>
      </c>
      <c r="AC22" s="1729">
        <v>1</v>
      </c>
    </row>
    <row r="23" spans="1:29" ht="15">
      <c r="A23" s="1668"/>
      <c r="B23" s="1458" t="s">
        <v>2456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6"/>
      <c r="Q23" s="1616" t="str">
        <f t="shared" ref="Q23:Q37" si="8">B23</f>
        <v>区域土地利用方向</v>
      </c>
      <c r="R23" s="1726" t="s">
        <v>25</v>
      </c>
      <c r="S23" s="1727">
        <f>F23</f>
        <v>100</v>
      </c>
      <c r="T23" s="1726" t="s">
        <v>25</v>
      </c>
      <c r="U23" s="1727">
        <f>H23</f>
        <v>100</v>
      </c>
      <c r="V23" s="1726" t="s">
        <v>25</v>
      </c>
      <c r="W23" s="1727">
        <f>J23</f>
        <v>100</v>
      </c>
      <c r="X23" s="1666"/>
      <c r="Y23" s="3436"/>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6"/>
      <c r="Q24" s="1616"/>
      <c r="R24" s="1726"/>
      <c r="S24" s="1727"/>
      <c r="T24" s="1726"/>
      <c r="U24" s="1727"/>
      <c r="V24" s="1726"/>
      <c r="W24" s="1727"/>
      <c r="X24" s="1666"/>
      <c r="Y24" s="3436"/>
      <c r="Z24" s="1728"/>
      <c r="AA24" s="1729"/>
      <c r="AB24" s="1729"/>
      <c r="AC24" s="1729"/>
    </row>
    <row r="25" spans="1:29" ht="57">
      <c r="A25" s="1668"/>
      <c r="B25" s="1982" t="s">
        <v>2457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6"/>
      <c r="Q25" s="1616" t="str">
        <f t="shared" si="8"/>
        <v>自然及人文环境状况</v>
      </c>
      <c r="R25" s="1726" t="s">
        <v>25</v>
      </c>
      <c r="S25" s="1727">
        <f>F25</f>
        <v>100</v>
      </c>
      <c r="T25" s="1726" t="s">
        <v>25</v>
      </c>
      <c r="U25" s="1727">
        <f>H25</f>
        <v>100</v>
      </c>
      <c r="V25" s="1726" t="s">
        <v>25</v>
      </c>
      <c r="W25" s="1727">
        <f>J25</f>
        <v>100</v>
      </c>
      <c r="X25" s="1666"/>
      <c r="Y25" s="3436"/>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6"/>
      <c r="Q26" s="1616"/>
      <c r="R26" s="1726"/>
      <c r="S26" s="1727"/>
      <c r="T26" s="1726"/>
      <c r="U26" s="1727"/>
      <c r="V26" s="1726"/>
      <c r="W26" s="1727"/>
      <c r="X26" s="1666"/>
      <c r="Y26" s="3436"/>
      <c r="Z26" s="1728"/>
      <c r="AA26" s="1729">
        <v>1</v>
      </c>
      <c r="AB26" s="1729">
        <v>1</v>
      </c>
      <c r="AC26" s="1729">
        <v>1</v>
      </c>
    </row>
    <row r="27" spans="1:29" ht="42.75">
      <c r="A27" s="1668"/>
      <c r="B27" s="1982" t="s">
        <v>2365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6"/>
      <c r="Q27" s="1635" t="str">
        <f t="shared" ref="Q27" si="9">B27</f>
        <v>公共配套设施</v>
      </c>
      <c r="R27" s="1681" t="s">
        <v>25</v>
      </c>
      <c r="S27" s="1682">
        <f>F27</f>
        <v>100</v>
      </c>
      <c r="T27" s="1681" t="s">
        <v>25</v>
      </c>
      <c r="U27" s="1682">
        <f>H27</f>
        <v>100</v>
      </c>
      <c r="V27" s="1681" t="s">
        <v>25</v>
      </c>
      <c r="W27" s="1682">
        <f>J27</f>
        <v>100</v>
      </c>
      <c r="X27" s="1666"/>
      <c r="Y27" s="3436"/>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6"/>
      <c r="Q28" s="1616"/>
      <c r="R28" s="1726"/>
      <c r="S28" s="1727"/>
      <c r="T28" s="1726"/>
      <c r="U28" s="1727"/>
      <c r="V28" s="1726"/>
      <c r="W28" s="1727"/>
      <c r="X28" s="1666"/>
      <c r="Y28" s="3436"/>
      <c r="Z28" s="1694"/>
      <c r="AA28" s="1729">
        <v>1</v>
      </c>
      <c r="AB28" s="1729">
        <v>1</v>
      </c>
      <c r="AC28" s="1729">
        <v>1</v>
      </c>
    </row>
    <row r="29" spans="1:29" s="1685" customFormat="1" ht="28.5">
      <c r="A29" s="1988"/>
      <c r="B29" s="1982" t="s">
        <v>2366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6"/>
      <c r="Q29" s="1635" t="str">
        <f t="shared" si="8"/>
        <v>基础设施水平</v>
      </c>
      <c r="R29" s="1681" t="s">
        <v>25</v>
      </c>
      <c r="S29" s="1682">
        <f>F29</f>
        <v>100</v>
      </c>
      <c r="T29" s="1681" t="s">
        <v>25</v>
      </c>
      <c r="U29" s="1682">
        <f>H29</f>
        <v>100</v>
      </c>
      <c r="V29" s="1681" t="s">
        <v>25</v>
      </c>
      <c r="W29" s="1682">
        <f>J29</f>
        <v>100</v>
      </c>
      <c r="X29" s="1683"/>
      <c r="Y29" s="3436"/>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6"/>
      <c r="Q30" s="1635"/>
      <c r="R30" s="1681"/>
      <c r="S30" s="1682"/>
      <c r="T30" s="1681"/>
      <c r="U30" s="1682"/>
      <c r="V30" s="1681"/>
      <c r="W30" s="1682"/>
      <c r="X30" s="1683"/>
      <c r="Y30" s="3436"/>
      <c r="Z30" s="1694"/>
      <c r="AA30" s="1729">
        <v>1</v>
      </c>
      <c r="AB30" s="1729">
        <v>1</v>
      </c>
      <c r="AC30" s="1729">
        <v>1</v>
      </c>
    </row>
    <row r="31" spans="1:29" ht="15">
      <c r="A31" s="1668"/>
      <c r="B31" s="1979" t="s">
        <v>2367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6"/>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6"/>
      <c r="Z31" s="1728" t="str">
        <f t="shared" ref="Z31:Z45" si="13">Q31</f>
        <v>临街状况</v>
      </c>
      <c r="AA31" s="1729">
        <f t="shared" si="3"/>
        <v>1</v>
      </c>
      <c r="AB31" s="1729">
        <f t="shared" si="4"/>
        <v>1</v>
      </c>
      <c r="AC31" s="1729">
        <f t="shared" si="5"/>
        <v>1</v>
      </c>
    </row>
    <row r="32" spans="1:29" ht="27">
      <c r="A32" s="1668"/>
      <c r="B32" s="1982" t="s">
        <v>2397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6"/>
      <c r="Q32" s="1616" t="str">
        <f t="shared" si="8"/>
        <v>毗邻道路的类型与等级</v>
      </c>
      <c r="R32" s="1726" t="s">
        <v>25</v>
      </c>
      <c r="S32" s="1727">
        <f t="shared" si="10"/>
        <v>100</v>
      </c>
      <c r="T32" s="1726" t="s">
        <v>25</v>
      </c>
      <c r="U32" s="1727">
        <f t="shared" si="11"/>
        <v>100</v>
      </c>
      <c r="V32" s="1726" t="s">
        <v>25</v>
      </c>
      <c r="W32" s="1727">
        <f t="shared" si="12"/>
        <v>100</v>
      </c>
      <c r="X32" s="1666"/>
      <c r="Y32" s="3436"/>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6"/>
      <c r="Q33" s="1616"/>
      <c r="R33" s="1726"/>
      <c r="S33" s="1727"/>
      <c r="T33" s="1726"/>
      <c r="U33" s="1727"/>
      <c r="V33" s="1726"/>
      <c r="W33" s="1727"/>
      <c r="X33" s="1666"/>
      <c r="Y33" s="3436"/>
      <c r="Z33" s="1728"/>
      <c r="AA33" s="1729">
        <v>1</v>
      </c>
      <c r="AB33" s="1729">
        <v>1</v>
      </c>
      <c r="AC33" s="1729">
        <v>1</v>
      </c>
    </row>
    <row r="34" spans="1:29" ht="15">
      <c r="A34" s="1668"/>
      <c r="B34" s="1991" t="s">
        <v>2458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6"/>
      <c r="Q34" s="1616" t="str">
        <f t="shared" si="8"/>
        <v>土地级别</v>
      </c>
      <c r="R34" s="1726" t="s">
        <v>25</v>
      </c>
      <c r="S34" s="1727">
        <f t="shared" si="10"/>
        <v>100</v>
      </c>
      <c r="T34" s="1726" t="s">
        <v>25</v>
      </c>
      <c r="U34" s="1727">
        <f t="shared" si="11"/>
        <v>100</v>
      </c>
      <c r="V34" s="1726" t="s">
        <v>25</v>
      </c>
      <c r="W34" s="1727">
        <f t="shared" si="12"/>
        <v>100</v>
      </c>
      <c r="X34" s="1666"/>
      <c r="Y34" s="3436"/>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6"/>
      <c r="Q35" s="1616">
        <f t="shared" si="8"/>
        <v>111</v>
      </c>
      <c r="R35" s="1726" t="s">
        <v>25</v>
      </c>
      <c r="S35" s="1727">
        <f t="shared" si="10"/>
        <v>100</v>
      </c>
      <c r="T35" s="1726" t="s">
        <v>25</v>
      </c>
      <c r="U35" s="1727">
        <f t="shared" si="11"/>
        <v>100</v>
      </c>
      <c r="V35" s="1726" t="s">
        <v>25</v>
      </c>
      <c r="W35" s="1727">
        <f t="shared" si="12"/>
        <v>100</v>
      </c>
      <c r="X35" s="1666"/>
      <c r="Y35" s="3436"/>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01" t="s">
        <v>2285</v>
      </c>
      <c r="Q36" s="1616">
        <f t="shared" si="8"/>
        <v>111</v>
      </c>
      <c r="R36" s="1726" t="s">
        <v>25</v>
      </c>
      <c r="S36" s="1727">
        <f t="shared" si="10"/>
        <v>100</v>
      </c>
      <c r="T36" s="1726" t="s">
        <v>25</v>
      </c>
      <c r="U36" s="1727">
        <f t="shared" si="11"/>
        <v>100</v>
      </c>
      <c r="V36" s="1726" t="s">
        <v>25</v>
      </c>
      <c r="W36" s="1727">
        <f t="shared" si="12"/>
        <v>100</v>
      </c>
      <c r="X36" s="1666"/>
      <c r="Y36" s="3440" t="s">
        <v>2285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40"/>
      <c r="Q37" s="1616">
        <f t="shared" si="8"/>
        <v>111</v>
      </c>
      <c r="R37" s="1768" t="s">
        <v>25</v>
      </c>
      <c r="S37" s="1769">
        <f t="shared" si="10"/>
        <v>100</v>
      </c>
      <c r="T37" s="1768" t="s">
        <v>25</v>
      </c>
      <c r="U37" s="1769">
        <f t="shared" si="11"/>
        <v>100</v>
      </c>
      <c r="V37" s="1768" t="s">
        <v>25</v>
      </c>
      <c r="W37" s="1769">
        <f t="shared" si="12"/>
        <v>100</v>
      </c>
      <c r="X37" s="1770"/>
      <c r="Y37" s="3440"/>
      <c r="Z37" s="1771">
        <f t="shared" si="13"/>
        <v>111</v>
      </c>
      <c r="AA37" s="1729">
        <f t="shared" si="3"/>
        <v>1</v>
      </c>
      <c r="AB37" s="1729">
        <f t="shared" si="4"/>
        <v>1</v>
      </c>
      <c r="AC37" s="1729">
        <f t="shared" si="5"/>
        <v>1</v>
      </c>
    </row>
    <row r="38" spans="1:29" ht="15">
      <c r="A38" s="1663" t="s">
        <v>2283</v>
      </c>
      <c r="B38" s="1744" t="s">
        <v>2459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40"/>
      <c r="Q38" s="1616" t="str">
        <f>B38</f>
        <v>宗地面积</v>
      </c>
      <c r="R38" s="1726" t="s">
        <v>25</v>
      </c>
      <c r="S38" s="1727" t="e">
        <f t="shared" si="10"/>
        <v>#N/A</v>
      </c>
      <c r="T38" s="1726" t="s">
        <v>25</v>
      </c>
      <c r="U38" s="1727" t="e">
        <f t="shared" si="11"/>
        <v>#N/A</v>
      </c>
      <c r="V38" s="1726" t="s">
        <v>25</v>
      </c>
      <c r="W38" s="1727" t="e">
        <f t="shared" si="12"/>
        <v>#N/A</v>
      </c>
      <c r="X38" s="1666"/>
      <c r="Y38" s="3440"/>
      <c r="Z38" s="1728" t="str">
        <f t="shared" si="13"/>
        <v>宗地面积</v>
      </c>
      <c r="AA38" s="1729" t="e">
        <f t="shared" si="3"/>
        <v>#N/A</v>
      </c>
      <c r="AB38" s="1729" t="e">
        <f t="shared" si="4"/>
        <v>#N/A</v>
      </c>
      <c r="AC38" s="1729" t="e">
        <f t="shared" si="5"/>
        <v>#N/A</v>
      </c>
    </row>
    <row r="39" spans="1:29" ht="15">
      <c r="A39" s="1773"/>
      <c r="B39" s="1696" t="s">
        <v>2460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40"/>
      <c r="Q39" s="1616" t="str">
        <f t="shared" ref="Q39:Q45" si="14">B39</f>
        <v>宗地形状</v>
      </c>
      <c r="R39" s="1726" t="s">
        <v>25</v>
      </c>
      <c r="S39" s="1727">
        <f t="shared" si="10"/>
        <v>100</v>
      </c>
      <c r="T39" s="1726" t="s">
        <v>25</v>
      </c>
      <c r="U39" s="1727">
        <f t="shared" si="11"/>
        <v>100</v>
      </c>
      <c r="V39" s="1726" t="s">
        <v>25</v>
      </c>
      <c r="W39" s="1727">
        <f t="shared" si="12"/>
        <v>100</v>
      </c>
      <c r="X39" s="1666"/>
      <c r="Y39" s="3440"/>
      <c r="Z39" s="1728" t="str">
        <f t="shared" si="13"/>
        <v>宗地形状</v>
      </c>
      <c r="AA39" s="1729">
        <f t="shared" si="3"/>
        <v>1</v>
      </c>
      <c r="AB39" s="1729">
        <f t="shared" si="4"/>
        <v>1</v>
      </c>
      <c r="AC39" s="1729">
        <f t="shared" si="5"/>
        <v>1</v>
      </c>
    </row>
    <row r="40" spans="1:29" ht="15">
      <c r="A40" s="1773"/>
      <c r="B40" s="1696" t="s">
        <v>2461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40"/>
      <c r="Q40" s="1616" t="str">
        <f t="shared" si="14"/>
        <v>临街宽度及深度</v>
      </c>
      <c r="R40" s="1726" t="s">
        <v>25</v>
      </c>
      <c r="S40" s="1727">
        <f t="shared" si="10"/>
        <v>100</v>
      </c>
      <c r="T40" s="1726" t="s">
        <v>25</v>
      </c>
      <c r="U40" s="1727">
        <f t="shared" si="11"/>
        <v>100</v>
      </c>
      <c r="V40" s="1726" t="s">
        <v>25</v>
      </c>
      <c r="W40" s="1727">
        <f t="shared" si="12"/>
        <v>100</v>
      </c>
      <c r="X40" s="1666"/>
      <c r="Y40" s="3440"/>
      <c r="Z40" s="1728" t="str">
        <f t="shared" si="13"/>
        <v>临街宽度及深度</v>
      </c>
      <c r="AA40" s="1729">
        <f t="shared" si="3"/>
        <v>1</v>
      </c>
      <c r="AB40" s="1729">
        <f t="shared" si="4"/>
        <v>1</v>
      </c>
      <c r="AC40" s="1729">
        <f t="shared" si="5"/>
        <v>1</v>
      </c>
    </row>
    <row r="41" spans="1:29" s="1685" customFormat="1" ht="15">
      <c r="A41" s="1776"/>
      <c r="B41" s="1696" t="s">
        <v>2462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40"/>
      <c r="Q41" s="1616" t="str">
        <f t="shared" si="14"/>
        <v>宗地开发程度</v>
      </c>
      <c r="R41" s="1681" t="s">
        <v>25</v>
      </c>
      <c r="S41" s="1682">
        <f t="shared" si="10"/>
        <v>100</v>
      </c>
      <c r="T41" s="1681" t="s">
        <v>25</v>
      </c>
      <c r="U41" s="1682">
        <f t="shared" si="11"/>
        <v>100</v>
      </c>
      <c r="V41" s="1681" t="s">
        <v>25</v>
      </c>
      <c r="W41" s="1682">
        <f t="shared" si="12"/>
        <v>100</v>
      </c>
      <c r="X41" s="1683"/>
      <c r="Y41" s="3440"/>
      <c r="Z41" s="1694" t="str">
        <f t="shared" si="13"/>
        <v>宗地开发程度</v>
      </c>
      <c r="AA41" s="1684">
        <f t="shared" si="3"/>
        <v>1</v>
      </c>
      <c r="AB41" s="1684">
        <f t="shared" si="4"/>
        <v>1</v>
      </c>
      <c r="AC41" s="1684">
        <f t="shared" si="5"/>
        <v>1</v>
      </c>
    </row>
    <row r="42" spans="1:29" ht="15">
      <c r="A42" s="1773"/>
      <c r="B42" s="1696" t="s">
        <v>2463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40" t="s">
        <v>2285</v>
      </c>
      <c r="Q42" s="1616" t="str">
        <f t="shared" si="14"/>
        <v>工程地质条件</v>
      </c>
      <c r="R42" s="1726" t="s">
        <v>25</v>
      </c>
      <c r="S42" s="1727">
        <f t="shared" si="10"/>
        <v>100</v>
      </c>
      <c r="T42" s="1726" t="s">
        <v>25</v>
      </c>
      <c r="U42" s="1727">
        <f t="shared" si="11"/>
        <v>100</v>
      </c>
      <c r="V42" s="1726" t="s">
        <v>25</v>
      </c>
      <c r="W42" s="1727">
        <f t="shared" si="12"/>
        <v>100</v>
      </c>
      <c r="X42" s="1666"/>
      <c r="Y42" s="3440" t="s">
        <v>2285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40"/>
      <c r="Q43" s="1616">
        <f t="shared" si="14"/>
        <v>111</v>
      </c>
      <c r="R43" s="1726" t="s">
        <v>25</v>
      </c>
      <c r="S43" s="1727">
        <f t="shared" si="10"/>
        <v>100</v>
      </c>
      <c r="T43" s="1726" t="s">
        <v>25</v>
      </c>
      <c r="U43" s="1727">
        <f t="shared" si="11"/>
        <v>100</v>
      </c>
      <c r="V43" s="1726" t="s">
        <v>25</v>
      </c>
      <c r="W43" s="1727">
        <f t="shared" si="12"/>
        <v>100</v>
      </c>
      <c r="X43" s="1666"/>
      <c r="Y43" s="3440"/>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40"/>
      <c r="Q44" s="1616">
        <f t="shared" si="14"/>
        <v>111</v>
      </c>
      <c r="R44" s="1726" t="s">
        <v>25</v>
      </c>
      <c r="S44" s="1727">
        <f t="shared" si="10"/>
        <v>100</v>
      </c>
      <c r="T44" s="1726" t="s">
        <v>25</v>
      </c>
      <c r="U44" s="1727">
        <f t="shared" si="11"/>
        <v>100</v>
      </c>
      <c r="V44" s="1726" t="s">
        <v>25</v>
      </c>
      <c r="W44" s="1727">
        <f t="shared" si="12"/>
        <v>100</v>
      </c>
      <c r="X44" s="1666"/>
      <c r="Y44" s="3440"/>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40"/>
      <c r="Q45" s="1616">
        <f t="shared" si="14"/>
        <v>111</v>
      </c>
      <c r="R45" s="1768" t="s">
        <v>25</v>
      </c>
      <c r="S45" s="1769">
        <f t="shared" si="10"/>
        <v>100</v>
      </c>
      <c r="T45" s="1768" t="s">
        <v>25</v>
      </c>
      <c r="U45" s="1769">
        <f t="shared" si="11"/>
        <v>100</v>
      </c>
      <c r="V45" s="1768" t="s">
        <v>25</v>
      </c>
      <c r="W45" s="1769">
        <f t="shared" si="12"/>
        <v>100</v>
      </c>
      <c r="X45" s="1770"/>
      <c r="Y45" s="3440"/>
      <c r="Z45" s="1771">
        <f t="shared" si="13"/>
        <v>111</v>
      </c>
      <c r="AA45" s="1729">
        <f t="shared" si="3"/>
        <v>1</v>
      </c>
      <c r="AB45" s="1729">
        <f t="shared" si="4"/>
        <v>1</v>
      </c>
      <c r="AC45" s="1729">
        <f t="shared" si="5"/>
        <v>1</v>
      </c>
    </row>
    <row r="46" spans="1:29" ht="15">
      <c r="A46" s="1782" t="s">
        <v>2427</v>
      </c>
      <c r="B46" s="2007" t="s">
        <v>2464</v>
      </c>
      <c r="C46" s="2008" t="s">
        <v>1</v>
      </c>
      <c r="D46" s="2009"/>
      <c r="E46" s="2010"/>
      <c r="F46" s="2011"/>
      <c r="G46" s="2012"/>
      <c r="H46" s="2013"/>
      <c r="I46" s="2010"/>
      <c r="J46" s="2013"/>
      <c r="K46" s="2014"/>
      <c r="L46" s="3003"/>
      <c r="N46" s="2998"/>
      <c r="P46" s="3432" t="str">
        <f>A46</f>
        <v>成交单价</v>
      </c>
      <c r="Q46" s="3432"/>
      <c r="R46" s="3469">
        <f>E46</f>
        <v>0</v>
      </c>
      <c r="S46" s="3469"/>
      <c r="T46" s="3469">
        <f>G46</f>
        <v>0</v>
      </c>
      <c r="U46" s="3469"/>
      <c r="V46" s="3469">
        <f>I46</f>
        <v>0</v>
      </c>
      <c r="W46" s="3469"/>
      <c r="X46" s="1792"/>
      <c r="Y46" s="1793"/>
      <c r="Z46" s="1792"/>
      <c r="AA46" s="1792"/>
      <c r="AB46" s="1792"/>
      <c r="AC46" s="1792"/>
    </row>
    <row r="47" spans="1:29" ht="15.75" thickBot="1">
      <c r="A47" s="1794" t="s">
        <v>2380</v>
      </c>
      <c r="B47" s="2015"/>
      <c r="C47" s="2016" t="e">
        <f>R48</f>
        <v>#DIV/0!</v>
      </c>
      <c r="D47" s="1797" t="s">
        <v>2753</v>
      </c>
      <c r="E47" s="2016" t="e">
        <f>R47</f>
        <v>#DIV/0!</v>
      </c>
      <c r="F47" s="1799"/>
      <c r="G47" s="2017" t="e">
        <f>T47</f>
        <v>#DIV/0!</v>
      </c>
      <c r="H47" s="1799"/>
      <c r="I47" s="2016" t="e">
        <f>V47</f>
        <v>#DIV/0!</v>
      </c>
      <c r="J47" s="1799"/>
      <c r="K47" s="2512">
        <f>F47+H47+J47</f>
        <v>0</v>
      </c>
      <c r="L47" s="3003"/>
      <c r="P47" s="3432" t="str">
        <f>A47</f>
        <v>比较价值（元/平方米）</v>
      </c>
      <c r="Q47" s="3432"/>
      <c r="R47" s="3544" t="e">
        <f>ROUND(PRODUCT(R46,AA7:AA45),0)</f>
        <v>#DIV/0!</v>
      </c>
      <c r="S47" s="3544"/>
      <c r="T47" s="3544" t="e">
        <f>ROUND(PRODUCT(T46,AB7:AB45),0)</f>
        <v>#DIV/0!</v>
      </c>
      <c r="U47" s="3544"/>
      <c r="V47" s="3544" t="e">
        <f>ROUND(PRODUCT(V46,AC7:AC45),0)</f>
        <v>#DIV/0!</v>
      </c>
      <c r="W47" s="3544"/>
      <c r="X47" s="1792"/>
      <c r="Y47" s="1792"/>
      <c r="Z47" s="1792"/>
      <c r="AA47" s="1792"/>
      <c r="AB47" s="1792"/>
      <c r="AC47" s="1792"/>
    </row>
    <row r="48" spans="1:29" ht="15.75" thickBot="1">
      <c r="A48" s="1800" t="s">
        <v>2403</v>
      </c>
      <c r="B48" s="1801"/>
      <c r="C48" s="2018" t="e">
        <f>R48</f>
        <v>#DIV/0!</v>
      </c>
      <c r="D48" s="2018"/>
      <c r="E48" s="2018"/>
      <c r="F48" s="2018"/>
      <c r="G48" s="2018"/>
      <c r="H48" s="2018"/>
      <c r="I48" s="2018"/>
      <c r="J48" s="2018"/>
      <c r="K48" s="2019"/>
      <c r="L48" s="3003"/>
      <c r="P48" s="3429" t="str">
        <f>A48</f>
        <v>估价对象XX用房的比较价值（楼面单价，元/平方米）</v>
      </c>
      <c r="Q48" s="3430"/>
      <c r="R48" s="3545" t="e">
        <f>ROUND(IF(D47="简单平均",AVERAGE(R47:W47),R47*F47+T47*H47+V47*J47),0)</f>
        <v>#DIV/0!</v>
      </c>
      <c r="S48" s="3545"/>
      <c r="T48" s="3545"/>
      <c r="U48" s="3545"/>
      <c r="V48" s="3545"/>
      <c r="W48" s="3545"/>
      <c r="X48" s="1792"/>
      <c r="Y48" s="1792"/>
      <c r="Z48" s="1792"/>
      <c r="AA48" s="1792"/>
      <c r="AB48" s="1792"/>
      <c r="AC48" s="1792"/>
    </row>
    <row r="49" spans="1:14">
      <c r="G49" s="3007"/>
    </row>
    <row r="51" spans="1:14" ht="13.5" customHeight="1">
      <c r="C51" s="383" t="s">
        <v>2382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2465</v>
      </c>
      <c r="B55" s="2020" t="s">
        <v>2466</v>
      </c>
      <c r="C55" s="2021" t="s">
        <v>2467</v>
      </c>
      <c r="D55" s="2022" t="s">
        <v>2468</v>
      </c>
      <c r="E55" s="2023" t="s">
        <v>2469</v>
      </c>
      <c r="F55" s="2024" t="s">
        <v>2470</v>
      </c>
      <c r="G55" s="1919" t="s">
        <v>2471</v>
      </c>
      <c r="H55" s="1919" t="str">
        <f>项目基本情况!G8</f>
        <v>XX</v>
      </c>
      <c r="I55" s="1594" t="s">
        <v>2472</v>
      </c>
      <c r="J55" s="2025"/>
      <c r="K55" s="1806"/>
    </row>
    <row r="56" spans="1:14" s="2032" customFormat="1">
      <c r="A56" s="2026" t="s">
        <v>2473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2474</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2475</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0"/>
      <c r="L58" s="3004"/>
      <c r="M58" s="1814"/>
      <c r="N58" s="1814"/>
    </row>
    <row r="59" spans="1:14" s="2032" customFormat="1">
      <c r="A59" s="2033" t="s">
        <v>2476</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2477</v>
      </c>
      <c r="B60" s="2034" t="e">
        <f t="shared" si="16"/>
        <v>#DIV/0!</v>
      </c>
      <c r="C60" s="50">
        <f t="shared" si="17"/>
        <v>0.3</v>
      </c>
      <c r="D60" s="2035">
        <v>0.25</v>
      </c>
      <c r="E60" s="2029">
        <v>0</v>
      </c>
      <c r="F60" s="2030" t="e">
        <f t="shared" si="15"/>
        <v>#DIV/0!</v>
      </c>
      <c r="G60" s="2031">
        <f>SUMIF(修正!$A$45:$A$56,项目基本情况!$F$9,修正!E45:E56)</f>
        <v>0.3</v>
      </c>
      <c r="H60" s="2036"/>
      <c r="I60" s="1814"/>
      <c r="J60" s="1814"/>
      <c r="K60" s="3010"/>
      <c r="L60" s="3004"/>
      <c r="M60" s="1814"/>
      <c r="N60" s="1814"/>
    </row>
    <row r="61" spans="1:14" s="2032" customFormat="1">
      <c r="A61" s="2033" t="s">
        <v>2478</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2479</v>
      </c>
      <c r="B62" s="2034" t="e">
        <f t="shared" si="16"/>
        <v>#DIV/0!</v>
      </c>
      <c r="C62" s="50">
        <f t="shared" si="17"/>
        <v>0.3</v>
      </c>
      <c r="D62" s="2035">
        <v>0.25</v>
      </c>
      <c r="E62" s="2029">
        <v>0</v>
      </c>
      <c r="F62" s="2030" t="e">
        <f t="shared" si="15"/>
        <v>#DIV/0!</v>
      </c>
      <c r="G62" s="2031">
        <f>SUMIF(修正!A45:A56,项目基本情况!F9,修正!G45:G56)</f>
        <v>0.3</v>
      </c>
      <c r="H62" s="2036"/>
      <c r="I62" s="1814"/>
      <c r="J62" s="1814"/>
      <c r="K62" s="3010"/>
      <c r="L62" s="3004"/>
      <c r="M62" s="1814"/>
      <c r="N62" s="1814"/>
    </row>
    <row r="63" spans="1:14" s="2032" customFormat="1">
      <c r="A63" s="2033" t="s">
        <v>2480</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2481</v>
      </c>
      <c r="B64" s="2034" t="e">
        <f t="shared" si="16"/>
        <v>#DIV/0!</v>
      </c>
      <c r="C64" s="50">
        <f t="shared" si="17"/>
        <v>0.25</v>
      </c>
      <c r="D64" s="2035">
        <v>0.25</v>
      </c>
      <c r="E64" s="2029">
        <v>0</v>
      </c>
      <c r="F64" s="2030" t="e">
        <f t="shared" si="15"/>
        <v>#DIV/0!</v>
      </c>
      <c r="G64" s="2031">
        <f>G63</f>
        <v>0.25</v>
      </c>
      <c r="H64" s="2036"/>
      <c r="I64" s="1814"/>
      <c r="J64" s="1814"/>
      <c r="K64" s="3010"/>
      <c r="L64" s="3004"/>
      <c r="M64" s="1814"/>
      <c r="N64" s="1814"/>
    </row>
    <row r="65" spans="1:17" s="2032" customFormat="1">
      <c r="A65" s="2033" t="s">
        <v>2482</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2483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2385</v>
      </c>
      <c r="B69" s="1792"/>
      <c r="C69" s="1818"/>
      <c r="D69" s="1818"/>
      <c r="E69" s="1818"/>
      <c r="F69" s="1818"/>
      <c r="G69" s="1818"/>
      <c r="H69" s="1818"/>
      <c r="I69" s="2043"/>
      <c r="J69" s="2043"/>
      <c r="K69" s="2044"/>
      <c r="L69" s="2045"/>
      <c r="M69" s="2043"/>
      <c r="N69" s="2043"/>
      <c r="O69" s="2043"/>
      <c r="P69" s="2046"/>
      <c r="Q69" s="1822"/>
    </row>
    <row r="70" spans="1:17" s="2051" customFormat="1" ht="15">
      <c r="A70" s="2047" t="s">
        <v>2484</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2485</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2305</v>
      </c>
      <c r="B72" s="1836"/>
      <c r="C72" s="1837"/>
      <c r="D72" s="1838"/>
      <c r="E72" s="1838"/>
      <c r="F72" s="1838"/>
      <c r="G72" s="1838"/>
      <c r="H72" s="1838"/>
      <c r="I72" s="1838"/>
      <c r="J72" s="1838"/>
      <c r="K72" s="1838"/>
      <c r="L72" s="1838"/>
      <c r="M72" s="1839"/>
      <c r="N72" s="1838"/>
      <c r="O72" s="2056"/>
      <c r="P72" s="1822"/>
      <c r="Q72" s="1822"/>
    </row>
    <row r="73" spans="1:17" s="1685" customFormat="1" ht="15">
      <c r="A73" s="1840" t="s">
        <v>2269</v>
      </c>
      <c r="B73" s="1830"/>
      <c r="C73" s="1841" t="s">
        <v>2270</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2308</v>
      </c>
      <c r="B75" s="1848" t="s">
        <v>2273</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2276</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2277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2278</v>
      </c>
      <c r="B88" s="1848" t="s">
        <v>2316</v>
      </c>
      <c r="C88" s="1886" t="s">
        <v>2317</v>
      </c>
      <c r="D88" s="1886" t="s">
        <v>2318</v>
      </c>
      <c r="E88" s="1886" t="s">
        <v>2319</v>
      </c>
      <c r="F88" s="1886" t="s">
        <v>2320</v>
      </c>
      <c r="G88" s="1886" t="s">
        <v>2321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2486</v>
      </c>
      <c r="C90" s="579" t="s">
        <v>2317</v>
      </c>
      <c r="D90" s="579" t="s">
        <v>2318</v>
      </c>
      <c r="E90" s="579" t="s">
        <v>2319</v>
      </c>
      <c r="F90" s="579" t="s">
        <v>2320</v>
      </c>
      <c r="G90" s="579" t="s">
        <v>2321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2404</v>
      </c>
      <c r="C92" s="579" t="s">
        <v>2317</v>
      </c>
      <c r="D92" s="579" t="s">
        <v>2318</v>
      </c>
      <c r="E92" s="579" t="s">
        <v>2319</v>
      </c>
      <c r="F92" s="579" t="s">
        <v>2320</v>
      </c>
      <c r="G92" s="579" t="s">
        <v>2321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2322</v>
      </c>
      <c r="C94" s="579" t="s">
        <v>2317</v>
      </c>
      <c r="D94" s="579" t="s">
        <v>2318</v>
      </c>
      <c r="E94" s="579" t="s">
        <v>2319</v>
      </c>
      <c r="F94" s="579" t="s">
        <v>2320</v>
      </c>
      <c r="G94" s="579" t="s">
        <v>2321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2487</v>
      </c>
      <c r="C96" s="579" t="s">
        <v>2317</v>
      </c>
      <c r="D96" s="579" t="s">
        <v>2318</v>
      </c>
      <c r="E96" s="579" t="s">
        <v>2319</v>
      </c>
      <c r="F96" s="579" t="s">
        <v>2320</v>
      </c>
      <c r="G96" s="579" t="s">
        <v>2321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2488</v>
      </c>
      <c r="C98" s="1886" t="s">
        <v>2317</v>
      </c>
      <c r="D98" s="1886" t="s">
        <v>2318</v>
      </c>
      <c r="E98" s="1886" t="s">
        <v>2319</v>
      </c>
      <c r="F98" s="1886" t="s">
        <v>2320</v>
      </c>
      <c r="G98" s="1886" t="s">
        <v>2321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2365</v>
      </c>
      <c r="C100" s="1886" t="s">
        <v>2317</v>
      </c>
      <c r="D100" s="1886" t="s">
        <v>2318</v>
      </c>
      <c r="E100" s="1886" t="s">
        <v>2319</v>
      </c>
      <c r="F100" s="1886" t="s">
        <v>2320</v>
      </c>
      <c r="G100" s="1886" t="s">
        <v>2321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2366</v>
      </c>
      <c r="C102" s="1860" t="s">
        <v>2324</v>
      </c>
      <c r="D102" s="1860" t="s">
        <v>2325</v>
      </c>
      <c r="E102" s="1860" t="s">
        <v>2326</v>
      </c>
      <c r="F102" s="1860" t="s">
        <v>2327</v>
      </c>
      <c r="G102" s="1860" t="s">
        <v>2328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2489</v>
      </c>
      <c r="D104" s="1860" t="s">
        <v>2490</v>
      </c>
      <c r="E104" s="1860" t="s">
        <v>2491</v>
      </c>
      <c r="F104" s="1860" t="s">
        <v>2492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2397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2458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2283</v>
      </c>
      <c r="B116" s="1848" t="s">
        <v>2493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2494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2495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2496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2497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估价对象为北京市房地产，为XX所有。根据《不动产权证书》[]，估价对象建筑面积为191.89平方米，（分摊）出让国有建设用地使用权面积为平方米。估价对象用途为。</v>
      </c>
      <c r="B6" s="1349"/>
      <c r="C6" s="1349"/>
      <c r="D6" s="1349"/>
      <c r="E6" s="1349"/>
      <c r="F6" s="1349"/>
      <c r="G6" s="1349"/>
    </row>
    <row r="7" spans="1:7" ht="18.75">
      <c r="A7" s="1350" t="s">
        <v>1256</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2020年12月30日（评估专业人员实地查勘之日）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2450</v>
      </c>
      <c r="B1" s="289"/>
      <c r="C1" s="290" t="s">
        <v>2498</v>
      </c>
      <c r="D1" s="614"/>
      <c r="E1" s="614"/>
      <c r="F1" s="613" t="s">
        <v>2252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1922</v>
      </c>
      <c r="B2" s="552" t="e">
        <f>F61</f>
        <v>#DIV/0!</v>
      </c>
      <c r="C2" s="612" t="s">
        <v>2452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1923</v>
      </c>
      <c r="B3" s="495" t="e">
        <f>ROUND(B2/'数据-取费表'!B5,0)</f>
        <v>#DIV/0!</v>
      </c>
      <c r="C3" s="612" t="s">
        <v>2453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25" t="s">
        <v>2255</v>
      </c>
      <c r="D4" s="3526"/>
      <c r="E4" s="3527" t="s">
        <v>2256</v>
      </c>
      <c r="F4" s="3528"/>
      <c r="G4" s="3525" t="s">
        <v>2257</v>
      </c>
      <c r="H4" s="3526"/>
      <c r="I4" s="3525" t="s">
        <v>2258</v>
      </c>
      <c r="J4" s="3526"/>
      <c r="K4" s="496" t="s">
        <v>2259</v>
      </c>
      <c r="L4" s="3025"/>
      <c r="M4" s="3026"/>
      <c r="N4" s="3026"/>
      <c r="O4" s="3026"/>
      <c r="P4" s="3529" t="s">
        <v>2260</v>
      </c>
      <c r="Q4" s="3530"/>
      <c r="R4" s="3512" t="s">
        <v>2256</v>
      </c>
      <c r="S4" s="3513"/>
      <c r="T4" s="3512" t="s">
        <v>2257</v>
      </c>
      <c r="U4" s="3513"/>
      <c r="V4" s="3535" t="s">
        <v>2258</v>
      </c>
      <c r="W4" s="3535"/>
      <c r="X4" s="1335"/>
      <c r="Y4" s="3512" t="s">
        <v>2260</v>
      </c>
      <c r="Z4" s="3513"/>
      <c r="AA4" s="3522" t="s">
        <v>2256</v>
      </c>
      <c r="AB4" s="3523" t="s">
        <v>2257</v>
      </c>
      <c r="AC4" s="3522" t="s">
        <v>2258</v>
      </c>
    </row>
    <row r="5" spans="1:29" ht="15">
      <c r="A5" s="297"/>
      <c r="B5" s="298"/>
      <c r="C5" s="3538" t="s">
        <v>2261</v>
      </c>
      <c r="D5" s="3539"/>
      <c r="E5" s="3536" t="s">
        <v>2262</v>
      </c>
      <c r="F5" s="3537"/>
      <c r="G5" s="3538" t="s">
        <v>2263</v>
      </c>
      <c r="H5" s="3539"/>
      <c r="I5" s="3538" t="s">
        <v>2264</v>
      </c>
      <c r="J5" s="3539"/>
      <c r="K5" s="496"/>
      <c r="L5" s="3025"/>
      <c r="M5" s="3026"/>
      <c r="N5" s="3026"/>
      <c r="O5" s="3026"/>
      <c r="P5" s="3531"/>
      <c r="Q5" s="3532"/>
      <c r="R5" s="3514"/>
      <c r="S5" s="3515"/>
      <c r="T5" s="3514"/>
      <c r="U5" s="3515"/>
      <c r="V5" s="3535"/>
      <c r="W5" s="3535"/>
      <c r="X5" s="1335"/>
      <c r="Y5" s="3514"/>
      <c r="Z5" s="3515"/>
      <c r="AA5" s="3523"/>
      <c r="AB5" s="3523"/>
      <c r="AC5" s="3523"/>
    </row>
    <row r="6" spans="1:29" ht="15.75" thickBot="1">
      <c r="A6" s="299"/>
      <c r="B6" s="300"/>
      <c r="C6" s="3540" t="s">
        <v>2265</v>
      </c>
      <c r="D6" s="3541"/>
      <c r="E6" s="3542" t="s">
        <v>2265</v>
      </c>
      <c r="F6" s="3543"/>
      <c r="G6" s="3540" t="s">
        <v>2265</v>
      </c>
      <c r="H6" s="3541"/>
      <c r="I6" s="3540" t="s">
        <v>2265</v>
      </c>
      <c r="J6" s="3541"/>
      <c r="K6" s="496" t="s">
        <v>2266</v>
      </c>
      <c r="L6" s="3025"/>
      <c r="M6" s="3026"/>
      <c r="N6" s="3026"/>
      <c r="O6" s="3026"/>
      <c r="P6" s="3533"/>
      <c r="Q6" s="3534"/>
      <c r="R6" s="3514"/>
      <c r="S6" s="3515"/>
      <c r="T6" s="3516"/>
      <c r="U6" s="3517"/>
      <c r="V6" s="3535"/>
      <c r="W6" s="3535"/>
      <c r="X6" s="1335"/>
      <c r="Y6" s="3516"/>
      <c r="Z6" s="3517"/>
      <c r="AA6" s="3524"/>
      <c r="AB6" s="3524"/>
      <c r="AC6" s="3524"/>
    </row>
    <row r="7" spans="1:29" s="25" customFormat="1" ht="15.75" thickBot="1">
      <c r="A7" s="301" t="s">
        <v>2267</v>
      </c>
      <c r="B7" s="302"/>
      <c r="C7" s="303">
        <f>'数据-取费表'!B2</f>
        <v>44195</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10" t="s">
        <v>2268</v>
      </c>
      <c r="Q7" s="3518"/>
      <c r="R7" s="627" t="s">
        <v>25</v>
      </c>
      <c r="S7" s="628">
        <f t="shared" ref="S7:S15" si="0">F7</f>
        <v>0</v>
      </c>
      <c r="T7" s="627" t="s">
        <v>25</v>
      </c>
      <c r="U7" s="628">
        <f t="shared" ref="U7:U15" si="1">H7</f>
        <v>0</v>
      </c>
      <c r="V7" s="627" t="s">
        <v>25</v>
      </c>
      <c r="W7" s="628">
        <f t="shared" ref="W7:W15" si="2">J7</f>
        <v>0</v>
      </c>
      <c r="X7" s="629"/>
      <c r="Y7" s="3510" t="s">
        <v>2268</v>
      </c>
      <c r="Z7" s="3511"/>
      <c r="AA7" s="630" t="e">
        <f>D7/F7</f>
        <v>#DIV/0!</v>
      </c>
      <c r="AB7" s="630" t="e">
        <f>D7/H7</f>
        <v>#DIV/0!</v>
      </c>
      <c r="AC7" s="630" t="e">
        <f>D7/J7</f>
        <v>#DIV/0!</v>
      </c>
    </row>
    <row r="8" spans="1:29" s="25" customFormat="1" ht="15.75" thickBot="1">
      <c r="A8" s="301" t="s">
        <v>2269</v>
      </c>
      <c r="B8" s="302"/>
      <c r="C8" s="307" t="s">
        <v>2454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10" t="s">
        <v>2271</v>
      </c>
      <c r="Q8" s="3511"/>
      <c r="R8" s="627" t="s">
        <v>25</v>
      </c>
      <c r="S8" s="628">
        <f t="shared" si="0"/>
        <v>0</v>
      </c>
      <c r="T8" s="627" t="s">
        <v>25</v>
      </c>
      <c r="U8" s="628">
        <f t="shared" si="1"/>
        <v>0</v>
      </c>
      <c r="V8" s="627" t="s">
        <v>25</v>
      </c>
      <c r="W8" s="628">
        <f t="shared" si="2"/>
        <v>0</v>
      </c>
      <c r="X8" s="629"/>
      <c r="Y8" s="3510" t="s">
        <v>2271</v>
      </c>
      <c r="Z8" s="3511"/>
      <c r="AA8" s="630" t="e">
        <f t="shared" ref="AA8:AA40" si="3">D8/F8</f>
        <v>#DIV/0!</v>
      </c>
      <c r="AB8" s="630" t="e">
        <f t="shared" ref="AB8:AB40" si="4">D8/H8</f>
        <v>#DIV/0!</v>
      </c>
      <c r="AC8" s="630" t="e">
        <f t="shared" ref="AC8:AC40" si="5">D8/J8</f>
        <v>#DIV/0!</v>
      </c>
    </row>
    <row r="9" spans="1:29" s="25" customFormat="1">
      <c r="A9" s="308" t="s">
        <v>2272</v>
      </c>
      <c r="B9" s="24" t="s">
        <v>2273</v>
      </c>
      <c r="C9" s="1586" t="s">
        <v>2499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02" t="s">
        <v>2274</v>
      </c>
      <c r="Q9" s="1327" t="str">
        <f t="shared" ref="Q9:Q15" si="6">B9</f>
        <v>用途</v>
      </c>
      <c r="R9" s="627" t="s">
        <v>25</v>
      </c>
      <c r="S9" s="628">
        <f t="shared" si="0"/>
        <v>100</v>
      </c>
      <c r="T9" s="627" t="s">
        <v>25</v>
      </c>
      <c r="U9" s="628">
        <f t="shared" si="1"/>
        <v>100</v>
      </c>
      <c r="V9" s="627" t="s">
        <v>25</v>
      </c>
      <c r="W9" s="628">
        <f t="shared" si="2"/>
        <v>100</v>
      </c>
      <c r="X9" s="629"/>
      <c r="Y9" s="3521" t="s">
        <v>2275</v>
      </c>
      <c r="Z9" s="19" t="str">
        <f t="shared" ref="Z9:Z15" si="7">Q9</f>
        <v>用途</v>
      </c>
      <c r="AA9" s="630">
        <f t="shared" si="3"/>
        <v>1</v>
      </c>
      <c r="AB9" s="630">
        <f t="shared" si="4"/>
        <v>1</v>
      </c>
      <c r="AC9" s="630">
        <f t="shared" si="5"/>
        <v>1</v>
      </c>
    </row>
    <row r="10" spans="1:29" s="317" customFormat="1" ht="27">
      <c r="A10" s="312"/>
      <c r="B10" s="313" t="s">
        <v>2276</v>
      </c>
      <c r="C10" s="322"/>
      <c r="D10" s="29">
        <v>100</v>
      </c>
      <c r="E10" s="322"/>
      <c r="F10" s="29">
        <f>ROUND(100/'数据-取费表'!B14,0)</f>
        <v>122</v>
      </c>
      <c r="G10" s="322"/>
      <c r="H10" s="29">
        <f>ROUND(100/'数据-取费表'!B14,0)</f>
        <v>122</v>
      </c>
      <c r="I10" s="322"/>
      <c r="J10" s="29">
        <f>ROUND(100/'数据-取费表'!B14,0)</f>
        <v>122</v>
      </c>
      <c r="K10" s="553"/>
      <c r="L10" s="3030"/>
      <c r="M10" s="3031"/>
      <c r="N10" s="3031"/>
      <c r="O10" s="3032"/>
      <c r="P10" s="3502"/>
      <c r="Q10" s="1327" t="str">
        <f t="shared" si="6"/>
        <v>土地使用年限（年）</v>
      </c>
      <c r="R10" s="627" t="s">
        <v>25</v>
      </c>
      <c r="S10" s="628">
        <f t="shared" si="0"/>
        <v>122</v>
      </c>
      <c r="T10" s="627" t="s">
        <v>25</v>
      </c>
      <c r="U10" s="628">
        <f t="shared" si="1"/>
        <v>122</v>
      </c>
      <c r="V10" s="627" t="s">
        <v>25</v>
      </c>
      <c r="W10" s="628">
        <f t="shared" si="2"/>
        <v>122</v>
      </c>
      <c r="X10" s="629"/>
      <c r="Y10" s="3521"/>
      <c r="Z10" s="19" t="str">
        <f t="shared" si="7"/>
        <v>土地使用年限（年）</v>
      </c>
      <c r="AA10" s="630">
        <f t="shared" si="3"/>
        <v>0.81967213114754101</v>
      </c>
      <c r="AB10" s="630">
        <f t="shared" si="4"/>
        <v>0.81967213114754101</v>
      </c>
      <c r="AC10" s="630">
        <f t="shared" si="5"/>
        <v>0.81967213114754101</v>
      </c>
    </row>
    <row r="11" spans="1:29" ht="15">
      <c r="A11" s="318"/>
      <c r="B11" s="313" t="s">
        <v>2277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02"/>
      <c r="Q11" s="1327" t="str">
        <f t="shared" si="6"/>
        <v>容积率</v>
      </c>
      <c r="R11" s="627" t="s">
        <v>25</v>
      </c>
      <c r="S11" s="628" t="e">
        <f t="shared" si="0"/>
        <v>#N/A</v>
      </c>
      <c r="T11" s="627" t="s">
        <v>25</v>
      </c>
      <c r="U11" s="628" t="e">
        <f t="shared" si="1"/>
        <v>#N/A</v>
      </c>
      <c r="V11" s="627" t="s">
        <v>25</v>
      </c>
      <c r="W11" s="628" t="e">
        <f t="shared" si="2"/>
        <v>#N/A</v>
      </c>
      <c r="X11" s="629"/>
      <c r="Y11" s="3521"/>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02"/>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02"/>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02"/>
      <c r="Q14" s="1327">
        <f t="shared" si="6"/>
        <v>111</v>
      </c>
      <c r="R14" s="627" t="s">
        <v>25</v>
      </c>
      <c r="S14" s="628">
        <f t="shared" si="0"/>
        <v>100</v>
      </c>
      <c r="T14" s="627" t="s">
        <v>25</v>
      </c>
      <c r="U14" s="628">
        <f t="shared" si="1"/>
        <v>100</v>
      </c>
      <c r="V14" s="627" t="s">
        <v>25</v>
      </c>
      <c r="W14" s="628">
        <f t="shared" si="2"/>
        <v>100</v>
      </c>
      <c r="X14" s="629"/>
      <c r="Y14" s="3521"/>
      <c r="Z14" s="19">
        <f t="shared" si="7"/>
        <v>111</v>
      </c>
      <c r="AA14" s="630">
        <f t="shared" si="3"/>
        <v>1</v>
      </c>
      <c r="AB14" s="630">
        <f t="shared" si="4"/>
        <v>1</v>
      </c>
      <c r="AC14" s="630">
        <f t="shared" si="5"/>
        <v>1</v>
      </c>
    </row>
    <row r="15" spans="1:29" ht="57">
      <c r="A15" s="329" t="s">
        <v>2278</v>
      </c>
      <c r="B15" s="511" t="s">
        <v>2500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19" t="s">
        <v>2279</v>
      </c>
      <c r="Q15" s="1334" t="str">
        <f t="shared" si="6"/>
        <v>产业集聚程度</v>
      </c>
      <c r="R15" s="631" t="s">
        <v>25</v>
      </c>
      <c r="S15" s="632">
        <f t="shared" si="0"/>
        <v>100</v>
      </c>
      <c r="T15" s="631" t="s">
        <v>25</v>
      </c>
      <c r="U15" s="632">
        <f t="shared" si="1"/>
        <v>100</v>
      </c>
      <c r="V15" s="631" t="s">
        <v>25</v>
      </c>
      <c r="W15" s="632">
        <f t="shared" si="2"/>
        <v>100</v>
      </c>
      <c r="X15" s="1335"/>
      <c r="Y15" s="3519" t="s">
        <v>2279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20"/>
      <c r="Q16" s="1334"/>
      <c r="R16" s="631"/>
      <c r="S16" s="632"/>
      <c r="T16" s="631"/>
      <c r="U16" s="632"/>
      <c r="V16" s="631"/>
      <c r="W16" s="632"/>
      <c r="X16" s="1335"/>
      <c r="Y16" s="3520"/>
      <c r="Z16" s="1336"/>
      <c r="AA16" s="1337">
        <v>1</v>
      </c>
      <c r="AB16" s="1337">
        <v>1</v>
      </c>
      <c r="AC16" s="1337">
        <v>1</v>
      </c>
    </row>
    <row r="17" spans="1:29" ht="85.5">
      <c r="A17" s="318"/>
      <c r="B17" s="513" t="s">
        <v>2416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20"/>
      <c r="Q17" s="1334" t="str">
        <f>B17</f>
        <v>交通便捷度</v>
      </c>
      <c r="R17" s="631" t="s">
        <v>25</v>
      </c>
      <c r="S17" s="632">
        <f>F17</f>
        <v>100</v>
      </c>
      <c r="T17" s="631" t="s">
        <v>25</v>
      </c>
      <c r="U17" s="632">
        <f>H17</f>
        <v>100</v>
      </c>
      <c r="V17" s="631" t="s">
        <v>25</v>
      </c>
      <c r="W17" s="632">
        <f>J17</f>
        <v>100</v>
      </c>
      <c r="X17" s="1335"/>
      <c r="Y17" s="352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20"/>
      <c r="Q18" s="1334"/>
      <c r="R18" s="631"/>
      <c r="S18" s="632"/>
      <c r="T18" s="631"/>
      <c r="U18" s="632"/>
      <c r="V18" s="631"/>
      <c r="W18" s="632"/>
      <c r="X18" s="1335"/>
      <c r="Y18" s="3520"/>
      <c r="Z18" s="1336"/>
      <c r="AA18" s="1337">
        <v>1</v>
      </c>
      <c r="AB18" s="1337">
        <v>1</v>
      </c>
      <c r="AC18" s="1337">
        <v>1</v>
      </c>
    </row>
    <row r="19" spans="1:29" ht="15">
      <c r="A19" s="318"/>
      <c r="B19" s="513" t="s">
        <v>2456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20"/>
      <c r="Q19" s="1334" t="str">
        <f t="shared" ref="Q19:Q33" si="8">B19</f>
        <v>区域土地利用方向</v>
      </c>
      <c r="R19" s="631" t="s">
        <v>25</v>
      </c>
      <c r="S19" s="632">
        <f>F19</f>
        <v>100</v>
      </c>
      <c r="T19" s="631" t="s">
        <v>25</v>
      </c>
      <c r="U19" s="632">
        <f>H19</f>
        <v>100</v>
      </c>
      <c r="V19" s="631" t="s">
        <v>25</v>
      </c>
      <c r="W19" s="632">
        <f>J19</f>
        <v>100</v>
      </c>
      <c r="X19" s="1335"/>
      <c r="Y19" s="352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20"/>
      <c r="Q20" s="1334"/>
      <c r="R20" s="631"/>
      <c r="S20" s="632"/>
      <c r="T20" s="631"/>
      <c r="U20" s="632"/>
      <c r="V20" s="631"/>
      <c r="W20" s="632"/>
      <c r="X20" s="1335"/>
      <c r="Y20" s="3520"/>
      <c r="Z20" s="1336"/>
      <c r="AA20" s="1337"/>
      <c r="AB20" s="1337"/>
      <c r="AC20" s="1337"/>
    </row>
    <row r="21" spans="1:29" ht="71.25">
      <c r="A21" s="297"/>
      <c r="B21" s="513" t="s">
        <v>2501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20"/>
      <c r="Q21" s="1334" t="str">
        <f t="shared" si="8"/>
        <v>环境状况</v>
      </c>
      <c r="R21" s="631" t="s">
        <v>25</v>
      </c>
      <c r="S21" s="632">
        <f>F21</f>
        <v>100</v>
      </c>
      <c r="T21" s="631" t="s">
        <v>25</v>
      </c>
      <c r="U21" s="632">
        <f>H21</f>
        <v>100</v>
      </c>
      <c r="V21" s="631" t="s">
        <v>25</v>
      </c>
      <c r="W21" s="632">
        <f>J21</f>
        <v>100</v>
      </c>
      <c r="X21" s="1335"/>
      <c r="Y21" s="352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20"/>
      <c r="Q22" s="1334"/>
      <c r="R22" s="631"/>
      <c r="S22" s="632"/>
      <c r="T22" s="631"/>
      <c r="U22" s="632"/>
      <c r="V22" s="631"/>
      <c r="W22" s="632"/>
      <c r="X22" s="1335"/>
      <c r="Y22" s="3520"/>
      <c r="Z22" s="1336"/>
      <c r="AA22" s="1337">
        <v>1</v>
      </c>
      <c r="AB22" s="1337">
        <v>1</v>
      </c>
      <c r="AC22" s="1337">
        <v>1</v>
      </c>
    </row>
    <row r="23" spans="1:29" s="25" customFormat="1" ht="42.75">
      <c r="A23" s="531"/>
      <c r="B23" s="513" t="s">
        <v>2365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20"/>
      <c r="Q23" s="1327" t="str">
        <f t="shared" si="8"/>
        <v>公共配套设施</v>
      </c>
      <c r="R23" s="627" t="s">
        <v>25</v>
      </c>
      <c r="S23" s="628">
        <f>F23</f>
        <v>100</v>
      </c>
      <c r="T23" s="627" t="s">
        <v>25</v>
      </c>
      <c r="U23" s="628">
        <f>H23</f>
        <v>100</v>
      </c>
      <c r="V23" s="627" t="s">
        <v>25</v>
      </c>
      <c r="W23" s="628">
        <f>J23</f>
        <v>100</v>
      </c>
      <c r="X23" s="629"/>
      <c r="Y23" s="3520"/>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20"/>
      <c r="Q24" s="1327"/>
      <c r="R24" s="627"/>
      <c r="S24" s="628"/>
      <c r="T24" s="627"/>
      <c r="U24" s="628"/>
      <c r="V24" s="627"/>
      <c r="W24" s="628"/>
      <c r="X24" s="629"/>
      <c r="Y24" s="3520"/>
      <c r="Z24" s="19"/>
      <c r="AA24" s="630">
        <v>1</v>
      </c>
      <c r="AB24" s="630">
        <v>1</v>
      </c>
      <c r="AC24" s="630">
        <v>1</v>
      </c>
    </row>
    <row r="25" spans="1:29" s="25" customFormat="1" ht="28.5">
      <c r="A25" s="531"/>
      <c r="B25" s="515" t="s">
        <v>2366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20"/>
      <c r="Q25" s="1327" t="str">
        <f t="shared" ref="Q25" si="9">B25</f>
        <v>基础设施水平</v>
      </c>
      <c r="R25" s="627" t="s">
        <v>25</v>
      </c>
      <c r="S25" s="628">
        <f>F25</f>
        <v>100</v>
      </c>
      <c r="T25" s="627" t="s">
        <v>25</v>
      </c>
      <c r="U25" s="628">
        <f>H25</f>
        <v>100</v>
      </c>
      <c r="V25" s="627" t="s">
        <v>25</v>
      </c>
      <c r="W25" s="628">
        <f>J25</f>
        <v>100</v>
      </c>
      <c r="X25" s="629"/>
      <c r="Y25" s="3520"/>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20"/>
      <c r="Q26" s="1327"/>
      <c r="R26" s="627"/>
      <c r="S26" s="628"/>
      <c r="T26" s="627"/>
      <c r="U26" s="628"/>
      <c r="V26" s="627"/>
      <c r="W26" s="628"/>
      <c r="X26" s="629"/>
      <c r="Y26" s="3520"/>
      <c r="Z26" s="19"/>
      <c r="AA26" s="630">
        <v>1</v>
      </c>
      <c r="AB26" s="630">
        <v>1</v>
      </c>
      <c r="AC26" s="630">
        <v>1</v>
      </c>
    </row>
    <row r="27" spans="1:29" ht="15">
      <c r="A27" s="318"/>
      <c r="B27" s="514" t="s">
        <v>2367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2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0"/>
      <c r="Z27" s="1336" t="str">
        <f t="shared" ref="Z27:Z40" si="13">Q27</f>
        <v>临街状况</v>
      </c>
      <c r="AA27" s="1337">
        <f t="shared" si="3"/>
        <v>1</v>
      </c>
      <c r="AB27" s="1337">
        <f t="shared" si="4"/>
        <v>1</v>
      </c>
      <c r="AC27" s="1337">
        <f t="shared" si="5"/>
        <v>1</v>
      </c>
    </row>
    <row r="28" spans="1:29" ht="27">
      <c r="A28" s="318"/>
      <c r="B28" s="515" t="s">
        <v>2397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20"/>
      <c r="Q28" s="1334" t="str">
        <f t="shared" si="8"/>
        <v>毗邻道路的类型与等级</v>
      </c>
      <c r="R28" s="631" t="s">
        <v>25</v>
      </c>
      <c r="S28" s="632">
        <f t="shared" si="10"/>
        <v>100</v>
      </c>
      <c r="T28" s="631" t="s">
        <v>25</v>
      </c>
      <c r="U28" s="632">
        <f t="shared" si="11"/>
        <v>100</v>
      </c>
      <c r="V28" s="631" t="s">
        <v>25</v>
      </c>
      <c r="W28" s="632">
        <f t="shared" si="12"/>
        <v>100</v>
      </c>
      <c r="X28" s="1335"/>
      <c r="Y28" s="352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20"/>
      <c r="Q29" s="1334"/>
      <c r="R29" s="631"/>
      <c r="S29" s="632"/>
      <c r="T29" s="631"/>
      <c r="U29" s="632"/>
      <c r="V29" s="631"/>
      <c r="W29" s="632"/>
      <c r="X29" s="1335"/>
      <c r="Y29" s="3520"/>
      <c r="Z29" s="1336"/>
      <c r="AA29" s="1337">
        <v>1</v>
      </c>
      <c r="AB29" s="1337">
        <v>1</v>
      </c>
      <c r="AC29" s="1337">
        <v>1</v>
      </c>
    </row>
    <row r="30" spans="1:29" ht="15">
      <c r="A30" s="318"/>
      <c r="B30" s="535" t="s">
        <v>2458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20"/>
      <c r="Q30" s="1334" t="str">
        <f t="shared" si="8"/>
        <v>土地级别</v>
      </c>
      <c r="R30" s="631" t="s">
        <v>25</v>
      </c>
      <c r="S30" s="632">
        <f t="shared" si="10"/>
        <v>100</v>
      </c>
      <c r="T30" s="631" t="s">
        <v>25</v>
      </c>
      <c r="U30" s="632">
        <f t="shared" si="11"/>
        <v>100</v>
      </c>
      <c r="V30" s="631" t="s">
        <v>25</v>
      </c>
      <c r="W30" s="632">
        <f t="shared" si="12"/>
        <v>100</v>
      </c>
      <c r="X30" s="1335"/>
      <c r="Y30" s="3520"/>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20"/>
      <c r="Q31" s="1334">
        <f t="shared" si="8"/>
        <v>111</v>
      </c>
      <c r="R31" s="631" t="s">
        <v>25</v>
      </c>
      <c r="S31" s="632">
        <f t="shared" si="10"/>
        <v>100</v>
      </c>
      <c r="T31" s="631" t="s">
        <v>25</v>
      </c>
      <c r="U31" s="632">
        <f t="shared" si="11"/>
        <v>100</v>
      </c>
      <c r="V31" s="631" t="s">
        <v>25</v>
      </c>
      <c r="W31" s="632">
        <f t="shared" si="12"/>
        <v>100</v>
      </c>
      <c r="X31" s="1335"/>
      <c r="Y31" s="3520"/>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07" t="s">
        <v>2285</v>
      </c>
      <c r="Q32" s="1334">
        <f t="shared" si="8"/>
        <v>111</v>
      </c>
      <c r="R32" s="631" t="s">
        <v>25</v>
      </c>
      <c r="S32" s="632">
        <f t="shared" si="10"/>
        <v>100</v>
      </c>
      <c r="T32" s="631" t="s">
        <v>25</v>
      </c>
      <c r="U32" s="632">
        <f t="shared" si="11"/>
        <v>100</v>
      </c>
      <c r="V32" s="631" t="s">
        <v>25</v>
      </c>
      <c r="W32" s="632">
        <f t="shared" si="12"/>
        <v>100</v>
      </c>
      <c r="X32" s="1335"/>
      <c r="Y32" s="3508" t="s">
        <v>2285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08"/>
      <c r="Q33" s="1334">
        <f t="shared" si="8"/>
        <v>111</v>
      </c>
      <c r="R33" s="634" t="s">
        <v>25</v>
      </c>
      <c r="S33" s="635">
        <f t="shared" si="10"/>
        <v>100</v>
      </c>
      <c r="T33" s="634" t="s">
        <v>25</v>
      </c>
      <c r="U33" s="635">
        <f t="shared" si="11"/>
        <v>100</v>
      </c>
      <c r="V33" s="634" t="s">
        <v>25</v>
      </c>
      <c r="W33" s="635">
        <f t="shared" si="12"/>
        <v>100</v>
      </c>
      <c r="X33" s="636"/>
      <c r="Y33" s="3508"/>
      <c r="Z33" s="637">
        <f t="shared" si="13"/>
        <v>111</v>
      </c>
      <c r="AA33" s="1337">
        <f t="shared" si="3"/>
        <v>1</v>
      </c>
      <c r="AB33" s="1337">
        <f t="shared" si="4"/>
        <v>1</v>
      </c>
      <c r="AC33" s="1337">
        <f t="shared" si="5"/>
        <v>1</v>
      </c>
    </row>
    <row r="34" spans="1:29" ht="28.5">
      <c r="A34" s="360" t="s">
        <v>2283</v>
      </c>
      <c r="B34" s="345" t="s">
        <v>2459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08"/>
      <c r="Q34" s="1334" t="str">
        <f>B34</f>
        <v>宗地面积</v>
      </c>
      <c r="R34" s="631" t="s">
        <v>25</v>
      </c>
      <c r="S34" s="632" t="e">
        <f t="shared" si="10"/>
        <v>#N/A</v>
      </c>
      <c r="T34" s="631" t="s">
        <v>25</v>
      </c>
      <c r="U34" s="632" t="e">
        <f t="shared" si="11"/>
        <v>#N/A</v>
      </c>
      <c r="V34" s="631" t="s">
        <v>25</v>
      </c>
      <c r="W34" s="632" t="e">
        <f t="shared" si="12"/>
        <v>#N/A</v>
      </c>
      <c r="X34" s="1335"/>
      <c r="Y34" s="3508"/>
      <c r="Z34" s="1336" t="str">
        <f t="shared" si="13"/>
        <v>宗地面积</v>
      </c>
      <c r="AA34" s="1337" t="e">
        <f t="shared" si="3"/>
        <v>#N/A</v>
      </c>
      <c r="AB34" s="1337" t="e">
        <f t="shared" si="4"/>
        <v>#N/A</v>
      </c>
      <c r="AC34" s="1337" t="e">
        <f t="shared" si="5"/>
        <v>#N/A</v>
      </c>
    </row>
    <row r="35" spans="1:29" ht="15">
      <c r="A35" s="360"/>
      <c r="B35" s="313" t="s">
        <v>2460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08"/>
      <c r="Q35" s="1334" t="str">
        <f t="shared" ref="Q35:Q40" si="14">B35</f>
        <v>宗地形状</v>
      </c>
      <c r="R35" s="631" t="s">
        <v>25</v>
      </c>
      <c r="S35" s="632">
        <f t="shared" si="10"/>
        <v>100</v>
      </c>
      <c r="T35" s="631" t="s">
        <v>25</v>
      </c>
      <c r="U35" s="632">
        <f t="shared" si="11"/>
        <v>100</v>
      </c>
      <c r="V35" s="631" t="s">
        <v>25</v>
      </c>
      <c r="W35" s="632">
        <f t="shared" si="12"/>
        <v>100</v>
      </c>
      <c r="X35" s="1335"/>
      <c r="Y35" s="3508"/>
      <c r="Z35" s="1336" t="str">
        <f t="shared" si="13"/>
        <v>宗地形状</v>
      </c>
      <c r="AA35" s="1337">
        <f t="shared" si="3"/>
        <v>1</v>
      </c>
      <c r="AB35" s="1337">
        <f t="shared" si="4"/>
        <v>1</v>
      </c>
      <c r="AC35" s="1337">
        <f t="shared" si="5"/>
        <v>1</v>
      </c>
    </row>
    <row r="36" spans="1:29" s="25" customFormat="1" ht="15">
      <c r="A36" s="361"/>
      <c r="B36" s="313" t="s">
        <v>2462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08"/>
      <c r="Q36" s="1334" t="str">
        <f t="shared" si="14"/>
        <v>宗地开发程度</v>
      </c>
      <c r="R36" s="627" t="s">
        <v>25</v>
      </c>
      <c r="S36" s="628">
        <f t="shared" si="10"/>
        <v>100</v>
      </c>
      <c r="T36" s="627" t="s">
        <v>25</v>
      </c>
      <c r="U36" s="628">
        <f t="shared" si="11"/>
        <v>100</v>
      </c>
      <c r="V36" s="627" t="s">
        <v>25</v>
      </c>
      <c r="W36" s="628">
        <f t="shared" si="12"/>
        <v>100</v>
      </c>
      <c r="X36" s="629"/>
      <c r="Y36" s="3508"/>
      <c r="Z36" s="19" t="str">
        <f t="shared" si="13"/>
        <v>宗地开发程度</v>
      </c>
      <c r="AA36" s="630">
        <f t="shared" si="3"/>
        <v>1</v>
      </c>
      <c r="AB36" s="630">
        <f t="shared" si="4"/>
        <v>1</v>
      </c>
      <c r="AC36" s="630">
        <f t="shared" si="5"/>
        <v>1</v>
      </c>
    </row>
    <row r="37" spans="1:29" ht="15">
      <c r="A37" s="360"/>
      <c r="B37" s="313" t="s">
        <v>2463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08" t="s">
        <v>2285</v>
      </c>
      <c r="Q37" s="1334" t="str">
        <f t="shared" si="14"/>
        <v>工程地质条件</v>
      </c>
      <c r="R37" s="631" t="s">
        <v>25</v>
      </c>
      <c r="S37" s="632">
        <f t="shared" si="10"/>
        <v>100</v>
      </c>
      <c r="T37" s="631" t="s">
        <v>25</v>
      </c>
      <c r="U37" s="632">
        <f t="shared" si="11"/>
        <v>100</v>
      </c>
      <c r="V37" s="631" t="s">
        <v>25</v>
      </c>
      <c r="W37" s="632">
        <f t="shared" si="12"/>
        <v>100</v>
      </c>
      <c r="X37" s="1335"/>
      <c r="Y37" s="3508" t="s">
        <v>2285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08"/>
      <c r="Q38" s="1334">
        <f t="shared" si="14"/>
        <v>111</v>
      </c>
      <c r="R38" s="631" t="s">
        <v>25</v>
      </c>
      <c r="S38" s="632">
        <f t="shared" si="10"/>
        <v>100</v>
      </c>
      <c r="T38" s="631" t="s">
        <v>25</v>
      </c>
      <c r="U38" s="632">
        <f t="shared" si="11"/>
        <v>100</v>
      </c>
      <c r="V38" s="631" t="s">
        <v>25</v>
      </c>
      <c r="W38" s="632">
        <f t="shared" si="12"/>
        <v>100</v>
      </c>
      <c r="X38" s="1335"/>
      <c r="Y38" s="350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08"/>
      <c r="Q39" s="1334">
        <f t="shared" si="14"/>
        <v>111</v>
      </c>
      <c r="R39" s="631" t="s">
        <v>25</v>
      </c>
      <c r="S39" s="632">
        <f t="shared" si="10"/>
        <v>100</v>
      </c>
      <c r="T39" s="631" t="s">
        <v>25</v>
      </c>
      <c r="U39" s="632">
        <f t="shared" si="11"/>
        <v>100</v>
      </c>
      <c r="V39" s="631" t="s">
        <v>25</v>
      </c>
      <c r="W39" s="632">
        <f t="shared" si="12"/>
        <v>100</v>
      </c>
      <c r="X39" s="1335"/>
      <c r="Y39" s="350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08"/>
      <c r="Q40" s="1334">
        <f t="shared" si="14"/>
        <v>111</v>
      </c>
      <c r="R40" s="634" t="s">
        <v>25</v>
      </c>
      <c r="S40" s="635">
        <f t="shared" si="10"/>
        <v>100</v>
      </c>
      <c r="T40" s="634" t="s">
        <v>25</v>
      </c>
      <c r="U40" s="635">
        <f t="shared" si="11"/>
        <v>100</v>
      </c>
      <c r="V40" s="634" t="s">
        <v>25</v>
      </c>
      <c r="W40" s="635">
        <f t="shared" si="12"/>
        <v>100</v>
      </c>
      <c r="X40" s="636"/>
      <c r="Y40" s="3508"/>
      <c r="Z40" s="637">
        <f t="shared" si="13"/>
        <v>111</v>
      </c>
      <c r="AA40" s="1337">
        <f t="shared" si="3"/>
        <v>1</v>
      </c>
      <c r="AB40" s="1337">
        <f t="shared" si="4"/>
        <v>1</v>
      </c>
      <c r="AC40" s="1337">
        <f t="shared" si="5"/>
        <v>1</v>
      </c>
    </row>
    <row r="41" spans="1:29" ht="15">
      <c r="A41" s="367" t="s">
        <v>2427</v>
      </c>
      <c r="B41" s="1591" t="s">
        <v>2502</v>
      </c>
      <c r="C41" s="562" t="s">
        <v>1</v>
      </c>
      <c r="D41" s="369"/>
      <c r="E41" s="370"/>
      <c r="F41" s="371"/>
      <c r="G41" s="372"/>
      <c r="H41" s="373"/>
      <c r="I41" s="370"/>
      <c r="J41" s="373"/>
      <c r="K41" s="640"/>
      <c r="L41" s="3037"/>
      <c r="M41" s="3026"/>
      <c r="N41" s="3026"/>
      <c r="P41" s="3502" t="str">
        <f>A41</f>
        <v>成交单价</v>
      </c>
      <c r="Q41" s="3502"/>
      <c r="R41" s="3535">
        <f>E41</f>
        <v>0</v>
      </c>
      <c r="S41" s="3535"/>
      <c r="T41" s="3535">
        <f>G41</f>
        <v>0</v>
      </c>
      <c r="U41" s="3535"/>
      <c r="V41" s="3535">
        <f>I41</f>
        <v>0</v>
      </c>
      <c r="W41" s="3535"/>
      <c r="X41" s="618"/>
      <c r="Y41" s="638"/>
      <c r="Z41" s="618"/>
      <c r="AA41" s="618"/>
      <c r="AB41" s="618"/>
      <c r="AC41" s="618"/>
    </row>
    <row r="42" spans="1:29" ht="15.75" thickBot="1">
      <c r="A42" s="374" t="s">
        <v>2380</v>
      </c>
      <c r="B42" s="563"/>
      <c r="C42" s="377" t="e">
        <f>R43</f>
        <v>#DIV/0!</v>
      </c>
      <c r="D42" s="1797" t="s">
        <v>2753</v>
      </c>
      <c r="E42" s="377" t="e">
        <f>R42</f>
        <v>#DIV/0!</v>
      </c>
      <c r="F42" s="1799"/>
      <c r="G42" s="376" t="e">
        <f>T42</f>
        <v>#DIV/0!</v>
      </c>
      <c r="H42" s="1799"/>
      <c r="I42" s="377" t="e">
        <f>V42</f>
        <v>#DIV/0!</v>
      </c>
      <c r="J42" s="1799"/>
      <c r="K42" s="2512">
        <f>F42+H42+J42</f>
        <v>0</v>
      </c>
      <c r="L42" s="3037"/>
      <c r="M42" s="3026"/>
      <c r="N42" s="3026"/>
      <c r="P42" s="3502" t="str">
        <f>A42</f>
        <v>比较价值（元/平方米）</v>
      </c>
      <c r="Q42" s="3502"/>
      <c r="R42" s="3547" t="e">
        <f>ROUND(PRODUCT(R41,AA7:AA40),0)</f>
        <v>#DIV/0!</v>
      </c>
      <c r="S42" s="3547"/>
      <c r="T42" s="3547" t="e">
        <f>ROUND(PRODUCT(T41,AB7:AB40),0)</f>
        <v>#DIV/0!</v>
      </c>
      <c r="U42" s="3547"/>
      <c r="V42" s="3547" t="e">
        <f>ROUND(PRODUCT(V41,AC7:AC40),0)</f>
        <v>#DIV/0!</v>
      </c>
      <c r="W42" s="3547"/>
      <c r="X42" s="618"/>
      <c r="Y42" s="618"/>
      <c r="Z42" s="618"/>
      <c r="AA42" s="618"/>
      <c r="AB42" s="618"/>
      <c r="AC42" s="618"/>
    </row>
    <row r="43" spans="1:29" ht="15.75" thickBot="1">
      <c r="A43" s="378" t="s">
        <v>2403</v>
      </c>
      <c r="B43" s="379"/>
      <c r="C43" s="380" t="e">
        <f>R43</f>
        <v>#DIV/0!</v>
      </c>
      <c r="D43" s="380"/>
      <c r="E43" s="380"/>
      <c r="F43" s="380"/>
      <c r="G43" s="380"/>
      <c r="H43" s="380"/>
      <c r="I43" s="380"/>
      <c r="J43" s="380"/>
      <c r="K43" s="641"/>
      <c r="L43" s="3037"/>
      <c r="M43" s="3026"/>
      <c r="N43" s="3026"/>
      <c r="P43" s="3504" t="str">
        <f>A43</f>
        <v>估价对象XX用房的比较价值（楼面单价，元/平方米）</v>
      </c>
      <c r="Q43" s="3505"/>
      <c r="R43" s="3546" t="e">
        <f>ROUND(IF(D42="简单平均",AVERAGE(R42:W42),R42*F42+T42*H42+V42*J42),0)</f>
        <v>#DIV/0!</v>
      </c>
      <c r="S43" s="3546"/>
      <c r="T43" s="3546"/>
      <c r="U43" s="3546"/>
      <c r="V43" s="3546"/>
      <c r="W43" s="3546"/>
      <c r="X43" s="618"/>
      <c r="Y43" s="618"/>
      <c r="Z43" s="618"/>
      <c r="AA43" s="618"/>
      <c r="AB43" s="618"/>
      <c r="AC43" s="618"/>
    </row>
    <row r="44" spans="1:29">
      <c r="G44" s="3040"/>
      <c r="M44" s="3026"/>
      <c r="N44" s="3026"/>
    </row>
    <row r="45" spans="1:29">
      <c r="M45" s="3026"/>
      <c r="N45" s="3026"/>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2465</v>
      </c>
      <c r="B50" s="565" t="s">
        <v>2466</v>
      </c>
      <c r="C50" s="1592" t="s">
        <v>2467</v>
      </c>
      <c r="D50" s="1593" t="s">
        <v>2468</v>
      </c>
      <c r="E50" s="566" t="s">
        <v>2469</v>
      </c>
      <c r="F50" s="567" t="s">
        <v>2470</v>
      </c>
      <c r="G50" s="1336" t="s">
        <v>2503</v>
      </c>
      <c r="H50" s="1336" t="str">
        <f>项目基本情况!G8</f>
        <v>XX</v>
      </c>
      <c r="I50" s="1310" t="s">
        <v>2472</v>
      </c>
      <c r="J50" s="958"/>
      <c r="K50" s="956"/>
    </row>
    <row r="51" spans="1:17" s="572" customFormat="1">
      <c r="A51" s="568" t="s">
        <v>2473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2474</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2475</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2476</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2477</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2478</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2479</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2480</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2481</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2482</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2483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2385</v>
      </c>
      <c r="B64" s="618"/>
      <c r="C64" s="621"/>
      <c r="D64" s="621"/>
      <c r="E64" s="621"/>
      <c r="F64" s="622"/>
      <c r="G64" s="622"/>
      <c r="H64" s="621"/>
      <c r="I64" s="963"/>
      <c r="J64" s="963"/>
      <c r="K64" s="961"/>
      <c r="L64" s="962"/>
      <c r="M64" s="963"/>
      <c r="N64" s="963"/>
      <c r="O64" s="963"/>
      <c r="P64" s="389"/>
      <c r="Q64" s="390"/>
    </row>
    <row r="65" spans="1:17" s="394" customFormat="1" ht="15">
      <c r="A65" s="1595" t="s">
        <v>2484</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2504</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2305</v>
      </c>
      <c r="B67" s="401"/>
      <c r="C67" s="402"/>
      <c r="D67" s="403"/>
      <c r="E67" s="403"/>
      <c r="F67" s="403"/>
      <c r="G67" s="403"/>
      <c r="H67" s="403"/>
      <c r="I67" s="403"/>
      <c r="J67" s="403"/>
      <c r="K67" s="403"/>
      <c r="L67" s="403"/>
      <c r="M67" s="404"/>
      <c r="N67" s="403"/>
      <c r="O67" s="1185"/>
      <c r="P67" s="390"/>
      <c r="Q67" s="390"/>
    </row>
    <row r="68" spans="1:17" s="25" customFormat="1" ht="15">
      <c r="A68" s="406" t="s">
        <v>2269</v>
      </c>
      <c r="B68" s="396"/>
      <c r="C68" s="407" t="s">
        <v>2270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2308</v>
      </c>
      <c r="B70" s="413" t="s">
        <v>2273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2278</v>
      </c>
      <c r="B83" s="413" t="s">
        <v>2412</v>
      </c>
      <c r="C83" s="461" t="s">
        <v>2317</v>
      </c>
      <c r="D83" s="461" t="s">
        <v>2318</v>
      </c>
      <c r="E83" s="461" t="s">
        <v>2319</v>
      </c>
      <c r="F83" s="461" t="s">
        <v>2320</v>
      </c>
      <c r="G83" s="461" t="s">
        <v>2321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2322</v>
      </c>
      <c r="C85" s="466" t="s">
        <v>2317</v>
      </c>
      <c r="D85" s="466" t="s">
        <v>2318</v>
      </c>
      <c r="E85" s="466" t="s">
        <v>2319</v>
      </c>
      <c r="F85" s="466" t="s">
        <v>2320</v>
      </c>
      <c r="G85" s="466" t="s">
        <v>2321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2487</v>
      </c>
      <c r="C87" s="461" t="s">
        <v>2317</v>
      </c>
      <c r="D87" s="461" t="s">
        <v>2318</v>
      </c>
      <c r="E87" s="461" t="s">
        <v>2319</v>
      </c>
      <c r="F87" s="461" t="s">
        <v>2320</v>
      </c>
      <c r="G87" s="461" t="s">
        <v>2321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2488</v>
      </c>
      <c r="C89" s="461" t="s">
        <v>2317</v>
      </c>
      <c r="D89" s="461" t="s">
        <v>2318</v>
      </c>
      <c r="E89" s="461" t="s">
        <v>2319</v>
      </c>
      <c r="F89" s="461" t="s">
        <v>2320</v>
      </c>
      <c r="G89" s="461" t="s">
        <v>2321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2365</v>
      </c>
      <c r="C91" s="461" t="s">
        <v>2317</v>
      </c>
      <c r="D91" s="461" t="s">
        <v>2318</v>
      </c>
      <c r="E91" s="461" t="s">
        <v>2319</v>
      </c>
      <c r="F91" s="461" t="s">
        <v>2320</v>
      </c>
      <c r="G91" s="461" t="s">
        <v>2321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2366</v>
      </c>
      <c r="C93" s="426" t="s">
        <v>2324</v>
      </c>
      <c r="D93" s="426" t="s">
        <v>2325</v>
      </c>
      <c r="E93" s="426" t="s">
        <v>2326</v>
      </c>
      <c r="F93" s="426" t="s">
        <v>2327</v>
      </c>
      <c r="G93" s="426" t="s">
        <v>2328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2489</v>
      </c>
      <c r="D95" s="426" t="s">
        <v>2490</v>
      </c>
      <c r="E95" s="426" t="s">
        <v>2491</v>
      </c>
      <c r="F95" s="426" t="s">
        <v>2492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2283</v>
      </c>
      <c r="B107" s="413" t="s">
        <v>2493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8" t="s">
        <v>779</v>
      </c>
      <c r="B1" s="354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9.9000000000000005E-2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8" t="s">
        <v>105</v>
      </c>
      <c r="B1" s="3548"/>
      <c r="C1" s="3548"/>
      <c r="D1" s="3548"/>
      <c r="E1" s="3548"/>
      <c r="F1" s="354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9" t="s">
        <v>118</v>
      </c>
      <c r="B2" s="3549"/>
      <c r="C2" s="3549"/>
      <c r="D2" s="3549"/>
      <c r="E2" s="3549"/>
      <c r="F2" s="354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30890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2" t="s">
        <v>132</v>
      </c>
      <c r="B18" s="768" t="s">
        <v>517</v>
      </c>
      <c r="C18" s="769" t="s">
        <v>518</v>
      </c>
      <c r="D18" s="770"/>
      <c r="E18" s="768">
        <v>1</v>
      </c>
      <c r="F18" s="771" t="s">
        <v>519</v>
      </c>
      <c r="G18" s="772"/>
      <c r="H18" s="764"/>
      <c r="I18" s="764"/>
    </row>
    <row r="19" spans="1:9" s="773" customFormat="1" ht="19.5" customHeight="1">
      <c r="A19" s="3552"/>
      <c r="B19" s="3552" t="s">
        <v>520</v>
      </c>
      <c r="C19" s="769" t="s">
        <v>521</v>
      </c>
      <c r="D19" s="770"/>
      <c r="E19" s="768">
        <v>0.9</v>
      </c>
      <c r="F19" s="771" t="s">
        <v>522</v>
      </c>
      <c r="G19" s="772"/>
      <c r="H19" s="764"/>
      <c r="I19" s="764"/>
    </row>
    <row r="20" spans="1:9" s="773" customFormat="1" ht="19.5" customHeight="1">
      <c r="A20" s="3552"/>
      <c r="B20" s="3552"/>
      <c r="C20" s="769" t="s">
        <v>523</v>
      </c>
      <c r="D20" s="770"/>
      <c r="E20" s="768">
        <v>1.1000000000000001</v>
      </c>
      <c r="F20" s="771" t="s">
        <v>524</v>
      </c>
      <c r="G20" s="772"/>
      <c r="H20" s="764"/>
      <c r="I20" s="764"/>
    </row>
    <row r="21" spans="1:9" s="773" customFormat="1" ht="19.5" customHeight="1">
      <c r="A21" s="3552"/>
      <c r="B21" s="3552"/>
      <c r="C21" s="769" t="s">
        <v>525</v>
      </c>
      <c r="D21" s="770"/>
      <c r="E21" s="768">
        <v>0.8</v>
      </c>
      <c r="F21" s="771" t="s">
        <v>526</v>
      </c>
      <c r="G21" s="772"/>
      <c r="H21" s="764"/>
      <c r="I21" s="764"/>
    </row>
    <row r="22" spans="1:9" s="773" customFormat="1" ht="19.5" customHeight="1">
      <c r="A22" s="3552"/>
      <c r="B22" s="3552"/>
      <c r="C22" s="769" t="s">
        <v>527</v>
      </c>
      <c r="D22" s="770"/>
      <c r="E22" s="768">
        <v>0.5</v>
      </c>
      <c r="F22" s="771"/>
      <c r="G22" s="772"/>
      <c r="H22" s="764"/>
      <c r="I22" s="764"/>
    </row>
    <row r="23" spans="1:9" s="773" customFormat="1" ht="19.5" customHeight="1">
      <c r="A23" s="3552" t="s">
        <v>133</v>
      </c>
      <c r="B23" s="768" t="s">
        <v>517</v>
      </c>
      <c r="C23" s="769" t="s">
        <v>528</v>
      </c>
      <c r="D23" s="770"/>
      <c r="E23" s="768">
        <v>1</v>
      </c>
      <c r="F23" s="771" t="s">
        <v>529</v>
      </c>
      <c r="G23" s="772"/>
      <c r="H23" s="764"/>
      <c r="I23" s="764"/>
    </row>
    <row r="24" spans="1:9" s="773" customFormat="1" ht="19.5" customHeight="1">
      <c r="A24" s="3552"/>
      <c r="B24" s="3552" t="s">
        <v>520</v>
      </c>
      <c r="C24" s="769" t="s">
        <v>530</v>
      </c>
      <c r="D24" s="770"/>
      <c r="E24" s="768">
        <v>0.5</v>
      </c>
      <c r="F24" s="771"/>
      <c r="G24" s="772"/>
      <c r="H24" s="764"/>
      <c r="I24" s="764"/>
    </row>
    <row r="25" spans="1:9" s="773" customFormat="1" ht="19.5" customHeight="1">
      <c r="A25" s="3552"/>
      <c r="B25" s="3552"/>
      <c r="C25" s="769" t="s">
        <v>531</v>
      </c>
      <c r="D25" s="770"/>
      <c r="E25" s="768">
        <v>1.1000000000000001</v>
      </c>
      <c r="F25" s="771"/>
      <c r="G25" s="772"/>
      <c r="H25" s="764"/>
      <c r="I25" s="764"/>
    </row>
    <row r="26" spans="1:9" s="773" customFormat="1" ht="19.5" customHeight="1">
      <c r="A26" s="3552"/>
      <c r="B26" s="3552"/>
      <c r="C26" s="769" t="s">
        <v>532</v>
      </c>
      <c r="D26" s="770"/>
      <c r="E26" s="768">
        <v>1.1000000000000001</v>
      </c>
      <c r="F26" s="771"/>
      <c r="G26" s="772"/>
      <c r="H26" s="764"/>
      <c r="I26" s="764"/>
    </row>
    <row r="27" spans="1:9" s="773" customFormat="1" ht="19.5" customHeight="1">
      <c r="A27" s="3552"/>
      <c r="B27" s="3552"/>
      <c r="C27" s="769" t="s">
        <v>533</v>
      </c>
      <c r="D27" s="770"/>
      <c r="E27" s="768">
        <v>0.9</v>
      </c>
      <c r="F27" s="771" t="s">
        <v>534</v>
      </c>
      <c r="G27" s="772"/>
      <c r="H27" s="764"/>
      <c r="I27" s="764"/>
    </row>
    <row r="28" spans="1:9" s="773" customFormat="1" ht="19.5" customHeight="1">
      <c r="A28" s="3552"/>
      <c r="B28" s="3552"/>
      <c r="C28" s="769" t="s">
        <v>535</v>
      </c>
      <c r="D28" s="770"/>
      <c r="E28" s="768">
        <v>0.9</v>
      </c>
      <c r="F28" s="771" t="s">
        <v>536</v>
      </c>
      <c r="G28" s="772"/>
      <c r="H28" s="764"/>
      <c r="I28" s="764"/>
    </row>
    <row r="29" spans="1:9" s="773" customFormat="1" ht="19.5" customHeight="1">
      <c r="A29" s="3552"/>
      <c r="B29" s="3552"/>
      <c r="C29" s="769" t="s">
        <v>537</v>
      </c>
      <c r="D29" s="770"/>
      <c r="E29" s="768">
        <v>0.9</v>
      </c>
      <c r="F29" s="771" t="s">
        <v>538</v>
      </c>
      <c r="G29" s="772"/>
      <c r="H29" s="764"/>
      <c r="I29" s="764"/>
    </row>
    <row r="30" spans="1:9" s="773" customFormat="1" ht="19.5" customHeight="1">
      <c r="A30" s="3552"/>
      <c r="B30" s="3552"/>
      <c r="C30" s="769" t="s">
        <v>539</v>
      </c>
      <c r="D30" s="770"/>
      <c r="E30" s="768">
        <v>0.9</v>
      </c>
      <c r="F30" s="771" t="s">
        <v>540</v>
      </c>
      <c r="G30" s="772"/>
      <c r="H30" s="764"/>
      <c r="I30" s="764"/>
    </row>
    <row r="31" spans="1:9" s="773" customFormat="1" ht="19.5" customHeight="1">
      <c r="A31" s="3552"/>
      <c r="B31" s="3552"/>
      <c r="C31" s="769" t="s">
        <v>541</v>
      </c>
      <c r="D31" s="770"/>
      <c r="E31" s="768">
        <v>0.8</v>
      </c>
      <c r="F31" s="771" t="s">
        <v>542</v>
      </c>
      <c r="G31" s="772"/>
      <c r="H31" s="764"/>
      <c r="I31" s="764"/>
    </row>
    <row r="32" spans="1:9" s="773" customFormat="1" ht="19.5" customHeight="1">
      <c r="A32" s="3552"/>
      <c r="B32" s="3552"/>
      <c r="C32" s="769" t="s">
        <v>543</v>
      </c>
      <c r="D32" s="770"/>
      <c r="E32" s="768">
        <v>0.8</v>
      </c>
      <c r="F32" s="771" t="s">
        <v>544</v>
      </c>
      <c r="G32" s="772"/>
      <c r="H32" s="764"/>
      <c r="I32" s="764"/>
    </row>
    <row r="33" spans="1:9" s="773" customFormat="1" ht="19.5" customHeight="1">
      <c r="A33" s="3552" t="s">
        <v>134</v>
      </c>
      <c r="B33" s="768" t="s">
        <v>517</v>
      </c>
      <c r="C33" s="769" t="s">
        <v>545</v>
      </c>
      <c r="D33" s="770"/>
      <c r="E33" s="768">
        <v>1</v>
      </c>
      <c r="F33" s="771" t="s">
        <v>546</v>
      </c>
      <c r="G33" s="772"/>
      <c r="H33" s="764"/>
      <c r="I33" s="764"/>
    </row>
    <row r="34" spans="1:9" s="773" customFormat="1" ht="19.5" customHeight="1">
      <c r="A34" s="3552"/>
      <c r="B34" s="768" t="s">
        <v>520</v>
      </c>
      <c r="C34" s="769" t="s">
        <v>547</v>
      </c>
      <c r="D34" s="770"/>
      <c r="E34" s="768">
        <v>1.5</v>
      </c>
      <c r="F34" s="771" t="s">
        <v>548</v>
      </c>
      <c r="G34" s="772"/>
      <c r="H34" s="764"/>
      <c r="I34" s="764"/>
    </row>
    <row r="35" spans="1:9" s="773" customFormat="1" ht="19.5" customHeight="1">
      <c r="A35" s="3552" t="s">
        <v>135</v>
      </c>
      <c r="B35" s="768" t="s">
        <v>517</v>
      </c>
      <c r="C35" s="769" t="s">
        <v>549</v>
      </c>
      <c r="D35" s="770"/>
      <c r="E35" s="768">
        <v>1</v>
      </c>
      <c r="F35" s="771" t="s">
        <v>550</v>
      </c>
      <c r="G35" s="772"/>
      <c r="H35" s="764"/>
      <c r="I35" s="764"/>
    </row>
    <row r="36" spans="1:9" s="773" customFormat="1" ht="19.5" customHeight="1">
      <c r="A36" s="3552"/>
      <c r="B36" s="3552" t="s">
        <v>520</v>
      </c>
      <c r="C36" s="769" t="s">
        <v>551</v>
      </c>
      <c r="D36" s="770"/>
      <c r="E36" s="768">
        <v>1</v>
      </c>
      <c r="F36" s="771" t="s">
        <v>552</v>
      </c>
      <c r="G36" s="772"/>
      <c r="H36" s="764"/>
      <c r="I36" s="764"/>
    </row>
    <row r="37" spans="1:9" s="773" customFormat="1" ht="19.5" customHeight="1">
      <c r="A37" s="3552"/>
      <c r="B37" s="3552"/>
      <c r="C37" s="769" t="s">
        <v>553</v>
      </c>
      <c r="D37" s="770"/>
      <c r="E37" s="768">
        <v>1.5</v>
      </c>
      <c r="F37" s="771" t="s">
        <v>554</v>
      </c>
      <c r="G37" s="772"/>
      <c r="H37" s="764"/>
      <c r="I37" s="764"/>
    </row>
    <row r="38" spans="1:9" s="773" customFormat="1" ht="19.5" customHeight="1">
      <c r="A38" s="3552"/>
      <c r="B38" s="3552"/>
      <c r="C38" s="769" t="s">
        <v>555</v>
      </c>
      <c r="D38" s="770"/>
      <c r="E38" s="768">
        <v>1</v>
      </c>
      <c r="F38" s="771" t="s">
        <v>556</v>
      </c>
      <c r="G38" s="772"/>
      <c r="H38" s="764"/>
      <c r="I38" s="764"/>
    </row>
    <row r="39" spans="1:9" s="773" customFormat="1" ht="19.5" customHeight="1">
      <c r="A39" s="3552"/>
      <c r="B39" s="355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2" t="s">
        <v>571</v>
      </c>
      <c r="C61" s="682" t="s">
        <v>572</v>
      </c>
      <c r="D61" s="682" t="s">
        <v>573</v>
      </c>
      <c r="E61" s="781">
        <v>0.5</v>
      </c>
      <c r="F61" s="768">
        <v>80</v>
      </c>
    </row>
    <row r="62" spans="1:8" s="764" customFormat="1" ht="24">
      <c r="A62" s="768">
        <v>2</v>
      </c>
      <c r="B62" s="3552"/>
      <c r="C62" s="682" t="s">
        <v>574</v>
      </c>
      <c r="D62" s="682" t="s">
        <v>575</v>
      </c>
      <c r="E62" s="781">
        <v>0.5</v>
      </c>
      <c r="F62" s="768">
        <v>80</v>
      </c>
    </row>
    <row r="63" spans="1:8" s="764" customFormat="1" ht="36">
      <c r="A63" s="768">
        <v>3</v>
      </c>
      <c r="B63" s="3552"/>
      <c r="C63" s="682" t="s">
        <v>576</v>
      </c>
      <c r="D63" s="682" t="s">
        <v>577</v>
      </c>
      <c r="E63" s="781">
        <v>0.5</v>
      </c>
      <c r="F63" s="768">
        <v>80</v>
      </c>
    </row>
    <row r="64" spans="1:8" s="764" customFormat="1" ht="36">
      <c r="A64" s="768">
        <v>4</v>
      </c>
      <c r="B64" s="3552"/>
      <c r="C64" s="682" t="s">
        <v>578</v>
      </c>
      <c r="D64" s="682" t="s">
        <v>579</v>
      </c>
      <c r="E64" s="781">
        <v>0.4</v>
      </c>
      <c r="F64" s="768">
        <v>60</v>
      </c>
    </row>
    <row r="65" spans="1:6" s="764" customFormat="1" ht="36">
      <c r="A65" s="768">
        <v>5</v>
      </c>
      <c r="B65" s="3552"/>
      <c r="C65" s="682" t="s">
        <v>580</v>
      </c>
      <c r="D65" s="682" t="s">
        <v>581</v>
      </c>
      <c r="E65" s="781">
        <v>0.2</v>
      </c>
      <c r="F65" s="768">
        <v>30</v>
      </c>
    </row>
    <row r="66" spans="1:6" s="764" customFormat="1" ht="36">
      <c r="A66" s="768">
        <v>6</v>
      </c>
      <c r="B66" s="3552"/>
      <c r="C66" s="682" t="s">
        <v>582</v>
      </c>
      <c r="D66" s="682" t="s">
        <v>583</v>
      </c>
      <c r="E66" s="781">
        <v>0.3</v>
      </c>
      <c r="F66" s="768">
        <v>50</v>
      </c>
    </row>
    <row r="67" spans="1:6" s="764" customFormat="1" ht="36">
      <c r="A67" s="768">
        <v>7</v>
      </c>
      <c r="B67" s="3552"/>
      <c r="C67" s="682" t="s">
        <v>584</v>
      </c>
      <c r="D67" s="682" t="s">
        <v>585</v>
      </c>
      <c r="E67" s="781">
        <v>0.2</v>
      </c>
      <c r="F67" s="768">
        <v>30</v>
      </c>
    </row>
    <row r="68" spans="1:6" s="764" customFormat="1" ht="36">
      <c r="A68" s="768">
        <v>8</v>
      </c>
      <c r="B68" s="3552"/>
      <c r="C68" s="682" t="s">
        <v>586</v>
      </c>
      <c r="D68" s="682" t="s">
        <v>587</v>
      </c>
      <c r="E68" s="781">
        <v>0.2</v>
      </c>
      <c r="F68" s="768">
        <v>30</v>
      </c>
    </row>
    <row r="69" spans="1:6" s="764" customFormat="1" ht="36">
      <c r="A69" s="768">
        <v>9</v>
      </c>
      <c r="B69" s="3552"/>
      <c r="C69" s="682" t="s">
        <v>588</v>
      </c>
      <c r="D69" s="682" t="s">
        <v>589</v>
      </c>
      <c r="E69" s="781">
        <v>0.2</v>
      </c>
      <c r="F69" s="768">
        <v>30</v>
      </c>
    </row>
    <row r="70" spans="1:6" s="764" customFormat="1" ht="48">
      <c r="A70" s="768">
        <v>10</v>
      </c>
      <c r="B70" s="3552"/>
      <c r="C70" s="682" t="s">
        <v>590</v>
      </c>
      <c r="D70" s="682" t="s">
        <v>591</v>
      </c>
      <c r="E70" s="781">
        <v>0.2</v>
      </c>
      <c r="F70" s="768">
        <v>30</v>
      </c>
    </row>
    <row r="71" spans="1:6" s="764" customFormat="1" ht="48">
      <c r="A71" s="768">
        <v>11</v>
      </c>
      <c r="B71" s="3552"/>
      <c r="C71" s="682" t="s">
        <v>592</v>
      </c>
      <c r="D71" s="682" t="s">
        <v>593</v>
      </c>
      <c r="E71" s="781">
        <v>0.2</v>
      </c>
      <c r="F71" s="768">
        <v>30</v>
      </c>
    </row>
    <row r="72" spans="1:6" s="764" customFormat="1" ht="36">
      <c r="A72" s="768">
        <v>12</v>
      </c>
      <c r="B72" s="3552"/>
      <c r="C72" s="682" t="s">
        <v>594</v>
      </c>
      <c r="D72" s="682" t="s">
        <v>595</v>
      </c>
      <c r="E72" s="781">
        <v>0.5</v>
      </c>
      <c r="F72" s="768">
        <v>80</v>
      </c>
    </row>
    <row r="73" spans="1:6" s="764" customFormat="1" ht="24">
      <c r="A73" s="768">
        <v>13</v>
      </c>
      <c r="B73" s="3552"/>
      <c r="C73" s="682" t="s">
        <v>596</v>
      </c>
      <c r="D73" s="682" t="s">
        <v>597</v>
      </c>
      <c r="E73" s="781">
        <v>0.4</v>
      </c>
      <c r="F73" s="768">
        <v>60</v>
      </c>
    </row>
    <row r="74" spans="1:6" s="764" customFormat="1" ht="24">
      <c r="A74" s="768">
        <v>14</v>
      </c>
      <c r="B74" s="3552"/>
      <c r="C74" s="682" t="s">
        <v>598</v>
      </c>
      <c r="D74" s="682" t="s">
        <v>599</v>
      </c>
      <c r="E74" s="781">
        <v>0.2</v>
      </c>
      <c r="F74" s="768">
        <v>30</v>
      </c>
    </row>
    <row r="75" spans="1:6" s="764" customFormat="1" ht="24">
      <c r="A75" s="768">
        <v>15</v>
      </c>
      <c r="B75" s="3552"/>
      <c r="C75" s="682" t="s">
        <v>600</v>
      </c>
      <c r="D75" s="682" t="s">
        <v>601</v>
      </c>
      <c r="E75" s="781">
        <v>0.2</v>
      </c>
      <c r="F75" s="768">
        <v>30</v>
      </c>
    </row>
    <row r="76" spans="1:6" s="764" customFormat="1" ht="24">
      <c r="A76" s="768">
        <v>16</v>
      </c>
      <c r="B76" s="3552" t="s">
        <v>602</v>
      </c>
      <c r="C76" s="682" t="s">
        <v>603</v>
      </c>
      <c r="D76" s="682" t="s">
        <v>604</v>
      </c>
      <c r="E76" s="781">
        <v>0.5</v>
      </c>
      <c r="F76" s="768">
        <v>80</v>
      </c>
    </row>
    <row r="77" spans="1:6" s="764" customFormat="1" ht="24">
      <c r="A77" s="768">
        <v>17</v>
      </c>
      <c r="B77" s="3552"/>
      <c r="C77" s="682" t="s">
        <v>605</v>
      </c>
      <c r="D77" s="682" t="s">
        <v>606</v>
      </c>
      <c r="E77" s="781">
        <v>0.5</v>
      </c>
      <c r="F77" s="768">
        <v>80</v>
      </c>
    </row>
    <row r="78" spans="1:6" s="764" customFormat="1" ht="24">
      <c r="A78" s="768">
        <v>18</v>
      </c>
      <c r="B78" s="3552"/>
      <c r="C78" s="682" t="s">
        <v>607</v>
      </c>
      <c r="D78" s="682" t="s">
        <v>608</v>
      </c>
      <c r="E78" s="781">
        <v>0.2</v>
      </c>
      <c r="F78" s="768">
        <v>30</v>
      </c>
    </row>
    <row r="79" spans="1:6" s="764" customFormat="1" ht="24">
      <c r="A79" s="768">
        <v>19</v>
      </c>
      <c r="B79" s="3552"/>
      <c r="C79" s="682" t="s">
        <v>609</v>
      </c>
      <c r="D79" s="682" t="s">
        <v>610</v>
      </c>
      <c r="E79" s="781">
        <v>0.5</v>
      </c>
      <c r="F79" s="768">
        <v>80</v>
      </c>
    </row>
    <row r="80" spans="1:6" s="764" customFormat="1" ht="36">
      <c r="A80" s="768">
        <v>20</v>
      </c>
      <c r="B80" s="3552"/>
      <c r="C80" s="682" t="s">
        <v>611</v>
      </c>
      <c r="D80" s="682" t="s">
        <v>612</v>
      </c>
      <c r="E80" s="781">
        <v>0.2</v>
      </c>
      <c r="F80" s="768">
        <v>30</v>
      </c>
    </row>
    <row r="81" spans="1:6" s="764" customFormat="1" ht="36">
      <c r="A81" s="768">
        <v>21</v>
      </c>
      <c r="B81" s="3552"/>
      <c r="C81" s="682" t="s">
        <v>613</v>
      </c>
      <c r="D81" s="682" t="s">
        <v>614</v>
      </c>
      <c r="E81" s="781">
        <v>0.2</v>
      </c>
      <c r="F81" s="768">
        <v>30</v>
      </c>
    </row>
    <row r="82" spans="1:6" s="764" customFormat="1" ht="48">
      <c r="A82" s="768">
        <v>22</v>
      </c>
      <c r="B82" s="3552"/>
      <c r="C82" s="682" t="s">
        <v>615</v>
      </c>
      <c r="D82" s="682" t="s">
        <v>616</v>
      </c>
      <c r="E82" s="781">
        <v>0.2</v>
      </c>
      <c r="F82" s="768">
        <v>30</v>
      </c>
    </row>
    <row r="83" spans="1:6" s="764" customFormat="1" ht="48">
      <c r="A83" s="768">
        <v>23</v>
      </c>
      <c r="B83" s="3552"/>
      <c r="C83" s="682" t="s">
        <v>617</v>
      </c>
      <c r="D83" s="682" t="s">
        <v>618</v>
      </c>
      <c r="E83" s="781">
        <v>0.2</v>
      </c>
      <c r="F83" s="768">
        <v>30</v>
      </c>
    </row>
    <row r="84" spans="1:6" s="764" customFormat="1" ht="36">
      <c r="A84" s="768">
        <v>24</v>
      </c>
      <c r="B84" s="3552"/>
      <c r="C84" s="682" t="s">
        <v>619</v>
      </c>
      <c r="D84" s="682" t="s">
        <v>620</v>
      </c>
      <c r="E84" s="781">
        <v>0.2</v>
      </c>
      <c r="F84" s="768">
        <v>30</v>
      </c>
    </row>
    <row r="85" spans="1:6" s="764" customFormat="1" ht="36">
      <c r="A85" s="768">
        <v>25</v>
      </c>
      <c r="B85" s="3552"/>
      <c r="C85" s="682" t="s">
        <v>621</v>
      </c>
      <c r="D85" s="682" t="s">
        <v>622</v>
      </c>
      <c r="E85" s="781">
        <v>0.5</v>
      </c>
      <c r="F85" s="768">
        <v>80</v>
      </c>
    </row>
    <row r="86" spans="1:6" s="764" customFormat="1" ht="36">
      <c r="A86" s="768">
        <v>26</v>
      </c>
      <c r="B86" s="3552"/>
      <c r="C86" s="682" t="s">
        <v>623</v>
      </c>
      <c r="D86" s="682" t="s">
        <v>624</v>
      </c>
      <c r="E86" s="781">
        <v>0.2</v>
      </c>
      <c r="F86" s="768">
        <v>30</v>
      </c>
    </row>
    <row r="87" spans="1:6" s="764" customFormat="1" ht="36">
      <c r="A87" s="768">
        <v>27</v>
      </c>
      <c r="B87" s="3552"/>
      <c r="C87" s="682" t="s">
        <v>625</v>
      </c>
      <c r="D87" s="682" t="s">
        <v>626</v>
      </c>
      <c r="E87" s="781">
        <v>0.2</v>
      </c>
      <c r="F87" s="768">
        <v>30</v>
      </c>
    </row>
    <row r="88" spans="1:6" s="764" customFormat="1" ht="36">
      <c r="A88" s="768">
        <v>28</v>
      </c>
      <c r="B88" s="3552"/>
      <c r="C88" s="682" t="s">
        <v>627</v>
      </c>
      <c r="D88" s="682" t="s">
        <v>628</v>
      </c>
      <c r="E88" s="781">
        <v>0.2</v>
      </c>
      <c r="F88" s="768">
        <v>30</v>
      </c>
    </row>
    <row r="89" spans="1:6" s="764" customFormat="1" ht="24">
      <c r="A89" s="768">
        <v>29</v>
      </c>
      <c r="B89" s="3552"/>
      <c r="C89" s="682" t="s">
        <v>629</v>
      </c>
      <c r="D89" s="682" t="s">
        <v>630</v>
      </c>
      <c r="E89" s="781">
        <v>0.2</v>
      </c>
      <c r="F89" s="768">
        <v>30</v>
      </c>
    </row>
    <row r="90" spans="1:6" s="764" customFormat="1" ht="24">
      <c r="A90" s="768">
        <v>30</v>
      </c>
      <c r="B90" s="3552"/>
      <c r="C90" s="682" t="s">
        <v>631</v>
      </c>
      <c r="D90" s="682" t="s">
        <v>632</v>
      </c>
      <c r="E90" s="781">
        <v>0.2</v>
      </c>
      <c r="F90" s="768">
        <v>30</v>
      </c>
    </row>
    <row r="91" spans="1:6" s="764" customFormat="1" ht="36">
      <c r="A91" s="768">
        <v>31</v>
      </c>
      <c r="B91" s="3552"/>
      <c r="C91" s="682" t="s">
        <v>633</v>
      </c>
      <c r="D91" s="682" t="s">
        <v>634</v>
      </c>
      <c r="E91" s="781">
        <v>0.2</v>
      </c>
      <c r="F91" s="768">
        <v>30</v>
      </c>
    </row>
    <row r="92" spans="1:6" s="764" customFormat="1" ht="24">
      <c r="A92" s="768">
        <v>32</v>
      </c>
      <c r="B92" s="3552" t="s">
        <v>635</v>
      </c>
      <c r="C92" s="768" t="s">
        <v>636</v>
      </c>
      <c r="D92" s="682" t="s">
        <v>637</v>
      </c>
      <c r="E92" s="781">
        <v>0.2</v>
      </c>
      <c r="F92" s="768">
        <v>30</v>
      </c>
    </row>
    <row r="93" spans="1:6" s="764" customFormat="1" ht="36">
      <c r="A93" s="768">
        <v>33</v>
      </c>
      <c r="B93" s="3552"/>
      <c r="C93" s="768" t="s">
        <v>638</v>
      </c>
      <c r="D93" s="682" t="s">
        <v>639</v>
      </c>
      <c r="E93" s="781">
        <v>0.2</v>
      </c>
      <c r="F93" s="768">
        <v>30</v>
      </c>
    </row>
    <row r="94" spans="1:6" s="764" customFormat="1" ht="48">
      <c r="A94" s="768">
        <v>34</v>
      </c>
      <c r="B94" s="3552"/>
      <c r="C94" s="768" t="s">
        <v>640</v>
      </c>
      <c r="D94" s="682" t="s">
        <v>641</v>
      </c>
      <c r="E94" s="781">
        <v>0.2</v>
      </c>
      <c r="F94" s="768">
        <v>30</v>
      </c>
    </row>
    <row r="95" spans="1:6" s="764" customFormat="1" ht="36">
      <c r="A95" s="768">
        <v>35</v>
      </c>
      <c r="B95" s="3552"/>
      <c r="C95" s="768" t="s">
        <v>642</v>
      </c>
      <c r="D95" s="682" t="s">
        <v>643</v>
      </c>
      <c r="E95" s="781">
        <v>0.2</v>
      </c>
      <c r="F95" s="768">
        <v>30</v>
      </c>
    </row>
    <row r="96" spans="1:6" s="764" customFormat="1" ht="48">
      <c r="A96" s="768">
        <v>36</v>
      </c>
      <c r="B96" s="3552"/>
      <c r="C96" s="682" t="s">
        <v>644</v>
      </c>
      <c r="D96" s="682" t="s">
        <v>645</v>
      </c>
      <c r="E96" s="781">
        <v>0.2</v>
      </c>
      <c r="F96" s="768">
        <v>30</v>
      </c>
    </row>
    <row r="97" spans="1:6" s="764" customFormat="1" ht="36">
      <c r="A97" s="768">
        <v>37</v>
      </c>
      <c r="B97" s="3552"/>
      <c r="C97" s="768" t="s">
        <v>646</v>
      </c>
      <c r="D97" s="682" t="s">
        <v>647</v>
      </c>
      <c r="E97" s="781">
        <v>0.2</v>
      </c>
      <c r="F97" s="768">
        <v>30</v>
      </c>
    </row>
    <row r="98" spans="1:6" s="764" customFormat="1" ht="36">
      <c r="A98" s="768">
        <v>38</v>
      </c>
      <c r="B98" s="3552"/>
      <c r="C98" s="768" t="s">
        <v>648</v>
      </c>
      <c r="D98" s="682" t="s">
        <v>649</v>
      </c>
      <c r="E98" s="781">
        <v>0.2</v>
      </c>
      <c r="F98" s="768">
        <v>30</v>
      </c>
    </row>
    <row r="99" spans="1:6" s="764" customFormat="1" ht="36">
      <c r="A99" s="768">
        <v>39</v>
      </c>
      <c r="B99" s="3552" t="s">
        <v>650</v>
      </c>
      <c r="C99" s="768" t="s">
        <v>651</v>
      </c>
      <c r="D99" s="682" t="s">
        <v>652</v>
      </c>
      <c r="E99" s="781">
        <v>0.3</v>
      </c>
      <c r="F99" s="768">
        <v>50</v>
      </c>
    </row>
    <row r="100" spans="1:6" s="764" customFormat="1" ht="24">
      <c r="A100" s="768">
        <v>40</v>
      </c>
      <c r="B100" s="3552"/>
      <c r="C100" s="768" t="s">
        <v>653</v>
      </c>
      <c r="D100" s="682" t="s">
        <v>654</v>
      </c>
      <c r="E100" s="781">
        <v>0.2</v>
      </c>
      <c r="F100" s="768">
        <v>30</v>
      </c>
    </row>
    <row r="101" spans="1:6" s="764" customFormat="1" ht="36">
      <c r="A101" s="768">
        <v>41</v>
      </c>
      <c r="B101" s="355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2" t="s">
        <v>665</v>
      </c>
      <c r="C105" s="768" t="s">
        <v>666</v>
      </c>
      <c r="D105" s="682" t="s">
        <v>667</v>
      </c>
      <c r="E105" s="781">
        <v>0.2</v>
      </c>
      <c r="F105" s="768">
        <v>30</v>
      </c>
    </row>
    <row r="106" spans="1:6" s="764" customFormat="1" ht="36">
      <c r="A106" s="768">
        <v>46</v>
      </c>
      <c r="B106" s="3552"/>
      <c r="C106" s="768" t="s">
        <v>668</v>
      </c>
      <c r="D106" s="682" t="s">
        <v>669</v>
      </c>
      <c r="E106" s="781">
        <v>0.2</v>
      </c>
      <c r="F106" s="768">
        <v>30</v>
      </c>
    </row>
    <row r="107" spans="1:6" s="764" customFormat="1" ht="36">
      <c r="A107" s="768">
        <v>47</v>
      </c>
      <c r="B107" s="3552" t="s">
        <v>670</v>
      </c>
      <c r="C107" s="768" t="s">
        <v>671</v>
      </c>
      <c r="D107" s="682" t="s">
        <v>672</v>
      </c>
      <c r="E107" s="781">
        <v>0.3</v>
      </c>
      <c r="F107" s="768">
        <v>50</v>
      </c>
    </row>
    <row r="108" spans="1:6" s="764" customFormat="1" ht="36">
      <c r="A108" s="768">
        <v>48</v>
      </c>
      <c r="B108" s="355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2" t="s">
        <v>681</v>
      </c>
      <c r="C111" s="768" t="s">
        <v>682</v>
      </c>
      <c r="D111" s="682" t="s">
        <v>683</v>
      </c>
      <c r="E111" s="781">
        <v>0.2</v>
      </c>
      <c r="F111" s="768">
        <v>30</v>
      </c>
    </row>
    <row r="112" spans="1:6" s="764" customFormat="1" ht="24">
      <c r="A112" s="768">
        <v>52</v>
      </c>
      <c r="B112" s="3552"/>
      <c r="C112" s="768" t="s">
        <v>684</v>
      </c>
      <c r="D112" s="682" t="s">
        <v>685</v>
      </c>
      <c r="E112" s="781">
        <v>0.2</v>
      </c>
      <c r="F112" s="768">
        <v>30</v>
      </c>
    </row>
    <row r="113" spans="1:6" s="764" customFormat="1" ht="24">
      <c r="A113" s="768">
        <v>53</v>
      </c>
      <c r="B113" s="355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2" t="s">
        <v>694</v>
      </c>
      <c r="C116" s="768" t="s">
        <v>695</v>
      </c>
      <c r="D116" s="682" t="s">
        <v>696</v>
      </c>
      <c r="E116" s="781">
        <v>0.2</v>
      </c>
      <c r="F116" s="768">
        <v>30</v>
      </c>
    </row>
    <row r="117" spans="1:6" ht="36">
      <c r="A117" s="768">
        <v>57</v>
      </c>
      <c r="B117" s="355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D1" zoomScale="80" zoomScaleNormal="80" workbookViewId="0">
      <selection activeCell="A7" sqref="A7:XFD7"/>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8" t="s">
        <v>1020</v>
      </c>
      <c r="C1" s="3558"/>
      <c r="D1" s="3558"/>
      <c r="E1" s="3558"/>
      <c r="F1" s="3558"/>
      <c r="G1" s="3554" t="s">
        <v>1021</v>
      </c>
      <c r="H1" s="3554"/>
      <c r="I1" s="3554"/>
      <c r="J1" s="3554"/>
      <c r="K1" s="3554"/>
      <c r="L1" s="3554"/>
      <c r="N1" s="3554" t="s">
        <v>1022</v>
      </c>
      <c r="O1" s="3554"/>
      <c r="P1" s="3554"/>
      <c r="Q1" s="3554"/>
      <c r="S1" s="3554" t="s">
        <v>1023</v>
      </c>
      <c r="T1" s="3554"/>
      <c r="U1" s="3554"/>
      <c r="V1" s="3554"/>
      <c r="X1" s="3553" t="s">
        <v>1024</v>
      </c>
      <c r="Y1" s="3554"/>
      <c r="Z1" s="3554"/>
      <c r="AA1" s="3554"/>
      <c r="AB1" s="3554"/>
      <c r="AD1" s="3553" t="s">
        <v>1025</v>
      </c>
      <c r="AE1" s="3554"/>
      <c r="AF1" s="3554"/>
      <c r="AG1" s="3554"/>
      <c r="AH1" s="3554"/>
    </row>
    <row r="2" spans="1:34" s="2336" customFormat="1" ht="14.25" thickBot="1">
      <c r="B2" s="2337" t="s">
        <v>1026</v>
      </c>
      <c r="C2" s="2337" t="s">
        <v>1027</v>
      </c>
      <c r="D2" s="2338" t="s">
        <v>1028</v>
      </c>
      <c r="E2" s="2338" t="s">
        <v>1029</v>
      </c>
      <c r="F2" s="2337" t="s">
        <v>1030</v>
      </c>
      <c r="G2" s="2339"/>
      <c r="I2" s="2337" t="s">
        <v>1247</v>
      </c>
      <c r="J2" s="2338" t="s">
        <v>1248</v>
      </c>
      <c r="K2" s="2338" t="s">
        <v>1249</v>
      </c>
      <c r="L2" s="2337" t="s">
        <v>1250</v>
      </c>
      <c r="N2" s="2337" t="s">
        <v>1026</v>
      </c>
      <c r="O2" s="2338" t="s">
        <v>1251</v>
      </c>
      <c r="P2" s="2338" t="s">
        <v>728</v>
      </c>
      <c r="Q2" s="2337" t="s">
        <v>1030</v>
      </c>
      <c r="S2" s="2337" t="s">
        <v>1026</v>
      </c>
      <c r="T2" s="2338" t="s">
        <v>1251</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2894</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2712</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2895</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0">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2893</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2746</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2743</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2741</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2738</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2732</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2733</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2726</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56">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2721</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56"/>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2720</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56"/>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2717</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63"/>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2714</v>
      </c>
      <c r="B18" s="2381">
        <v>439</v>
      </c>
      <c r="C18" s="2381">
        <v>327</v>
      </c>
      <c r="D18" s="2381">
        <f t="shared" si="125"/>
        <v>327</v>
      </c>
      <c r="E18" s="2381">
        <v>627</v>
      </c>
      <c r="F18" s="2382">
        <v>283</v>
      </c>
      <c r="G18" s="3559">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2711</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56"/>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1246</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56"/>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63"/>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59">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56"/>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56"/>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57"/>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55">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56"/>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56"/>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57"/>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55">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56"/>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56"/>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57"/>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60">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61"/>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61"/>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62"/>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55">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56"/>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56"/>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57"/>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55">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56">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56">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57">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55">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56">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56">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57">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55">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56">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56">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57">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55">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56">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56">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57">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55">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56">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56">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57">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55">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56">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56">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57">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55">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56">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56">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57">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55">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56">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56">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57">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55">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56">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56">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57">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55">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56">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56">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57">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44195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80"/>
  <sheetViews>
    <sheetView tabSelected="1" topLeftCell="D97" workbookViewId="0">
      <selection activeCell="M83" sqref="M83"/>
    </sheetView>
  </sheetViews>
  <sheetFormatPr defaultRowHeight="13.5"/>
  <sheetData>
    <row r="80" spans="11:11">
      <c r="K80" s="1341" t="s">
        <v>2976</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3.5" customHeight="1">
      <c r="A3" s="1362"/>
      <c r="B3" s="1362"/>
      <c r="C3" s="1362"/>
      <c r="D3" s="1362"/>
      <c r="E3" s="1362"/>
    </row>
    <row r="4" spans="1:5" ht="19.5" thickBot="1">
      <c r="A4" s="3179" t="str">
        <f>IF(项目基本情况!D5="房地产市场价值","估价结果一览表（市场价值不需本页表格)","估价结果一览表")</f>
        <v>估价结果一览表</v>
      </c>
      <c r="B4" s="3179"/>
      <c r="C4" s="3179"/>
      <c r="D4" s="3179"/>
      <c r="E4" s="3179"/>
    </row>
    <row r="5" spans="1:5" ht="14.25" customHeight="1" thickTop="1">
      <c r="A5" s="1359"/>
      <c r="B5" s="1363" t="s">
        <v>742</v>
      </c>
      <c r="C5" s="3180" t="s">
        <v>775</v>
      </c>
      <c r="D5" s="3181"/>
      <c r="E5" s="1359"/>
    </row>
    <row r="6" spans="1:5" ht="14.25">
      <c r="A6" s="1359"/>
      <c r="B6" s="1364" t="str">
        <f>项目基本情况!I1</f>
        <v>北京市房地产</v>
      </c>
      <c r="C6" s="3182">
        <f>项目基本情况!C12</f>
        <v>191.89</v>
      </c>
      <c r="D6" s="3182"/>
      <c r="E6" s="1359"/>
    </row>
    <row r="7" spans="1:5" ht="14.25">
      <c r="A7" s="1359"/>
      <c r="B7" s="3176" t="s">
        <v>776</v>
      </c>
      <c r="C7" s="1365" t="str">
        <f>IF('数据-取费表'!B3="万元","总价（万元）","总价（元）")</f>
        <v>总价（万元）</v>
      </c>
      <c r="D7" s="1366">
        <f ca="1">IF('数据-取费表'!E3="否",结果表!I102,'结果表 (1修多)'!I104)</f>
        <v>1301</v>
      </c>
      <c r="E7" s="1359"/>
    </row>
    <row r="8" spans="1:5" ht="14.25">
      <c r="A8" s="1359"/>
      <c r="B8" s="3176"/>
      <c r="C8" s="1367" t="s">
        <v>1162</v>
      </c>
      <c r="D8" s="1368" t="str">
        <f ca="1">IF('数据-取费表'!B3="万元",NUMBERSTRING(INT(D7*10000),2)&amp;"元整",NUMBERSTRING(INT(D7),2)&amp;"元整")</f>
        <v>壹仟叁佰零壹万元整</v>
      </c>
      <c r="E8" s="1359"/>
    </row>
    <row r="9" spans="1:5" ht="14.25">
      <c r="A9" s="1359"/>
      <c r="B9" s="3176"/>
      <c r="C9" s="1369" t="s">
        <v>1260</v>
      </c>
      <c r="D9" s="1366">
        <f ca="1">IF('数据-取费表'!E3="否",结果表!I103,'结果表 (1修多)'!I105)</f>
        <v>67799</v>
      </c>
      <c r="E9" s="1359"/>
    </row>
    <row r="10" spans="1:5" ht="14.25">
      <c r="A10" s="1359"/>
      <c r="B10" s="3183"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83"/>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83" t="str">
        <f>IF('数据-取费表'!E3="否",结果表!F110,'结果表 (1修多)'!F112)</f>
        <v>3.房地产抵押价值</v>
      </c>
      <c r="C15" s="1360" t="str">
        <f>C7</f>
        <v>总价（万元）</v>
      </c>
      <c r="D15" s="1366">
        <f ca="1">IF('数据-取费表'!E3="否",结果表!I110,'结果表 (1修多)'!I112)</f>
        <v>1301</v>
      </c>
      <c r="E15" s="1359"/>
    </row>
    <row r="16" spans="1:5" ht="14.25">
      <c r="A16" s="1359"/>
      <c r="B16" s="3183"/>
      <c r="C16" s="1367" t="s">
        <v>1162</v>
      </c>
      <c r="D16" s="1366" t="str">
        <f ca="1">IF('数据-取费表'!B3="万元",NUMBERSTRING(INT(D15*10000),2)&amp;"元整",NUMBERSTRING(INT(D15),2)&amp;"元整")</f>
        <v>壹仟叁佰零壹万元整</v>
      </c>
      <c r="E16" s="1359"/>
    </row>
    <row r="17" spans="1:5" ht="14.25">
      <c r="A17" s="1359"/>
      <c r="B17" s="3183"/>
      <c r="C17" s="1369" t="s">
        <v>1260</v>
      </c>
      <c r="D17" s="1366">
        <f ca="1">IF('数据-取费表'!E3="否",结果表!I111,'结果表 (1修多)'!I113)</f>
        <v>67799</v>
      </c>
      <c r="E17" s="1359"/>
    </row>
    <row r="18" spans="1:5" ht="14.25">
      <c r="A18" s="1359"/>
      <c r="B18" s="3183" t="str">
        <f>IF('数据-取费表'!E3="否",结果表!F112,'结果表 (1修多)'!F114)</f>
        <v>——</v>
      </c>
      <c r="C18" s="1360" t="str">
        <f>C7</f>
        <v>总价（万元）</v>
      </c>
      <c r="D18" s="1366" t="str">
        <f>IF('数据-取费表'!E3="否",结果表!I112,'结果表 (1修多)'!I114)</f>
        <v>——</v>
      </c>
      <c r="E18" s="1359"/>
    </row>
    <row r="19" spans="1:5" ht="14.25">
      <c r="A19" s="1359"/>
      <c r="B19" s="3183"/>
      <c r="C19" s="1367" t="s">
        <v>1162</v>
      </c>
      <c r="D19" s="1366" t="e">
        <f>IF('数据-取费表'!B3="万元",NUMBERSTRING(INT(D18*10000),2)&amp;"元整",NUMBERSTRING(INT(D18),2)&amp;"元整")</f>
        <v>#VALUE!</v>
      </c>
      <c r="E19" s="1359"/>
    </row>
    <row r="20" spans="1:5" ht="14.25">
      <c r="A20" s="1359"/>
      <c r="B20" s="3183"/>
      <c r="C20" s="1369" t="s">
        <v>1260</v>
      </c>
      <c r="D20" s="1366" t="str">
        <f>IF('数据-取费表'!E3="否",结果表!I113,'结果表 (1修多)'!I115)</f>
        <v>——</v>
      </c>
      <c r="E20" s="1359"/>
    </row>
    <row r="21" spans="1:5" ht="14.25">
      <c r="A21" s="1359"/>
      <c r="B21" s="3176" t="str">
        <f>IF('数据-取费表'!E3="否",结果表!F114,'结果表 (1修多)'!F116)</f>
        <v>4.抵押净值</v>
      </c>
      <c r="C21" s="1365" t="str">
        <f>C7</f>
        <v>总价（万元）</v>
      </c>
      <c r="D21" s="1366">
        <f ca="1">IF('数据-取费表'!E3="否",结果表!I114,'结果表 (1修多)'!I116)</f>
        <v>1299</v>
      </c>
      <c r="E21" s="1359"/>
    </row>
    <row r="22" spans="1:5" ht="14.25">
      <c r="A22" s="1359"/>
      <c r="B22" s="3176"/>
      <c r="C22" s="1367" t="s">
        <v>1162</v>
      </c>
      <c r="D22" s="1368" t="str">
        <f ca="1">IF('数据-取费表'!B3="万元",NUMBERSTRING(INT(D21*10000),2)&amp;"元整",NUMBERSTRING(INT(D21),2)&amp;"元整")</f>
        <v>壹仟贰佰玖拾玖万元整</v>
      </c>
      <c r="E22" s="1359"/>
    </row>
    <row r="23" spans="1:5" ht="15" thickBot="1">
      <c r="A23" s="1359"/>
      <c r="B23" s="3177"/>
      <c r="C23" s="1374" t="s">
        <v>1260</v>
      </c>
      <c r="D23" s="1375">
        <f ca="1">IF('数据-取费表'!E3="否",结果表!I115,'结果表 (1修多)'!I117)</f>
        <v>67695</v>
      </c>
      <c r="E23" s="1359"/>
    </row>
    <row r="24" spans="1:5" ht="14.25" thickTop="1">
      <c r="A24" s="1359"/>
      <c r="B24" s="1359"/>
      <c r="C24" s="1359"/>
      <c r="D24" s="1359"/>
      <c r="E24" s="1359"/>
    </row>
    <row r="25" spans="1:5" ht="18.75" customHeight="1" thickBot="1">
      <c r="A25" s="1359"/>
      <c r="B25" s="3168" t="s">
        <v>1261</v>
      </c>
      <c r="C25" s="3168"/>
      <c r="D25" s="3168"/>
      <c r="E25" s="1359"/>
    </row>
    <row r="26" spans="1:5" ht="18.75" customHeight="1" thickTop="1">
      <c r="A26" s="1359"/>
      <c r="B26" s="3171" t="s">
        <v>1161</v>
      </c>
      <c r="C26" s="3172"/>
      <c r="D26" s="3169" t="s">
        <v>1160</v>
      </c>
      <c r="E26" s="1359"/>
    </row>
    <row r="27" spans="1:5" ht="18.75" customHeight="1">
      <c r="A27" s="1359"/>
      <c r="B27" s="3173"/>
      <c r="C27" s="3174"/>
      <c r="D27" s="3170"/>
      <c r="E27" s="1359"/>
    </row>
    <row r="28" spans="1:5" ht="14.25">
      <c r="A28" s="1359"/>
      <c r="B28" s="3161" t="s">
        <v>776</v>
      </c>
      <c r="C28" s="1376" t="s">
        <v>1163</v>
      </c>
      <c r="D28" s="1377">
        <f ca="1">IF('数据-取费表'!E3="否",结果表!I102,'结果表 (1修多)'!I104)</f>
        <v>1301</v>
      </c>
      <c r="E28" s="1359"/>
    </row>
    <row r="29" spans="1:5" ht="14.25">
      <c r="A29" s="1359"/>
      <c r="B29" s="3162"/>
      <c r="C29" s="1378" t="s">
        <v>1162</v>
      </c>
      <c r="D29" s="1379" t="str">
        <f ca="1">IF('数据-取费表'!B3="万元",NUMBERSTRING(INT(D28*10000),2)&amp;"元整",NUMBERSTRING(INT(D28),2)&amp;"元整")</f>
        <v>壹仟叁佰零壹万元整</v>
      </c>
      <c r="E29" s="1359"/>
    </row>
    <row r="30" spans="1:5" ht="14.25">
      <c r="A30" s="1359"/>
      <c r="B30" s="3163"/>
      <c r="C30" s="1369" t="s">
        <v>1165</v>
      </c>
      <c r="D30" s="1380">
        <f ca="1">IF('数据-取费表'!E3="否",结果表!I103,'结果表 (1修多)'!I105)</f>
        <v>67799</v>
      </c>
      <c r="E30" s="1359"/>
    </row>
    <row r="31" spans="1:5" ht="14.25">
      <c r="A31" s="1359"/>
      <c r="B31" s="3166" t="str">
        <f>B10</f>
        <v>2.估价师所知悉的法定优先受偿款</v>
      </c>
      <c r="C31" s="1381" t="s">
        <v>1164</v>
      </c>
      <c r="D31" s="1382">
        <f>IF('数据-取费表'!E3="否",结果表!I105,'结果表 (1修多)'!I107)</f>
        <v>0</v>
      </c>
      <c r="E31" s="1359"/>
    </row>
    <row r="32" spans="1:5" ht="14.25">
      <c r="A32" s="1359"/>
      <c r="B32" s="317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4" t="str">
        <f>B15</f>
        <v>3.房地产抵押价值</v>
      </c>
      <c r="C36" s="1381" t="str">
        <f>C28</f>
        <v>总价</v>
      </c>
      <c r="D36" s="1382">
        <f ca="1">IF('数据-取费表'!E3="否",结果表!I110,'结果表 (1修多)'!I112)</f>
        <v>1301</v>
      </c>
      <c r="E36" s="1359"/>
    </row>
    <row r="37" spans="1:5" ht="14.25">
      <c r="A37" s="1359"/>
      <c r="B37" s="3164"/>
      <c r="C37" s="1378" t="s">
        <v>1162</v>
      </c>
      <c r="D37" s="1383" t="str">
        <f ca="1">IF('数据-取费表'!B3="万元",NUMBERSTRING(INT(D36*10000),2)&amp;"元整",NUMBERSTRING(INT(D36),2)&amp;"元整")</f>
        <v>壹仟叁佰零壹万元整</v>
      </c>
      <c r="E37" s="1359"/>
    </row>
    <row r="38" spans="1:5" ht="14.25">
      <c r="A38" s="1359"/>
      <c r="B38" s="3164"/>
      <c r="C38" s="1369" t="s">
        <v>1166</v>
      </c>
      <c r="D38" s="1380">
        <f ca="1">IF('数据-取费表'!E3="否",结果表!D113,'结果表 (1修多)'!D117)</f>
        <v>67799</v>
      </c>
      <c r="E38" s="1359"/>
    </row>
    <row r="39" spans="1:5" ht="14.25">
      <c r="A39" s="1359"/>
      <c r="B39" s="3165" t="str">
        <f>B18</f>
        <v>——</v>
      </c>
      <c r="C39" s="1381" t="str">
        <f>C28</f>
        <v>总价</v>
      </c>
      <c r="D39" s="1382" t="str">
        <f>IF('数据-取费表'!E3="否",结果表!I112,'结果表 (1修多)'!I114)</f>
        <v>——</v>
      </c>
      <c r="E39" s="1359"/>
    </row>
    <row r="40" spans="1:5" ht="14.25">
      <c r="A40" s="1359"/>
      <c r="B40" s="3165"/>
      <c r="C40" s="1378" t="s">
        <v>1162</v>
      </c>
      <c r="D40" s="1383" t="e">
        <f>IF('数据-取费表'!B3="万元",NUMBERSTRING(INT(D39*10000),2)&amp;"元整",NUMBERSTRING(INT(D39),2)&amp;"元整")</f>
        <v>#VALUE!</v>
      </c>
      <c r="E40" s="1359"/>
    </row>
    <row r="41" spans="1:5" ht="14.25">
      <c r="A41" s="1359"/>
      <c r="B41" s="3165"/>
      <c r="C41" s="1369" t="s">
        <v>1166</v>
      </c>
      <c r="D41" s="1380" t="str">
        <f>IF('数据-取费表'!E3="否",结果表!D115,'结果表 (1修多)'!D119)</f>
        <v>——</v>
      </c>
      <c r="E41" s="1359"/>
    </row>
    <row r="42" spans="1:5" ht="14.25">
      <c r="A42" s="1359"/>
      <c r="B42" s="3164" t="str">
        <f>B21</f>
        <v>4.抵押净值</v>
      </c>
      <c r="C42" s="1381" t="str">
        <f>C28</f>
        <v>总价</v>
      </c>
      <c r="D42" s="1382">
        <f ca="1">IF('数据-取费表'!E3="否",结果表!I114,'结果表 (1修多)'!I116)</f>
        <v>1299</v>
      </c>
      <c r="E42" s="1359"/>
    </row>
    <row r="43" spans="1:5" ht="14.25">
      <c r="A43" s="1359"/>
      <c r="B43" s="3166"/>
      <c r="C43" s="1378" t="s">
        <v>1162</v>
      </c>
      <c r="D43" s="1384" t="str">
        <f ca="1">IF('数据-取费表'!B3="万元",NUMBERSTRING(INT(D42*10000),2)&amp;"元整",NUMBERSTRING(INT(D42),2)&amp;"元整")</f>
        <v>壹仟贰佰玖拾玖万元整</v>
      </c>
      <c r="E43" s="1359"/>
    </row>
    <row r="44" spans="1:5" ht="15" thickBot="1">
      <c r="A44" s="1359"/>
      <c r="B44" s="3167"/>
      <c r="C44" s="1374" t="s">
        <v>1166</v>
      </c>
      <c r="D44" s="1385">
        <f ca="1">IF('数据-取费表'!E3="否",结果表!D117,'结果表 (1修多)'!D121)</f>
        <v>67695</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0" t="str">
        <f>IF(项目基本情况!D5="房地产市场价值","估价结果一览表","结果表-2")</f>
        <v>结果表-2</v>
      </c>
      <c r="B1" s="3190"/>
      <c r="C1" s="3190"/>
      <c r="D1" s="3190"/>
      <c r="E1" s="3190"/>
      <c r="F1" s="3190"/>
      <c r="G1" s="3190"/>
      <c r="H1" s="3190"/>
      <c r="I1" s="3190"/>
    </row>
    <row r="2" spans="1:9" ht="30" customHeight="1" thickTop="1">
      <c r="A2" s="3191" t="s">
        <v>1262</v>
      </c>
      <c r="B2" s="3191" t="s">
        <v>1263</v>
      </c>
      <c r="C2" s="3191" t="s">
        <v>1264</v>
      </c>
      <c r="D2" s="3191" t="str">
        <f>IF('数据-取费表'!E3="否",结果表!D119,'结果表 (1修多)'!D123)</f>
        <v>出让国有建设用地使用权价值</v>
      </c>
      <c r="E2" s="3191"/>
      <c r="F2" s="3191" t="s">
        <v>1265</v>
      </c>
      <c r="G2" s="3191"/>
      <c r="H2" s="3191" t="s">
        <v>1266</v>
      </c>
      <c r="I2" s="3191"/>
    </row>
    <row r="3" spans="1:9" ht="15">
      <c r="A3" s="3184"/>
      <c r="B3" s="3184"/>
      <c r="C3" s="3184"/>
      <c r="D3" s="818" t="s">
        <v>1267</v>
      </c>
      <c r="E3" s="818" t="s">
        <v>1268</v>
      </c>
      <c r="F3" s="818" t="s">
        <v>1267</v>
      </c>
      <c r="G3" s="818" t="s">
        <v>1269</v>
      </c>
      <c r="H3" s="818" t="s">
        <v>1267</v>
      </c>
      <c r="I3" s="818" t="s">
        <v>1269</v>
      </c>
    </row>
    <row r="4" spans="1:9" ht="46.5" customHeight="1">
      <c r="A4" s="818" t="str">
        <f>项目基本情况!I1</f>
        <v>北京市房地产</v>
      </c>
      <c r="B4" s="818">
        <f>结果表!B121</f>
        <v>191.89</v>
      </c>
      <c r="C4" s="818">
        <f>结果表!C121</f>
        <v>0</v>
      </c>
      <c r="D4" s="818">
        <f ca="1">IF('数据-取费表'!E3="否",结果表!D121,'结果表 (1修多)'!D125)</f>
        <v>1412</v>
      </c>
      <c r="E4" s="818">
        <f ca="1">IF('数据-取费表'!E3="否",结果表!E121,'结果表 (1修多)'!E125)</f>
        <v>73584</v>
      </c>
      <c r="F4" s="818">
        <f ca="1">IF('数据-取费表'!E3="否",结果表!F121,'结果表 (1修多)'!F125)</f>
        <v>-111</v>
      </c>
      <c r="G4" s="818">
        <f ca="1">IF('数据-取费表'!E3="否",结果表!G121,'结果表 (1修多)'!G125)</f>
        <v>-5785</v>
      </c>
      <c r="H4" s="818">
        <f ca="1">IF('数据-取费表'!E3="否",结果表!H121,'结果表 (1修多)'!H125)</f>
        <v>1301</v>
      </c>
      <c r="I4" s="818">
        <f ca="1">IF('数据-取费表'!E3="否",结果表!I121,'结果表 (1修多)'!I125)</f>
        <v>67799</v>
      </c>
    </row>
    <row r="5" spans="1:9" ht="15">
      <c r="A5" s="3184" t="s">
        <v>1270</v>
      </c>
      <c r="B5" s="3184"/>
      <c r="C5" s="3184"/>
      <c r="D5" s="3185" t="str">
        <f ca="1">IF('数据-取费表'!E3="否",结果表!D122,'结果表 (1修多)'!D126)</f>
        <v>壹仟肆佰壹拾贰万元整</v>
      </c>
      <c r="E5" s="3185"/>
      <c r="F5" s="3185" t="e">
        <f ca="1">IF('数据-取费表'!E3="否",结果表!F122,'结果表 (1修多)'!F126)</f>
        <v>#NUM!</v>
      </c>
      <c r="G5" s="3185"/>
      <c r="H5" s="3185" t="str">
        <f ca="1">IF('数据-取费表'!E3="否",结果表!H122,'结果表 (1修多)'!H126)</f>
        <v>壹仟叁佰零壹万元整</v>
      </c>
      <c r="I5" s="3185"/>
    </row>
    <row r="6" spans="1:9" ht="15.75">
      <c r="A6" s="3186" t="str">
        <f>IF('数据-取费表'!E3="否",结果表!A123,'结果表 (1修多)'!A127)</f>
        <v>估价师所知悉的法定优先受偿款</v>
      </c>
      <c r="B6" s="3186"/>
      <c r="C6" s="3186"/>
      <c r="D6" s="3186">
        <f>IF('数据-取费表'!E3="否",结果表!D123,'结果表 (1修多)'!D127)</f>
        <v>0</v>
      </c>
      <c r="E6" s="3186"/>
      <c r="F6" s="3186"/>
      <c r="G6" s="3186"/>
      <c r="H6" s="3186"/>
      <c r="I6" s="3186"/>
    </row>
    <row r="7" spans="1:9" ht="15">
      <c r="A7" s="3184" t="s">
        <v>1270</v>
      </c>
      <c r="B7" s="3184"/>
      <c r="C7" s="3184"/>
      <c r="D7" s="3192">
        <f>IF('数据-取费表'!E3="否",结果表!D124,'结果表 (1修多)'!D128)</f>
        <v>0</v>
      </c>
      <c r="E7" s="3193"/>
      <c r="F7" s="3193"/>
      <c r="G7" s="3193"/>
      <c r="H7" s="3193"/>
      <c r="I7" s="3194"/>
    </row>
    <row r="8" spans="1:9" ht="15.75">
      <c r="A8" s="3186" t="str">
        <f>IF('数据-取费表'!E3="否",结果表!A125,'结果表 (1修多)'!A129)</f>
        <v>房地产抵押价值</v>
      </c>
      <c r="B8" s="3186"/>
      <c r="C8" s="3186"/>
      <c r="D8" s="3186">
        <f ca="1">IF('数据-取费表'!E3="否",结果表!D125,'结果表 (1修多)'!D129)</f>
        <v>1301</v>
      </c>
      <c r="E8" s="3186"/>
      <c r="F8" s="3186"/>
      <c r="G8" s="3186"/>
      <c r="H8" s="3186"/>
      <c r="I8" s="3186"/>
    </row>
    <row r="9" spans="1:9" ht="15">
      <c r="A9" s="3184" t="s">
        <v>1270</v>
      </c>
      <c r="B9" s="3184"/>
      <c r="C9" s="3184"/>
      <c r="D9" s="3185">
        <f ca="1">IF('数据-取费表'!E3="否",结果表!D126,'结果表 (1修多)'!D130)</f>
        <v>67799</v>
      </c>
      <c r="E9" s="3185"/>
      <c r="F9" s="3185"/>
      <c r="G9" s="3185"/>
      <c r="H9" s="3185"/>
      <c r="I9" s="3185"/>
    </row>
    <row r="10" spans="1:9" ht="15.75">
      <c r="A10" s="3186" t="str">
        <f>IF('数据-取费表'!E3="否",结果表!A127,'结果表 (1修多)'!A131)</f>
        <v/>
      </c>
      <c r="B10" s="3186"/>
      <c r="C10" s="3186"/>
      <c r="D10" s="3186" t="str">
        <f>IF('数据-取费表'!E3="否",结果表!D127,'结果表 (1修多)'!D130)</f>
        <v>——</v>
      </c>
      <c r="E10" s="3186"/>
      <c r="F10" s="3186"/>
      <c r="G10" s="3186"/>
      <c r="H10" s="3186"/>
      <c r="I10" s="3186"/>
    </row>
    <row r="11" spans="1:9" ht="15">
      <c r="A11" s="3184" t="s">
        <v>1270</v>
      </c>
      <c r="B11" s="3184"/>
      <c r="C11" s="3184"/>
      <c r="D11" s="3185" t="str">
        <f>IF('数据-取费表'!E3="否",结果表!D128,'结果表 (1修多)'!D132)</f>
        <v>——</v>
      </c>
      <c r="E11" s="3185"/>
      <c r="F11" s="3185"/>
      <c r="G11" s="3185"/>
      <c r="H11" s="3185"/>
      <c r="I11" s="3185"/>
    </row>
    <row r="12" spans="1:9" ht="15.75">
      <c r="A12" s="3186" t="str">
        <f>IF('数据-取费表'!E3="否",结果表!A129,'结果表 (1修多)'!A133)</f>
        <v>抵押净值</v>
      </c>
      <c r="B12" s="3186"/>
      <c r="C12" s="3186"/>
      <c r="D12" s="3186">
        <f ca="1">IF('数据-取费表'!E3="否",结果表!D129,'结果表 (1修多)'!D133)</f>
        <v>1299</v>
      </c>
      <c r="E12" s="3186"/>
      <c r="F12" s="3186"/>
      <c r="G12" s="3186"/>
      <c r="H12" s="3186"/>
      <c r="I12" s="3186"/>
    </row>
    <row r="13" spans="1:9" ht="15.75" thickBot="1">
      <c r="A13" s="3187" t="s">
        <v>1270</v>
      </c>
      <c r="B13" s="3187"/>
      <c r="C13" s="3187"/>
      <c r="D13" s="3188">
        <f>IF('数据-取费表'!E3="否",结果表!D130,'结果表 (1修多)'!D134)</f>
        <v>0</v>
      </c>
      <c r="E13" s="3188"/>
      <c r="F13" s="3188"/>
      <c r="G13" s="3188"/>
      <c r="H13" s="3188"/>
      <c r="I13" s="3188"/>
    </row>
    <row r="14" spans="1:9" ht="15" thickTop="1">
      <c r="A14" s="3189" t="str">
        <f>IF('数据-取费表'!E3="否",结果表!A131,'结果表 (1修多)'!A135)</f>
        <v>单位：平方米、万元、元/平方米（币种：人民币）</v>
      </c>
      <c r="B14" s="3189"/>
      <c r="C14" s="3189"/>
      <c r="D14" s="3189"/>
      <c r="E14" s="3189"/>
      <c r="F14" s="3189"/>
      <c r="G14" s="3189"/>
      <c r="H14" s="3189"/>
      <c r="I14" s="3189"/>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6" t="s">
        <v>1283</v>
      </c>
      <c r="B1" s="3196"/>
      <c r="C1" s="3196"/>
      <c r="D1" s="3196"/>
    </row>
    <row r="2" spans="1:4" ht="18">
      <c r="A2" s="3195" t="s">
        <v>1272</v>
      </c>
      <c r="B2" s="3195"/>
      <c r="C2" s="3195"/>
      <c r="D2" s="3195"/>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95" t="s">
        <v>1277</v>
      </c>
      <c r="B7" s="3195"/>
      <c r="C7" s="3195"/>
      <c r="D7" s="3195"/>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97" t="s">
        <v>2747</v>
      </c>
      <c r="B12" s="3198"/>
      <c r="C12" s="3198"/>
      <c r="D12" s="3198"/>
    </row>
    <row r="13" spans="1:4" ht="15.75">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8"/>
      <c r="C13" s="3198"/>
      <c r="D13" s="3198"/>
    </row>
    <row r="14" spans="1:4" ht="30" customHeight="1">
      <c r="A14" s="31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8"/>
      <c r="C14" s="3198"/>
      <c r="D14" s="3198"/>
    </row>
    <row r="15" spans="1:4" ht="15.75" customHeight="1">
      <c r="A15" s="3197" t="str">
        <f>IF(项目基本情况!D4="抵押","4.本次评估估价师所知悉的法定优先受偿款情况说明如下：","——")</f>
        <v>4.本次评估估价师所知悉的法定优先受偿款情况说明如下：</v>
      </c>
      <c r="B15" s="3198"/>
      <c r="C15" s="3198"/>
      <c r="D15" s="3198"/>
    </row>
    <row r="16" spans="1:4" ht="75" customHeight="1">
      <c r="A16" s="3197" t="str">
        <f>IF(项目基本情况!D4="抵押",CONCATENATE(项目基本情况!J13,项目基本情况!J14,项目基本情况!J15),"——")</f>
        <v>根据估价对象《不动产权证书》原件、，截至价值时点，估价对象抵押权未见登记。</v>
      </c>
      <c r="B16" s="3197"/>
      <c r="C16" s="3197"/>
      <c r="D16" s="3197"/>
    </row>
    <row r="17" spans="1:4" ht="63.75" customHeight="1">
      <c r="A17" s="3199" t="s">
        <v>1285</v>
      </c>
      <c r="B17" s="3199"/>
      <c r="C17" s="3199"/>
      <c r="D17" s="3199"/>
    </row>
    <row r="18" spans="1:4" ht="15.75" customHeight="1">
      <c r="A18" s="3197" t="str">
        <f>IF(项目基本情况!D4="抵押",结果表!L106,"——")</f>
        <v>本次评估不存在估价师所知悉的法定优先受偿款。</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9" t="s">
        <v>2748</v>
      </c>
      <c r="B20" s="3199"/>
      <c r="C20" s="3199"/>
      <c r="D20" s="3199"/>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5" t="s">
        <v>1364</v>
      </c>
      <c r="B15" s="3200" t="s">
        <v>1365</v>
      </c>
      <c r="C15" s="3201"/>
    </row>
    <row r="16" spans="1:7" ht="14.25">
      <c r="A16" s="3206"/>
      <c r="B16" s="3200" t="s">
        <v>1366</v>
      </c>
      <c r="C16" s="3201"/>
    </row>
    <row r="17" spans="1:3" ht="14.25">
      <c r="A17" s="3206"/>
      <c r="B17" s="3200" t="s">
        <v>1367</v>
      </c>
      <c r="C17" s="3201"/>
    </row>
    <row r="18" spans="1:3" ht="14.25">
      <c r="A18" s="3207"/>
      <c r="B18" s="3202" t="s">
        <v>1368</v>
      </c>
      <c r="C18" s="3201"/>
    </row>
    <row r="19" spans="1:3" ht="14.25">
      <c r="A19" s="1412" t="s">
        <v>1369</v>
      </c>
      <c r="B19" s="1413"/>
      <c r="C19" s="1414"/>
    </row>
    <row r="20" spans="1:3" ht="14.25">
      <c r="A20" s="3203" t="s">
        <v>1370</v>
      </c>
      <c r="B20" s="3202" t="s">
        <v>1371</v>
      </c>
      <c r="C20" s="3201"/>
    </row>
    <row r="21" spans="1:3" ht="14.25">
      <c r="A21" s="3203"/>
      <c r="B21" s="3202" t="s">
        <v>1372</v>
      </c>
      <c r="C21" s="3201"/>
    </row>
    <row r="22" spans="1:3" ht="14.25">
      <c r="A22" s="3203"/>
      <c r="B22" s="3202" t="s">
        <v>1373</v>
      </c>
      <c r="C22" s="3201"/>
    </row>
    <row r="23" spans="1:3" ht="14.25">
      <c r="A23" s="3203"/>
      <c r="B23" s="3204" t="s">
        <v>1374</v>
      </c>
      <c r="C23" s="1415" t="s">
        <v>1375</v>
      </c>
    </row>
    <row r="24" spans="1:3" ht="14.25">
      <c r="A24" s="3203"/>
      <c r="B24" s="3204"/>
      <c r="C24" s="1415" t="s">
        <v>1376</v>
      </c>
    </row>
    <row r="25" spans="1:3" ht="14.25">
      <c r="A25" s="3203"/>
      <c r="B25" s="3204"/>
      <c r="C25" s="1415" t="s">
        <v>1377</v>
      </c>
    </row>
    <row r="26" spans="1:3" ht="14.25">
      <c r="A26" s="3203"/>
      <c r="B26" s="3204"/>
      <c r="C26" s="1415" t="s">
        <v>1378</v>
      </c>
    </row>
    <row r="27" spans="1:3" ht="14.25">
      <c r="A27" s="3203"/>
      <c r="B27" s="3204"/>
      <c r="C27" s="1415" t="s">
        <v>1379</v>
      </c>
    </row>
    <row r="28" spans="1:3" ht="14.25">
      <c r="A28" s="3203"/>
      <c r="B28" s="3204"/>
      <c r="C28" s="1415" t="s">
        <v>1380</v>
      </c>
    </row>
    <row r="29" spans="1:3" ht="14.25">
      <c r="A29" s="3203"/>
      <c r="B29" s="3204"/>
      <c r="C29" s="1415" t="s">
        <v>1381</v>
      </c>
    </row>
    <row r="30" spans="1:3" ht="14.25">
      <c r="A30" s="3203"/>
      <c r="B30" s="3204"/>
      <c r="C30" s="1415" t="s">
        <v>1382</v>
      </c>
    </row>
    <row r="31" spans="1:3" ht="14.25">
      <c r="A31" s="3203"/>
      <c r="B31" s="3204"/>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44204</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2722</v>
      </c>
      <c r="B12" s="1301">
        <f ca="1">IF(C12&lt;B2,"已过期",1120040230)</f>
        <v>1120040230</v>
      </c>
      <c r="C12" s="3073">
        <v>44864</v>
      </c>
      <c r="D12" s="3081" t="str">
        <f t="shared" ca="1" si="0"/>
        <v>苏海（注册号：1120040230）</v>
      </c>
      <c r="E12" s="3083" t="s">
        <v>2722</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2740</v>
      </c>
      <c r="B14" s="1301">
        <f ca="1">IF(C14&lt;B2,"已过期",1119980106)</f>
        <v>1119980106</v>
      </c>
      <c r="C14" s="3073">
        <v>44969</v>
      </c>
      <c r="D14" s="3081" t="str">
        <f t="shared" ca="1" si="0"/>
        <v>刘俊财（注册号：1119980106）</v>
      </c>
      <c r="E14" s="3083" t="s">
        <v>2839</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2843</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08" t="s">
        <v>762</v>
      </c>
      <c r="B17" s="3208"/>
      <c r="C17" s="3208"/>
      <c r="D17" s="3208"/>
      <c r="E17" s="3208"/>
      <c r="F17" s="3208"/>
      <c r="G17" s="3208"/>
      <c r="H17" s="3208"/>
    </row>
    <row r="18" spans="1:8" ht="24" customHeight="1">
      <c r="A18" s="3209" t="s">
        <v>763</v>
      </c>
      <c r="B18" s="3209"/>
      <c r="C18" s="3209"/>
      <c r="D18" s="3069"/>
      <c r="E18" s="3210" t="s">
        <v>764</v>
      </c>
      <c r="F18" s="3209"/>
      <c r="G18" s="3209"/>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2840</v>
      </c>
      <c r="B20" s="3076" t="s">
        <v>2841</v>
      </c>
      <c r="C20" s="3071">
        <v>44820</v>
      </c>
      <c r="D20" s="3084"/>
      <c r="E20" s="3086" t="s">
        <v>768</v>
      </c>
      <c r="F20" s="3076" t="s">
        <v>769</v>
      </c>
      <c r="G20" s="3077">
        <v>44377</v>
      </c>
    </row>
    <row r="21" spans="1:8" s="3059" customFormat="1" ht="24" customHeight="1">
      <c r="A21" s="3076"/>
      <c r="B21" s="3076"/>
      <c r="C21" s="3078"/>
      <c r="D21" s="3085"/>
      <c r="E21" s="3086" t="s">
        <v>770</v>
      </c>
      <c r="F21" s="3079" t="s">
        <v>2739</v>
      </c>
      <c r="G21" s="3080">
        <v>44012</v>
      </c>
    </row>
    <row r="22" spans="1:8" ht="24" customHeight="1">
      <c r="C22" s="3062"/>
      <c r="D22" s="3062"/>
      <c r="E22" s="3087"/>
      <c r="F22" s="3088"/>
      <c r="G22" s="3089"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1"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row>
    <row r="54" spans="1:4">
      <c r="A54" s="3211"/>
      <c r="B54" s="9" t="s">
        <v>1520</v>
      </c>
      <c r="C54" s="9" t="s">
        <v>1521</v>
      </c>
    </row>
    <row r="55" spans="1:4">
      <c r="A55" s="3211"/>
      <c r="B55" s="9" t="s">
        <v>1522</v>
      </c>
      <c r="C55" s="9" t="s">
        <v>1523</v>
      </c>
    </row>
    <row r="56" spans="1:4">
      <c r="A56" s="3211"/>
      <c r="B56" s="9" t="s">
        <v>1524</v>
      </c>
      <c r="C56" s="9" t="s">
        <v>1525</v>
      </c>
    </row>
    <row r="57" spans="1:4">
      <c r="A57" s="3211"/>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2021-01-08T03:05:05Z</dcterms:modified>
</cp:coreProperties>
</file>