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1" i="39" l="1"/>
  <c r="F71" i="39" s="1"/>
  <c r="G71" i="39" s="1"/>
  <c r="H71" i="39" s="1"/>
  <c r="I71" i="39" s="1"/>
  <c r="J71" i="39" s="1"/>
  <c r="K71" i="39" s="1"/>
  <c r="L71" i="39" s="1"/>
  <c r="M71" i="39" s="1"/>
  <c r="D71" i="39"/>
  <c r="G125" i="39" l="1"/>
  <c r="F125" i="39"/>
  <c r="E125" i="39"/>
  <c r="D125" i="39"/>
  <c r="C125" i="39"/>
  <c r="G123" i="39"/>
  <c r="F123" i="39"/>
  <c r="E123" i="39"/>
  <c r="D123" i="39"/>
  <c r="C123" i="39"/>
  <c r="C10" i="39"/>
  <c r="I5" i="39"/>
  <c r="G5" i="39"/>
  <c r="E5" i="39"/>
  <c r="C5" i="39"/>
  <c r="C11" i="4"/>
  <c r="D3" i="4" l="1"/>
  <c r="L39" i="15" l="1"/>
  <c r="K39" i="15"/>
  <c r="J39" i="15"/>
  <c r="L38" i="15"/>
  <c r="K38" i="15"/>
  <c r="M38" i="15" s="1"/>
  <c r="J38" i="15"/>
  <c r="L37" i="15"/>
  <c r="K37" i="15"/>
  <c r="J37" i="15"/>
  <c r="L36" i="15"/>
  <c r="L40" i="15" s="1"/>
  <c r="K36" i="15"/>
  <c r="J36" i="15"/>
  <c r="J40" i="15" s="1"/>
  <c r="L35" i="15"/>
  <c r="K35" i="15"/>
  <c r="K40" i="15" s="1"/>
  <c r="J35" i="15"/>
  <c r="B19" i="3" l="1"/>
  <c r="E13" i="4" l="1"/>
  <c r="I46" i="39"/>
  <c r="G46" i="39"/>
  <c r="E46" i="39"/>
  <c r="I38" i="39"/>
  <c r="G38" i="39"/>
  <c r="E38" i="39"/>
  <c r="I7" i="39"/>
  <c r="G7" i="39"/>
  <c r="E7" i="39"/>
  <c r="N6" i="1"/>
  <c r="A3" i="3"/>
  <c r="N71" i="39" l="1"/>
  <c r="U4" i="43" l="1"/>
  <c r="U3" i="43"/>
  <c r="U2" i="43"/>
  <c r="G19" i="6"/>
  <c r="D33" i="43" s="1"/>
  <c r="D89" i="33" l="1"/>
  <c r="E89" i="33" s="1"/>
  <c r="F89" i="33" s="1"/>
  <c r="G89" i="33" s="1"/>
  <c r="M13" i="4"/>
  <c r="L13" i="4"/>
  <c r="Y6" i="1"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C7" i="69" s="1"/>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c r="AD16" i="71"/>
  <c r="AD17" i="71"/>
  <c r="AG17" i="71"/>
  <c r="AH17" i="71"/>
  <c r="AE17" i="71"/>
  <c r="AF17" i="71"/>
  <c r="N17" i="71"/>
  <c r="Q17" i="71"/>
  <c r="P17" i="71"/>
  <c r="O17" i="71"/>
  <c r="C17" i="71"/>
  <c r="C16" i="71" s="1"/>
  <c r="Q18" i="71"/>
  <c r="F17" i="71"/>
  <c r="P18" i="71"/>
  <c r="E17" i="71"/>
  <c r="V17" i="71" s="1"/>
  <c r="E16" i="71"/>
  <c r="E15" i="71" s="1"/>
  <c r="O18" i="71"/>
  <c r="N18" i="71"/>
  <c r="B17" i="71"/>
  <c r="B16" i="71" s="1"/>
  <c r="B15" i="71"/>
  <c r="B14" i="71" s="1"/>
  <c r="B13" i="71" s="1"/>
  <c r="B12" i="71" s="1"/>
  <c r="B11" i="71" s="1"/>
  <c r="B10" i="71" s="1"/>
  <c r="A2" i="53"/>
  <c r="B19" i="72" s="1"/>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19" i="71"/>
  <c r="P19" i="71"/>
  <c r="O19" i="71"/>
  <c r="N19" i="71"/>
  <c r="A15" i="51"/>
  <c r="B12" i="72" s="1"/>
  <c r="C76" i="9"/>
  <c r="I107" i="40"/>
  <c r="K6" i="4"/>
  <c r="N56" i="9" s="1"/>
  <c r="B22" i="31"/>
  <c r="M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0" i="43" s="1"/>
  <c r="AH9" i="43"/>
  <c r="AH12" i="43"/>
  <c r="AG9" i="43"/>
  <c r="AG12" i="43" s="1"/>
  <c r="AF9" i="43"/>
  <c r="AF12" i="43"/>
  <c r="AE9" i="43"/>
  <c r="AE10" i="43" s="1"/>
  <c r="AD9" i="43"/>
  <c r="AD12" i="43"/>
  <c r="AC9" i="43"/>
  <c r="AC12" i="43" s="1"/>
  <c r="AB9" i="43"/>
  <c r="AB12" i="43"/>
  <c r="AA9" i="43"/>
  <c r="AA12" i="43" s="1"/>
  <c r="Z9" i="43"/>
  <c r="Z12" i="43"/>
  <c r="AA10" i="43"/>
  <c r="AG10" i="43"/>
  <c r="Z10" i="43"/>
  <c r="AB10" i="43"/>
  <c r="AD10" i="43"/>
  <c r="AF10" i="43"/>
  <c r="AH10" i="43"/>
  <c r="AJ10" i="43"/>
  <c r="K49" i="9"/>
  <c r="E107" i="9"/>
  <c r="A122" i="9"/>
  <c r="A8" i="52" s="1"/>
  <c r="B54" i="72" s="1"/>
  <c r="E111" i="9"/>
  <c r="A126" i="9"/>
  <c r="E109" i="9"/>
  <c r="A124" i="9"/>
  <c r="B44" i="72"/>
  <c r="B42" i="72"/>
  <c r="B69" i="72"/>
  <c r="B68" i="72"/>
  <c r="B63" i="72"/>
  <c r="B62" i="72"/>
  <c r="B16" i="72"/>
  <c r="B60" i="72"/>
  <c r="B10" i="72"/>
  <c r="C53" i="10"/>
  <c r="B51" i="10"/>
  <c r="A18" i="51"/>
  <c r="B13" i="72" s="1"/>
  <c r="B49" i="48"/>
  <c r="B5" i="72" s="1"/>
  <c r="I19" i="43"/>
  <c r="D82" i="71"/>
  <c r="F81" i="71"/>
  <c r="F80" i="71" s="1"/>
  <c r="F79" i="71" s="1"/>
  <c r="E81" i="71"/>
  <c r="E80" i="71" s="1"/>
  <c r="E79" i="71" s="1"/>
  <c r="C81" i="71"/>
  <c r="D81" i="71"/>
  <c r="B81" i="71"/>
  <c r="B80" i="71" s="1"/>
  <c r="B79" i="71"/>
  <c r="D78" i="71"/>
  <c r="F77" i="71"/>
  <c r="F76" i="71" s="1"/>
  <c r="E77" i="71"/>
  <c r="E76" i="71"/>
  <c r="E75" i="71" s="1"/>
  <c r="C77" i="71"/>
  <c r="B77" i="71"/>
  <c r="F75" i="71"/>
  <c r="B76" i="71"/>
  <c r="B75" i="71" s="1"/>
  <c r="D74" i="71"/>
  <c r="Q73" i="71"/>
  <c r="P73" i="71"/>
  <c r="O73" i="71"/>
  <c r="N73" i="71"/>
  <c r="F73" i="71"/>
  <c r="E73" i="71"/>
  <c r="U73" i="71" s="1"/>
  <c r="C73" i="71"/>
  <c r="T73" i="71"/>
  <c r="B73" i="71"/>
  <c r="Q72" i="71"/>
  <c r="P72" i="71"/>
  <c r="O72" i="71"/>
  <c r="N72" i="71"/>
  <c r="Q71" i="71"/>
  <c r="P71" i="71"/>
  <c r="O71" i="71"/>
  <c r="N71" i="71"/>
  <c r="Q70" i="71"/>
  <c r="P70" i="71"/>
  <c r="O70" i="71"/>
  <c r="N70" i="71"/>
  <c r="D70" i="71"/>
  <c r="Q69" i="71"/>
  <c r="P69" i="71"/>
  <c r="O69" i="71"/>
  <c r="N69" i="71"/>
  <c r="F69" i="71"/>
  <c r="E69" i="71"/>
  <c r="U69" i="71"/>
  <c r="C69" i="71"/>
  <c r="B69" i="71"/>
  <c r="S69" i="71"/>
  <c r="Q68" i="71"/>
  <c r="P68" i="71"/>
  <c r="O68" i="71"/>
  <c r="N68" i="71"/>
  <c r="B68" i="71"/>
  <c r="B67" i="71"/>
  <c r="Q67" i="71"/>
  <c r="P67" i="71"/>
  <c r="O67" i="71"/>
  <c r="N67" i="71"/>
  <c r="Q66" i="71"/>
  <c r="P66" i="71"/>
  <c r="O66" i="71"/>
  <c r="N66" i="71"/>
  <c r="D66" i="71"/>
  <c r="Q65" i="71"/>
  <c r="P65" i="71"/>
  <c r="O65" i="71"/>
  <c r="N65" i="71"/>
  <c r="F65" i="71"/>
  <c r="V65" i="71" s="1"/>
  <c r="E65" i="71"/>
  <c r="E64" i="71" s="1"/>
  <c r="E63" i="71" s="1"/>
  <c r="U65" i="71"/>
  <c r="C65" i="71"/>
  <c r="B65" i="71"/>
  <c r="S65" i="71"/>
  <c r="Q64" i="71"/>
  <c r="P64" i="71"/>
  <c r="O64" i="71"/>
  <c r="N64" i="71"/>
  <c r="F64" i="71"/>
  <c r="F63" i="71" s="1"/>
  <c r="B64" i="71"/>
  <c r="B63" i="71" s="1"/>
  <c r="Q63" i="71"/>
  <c r="P63" i="71"/>
  <c r="O63" i="71"/>
  <c r="N63" i="71"/>
  <c r="Q62" i="71"/>
  <c r="P62" i="71"/>
  <c r="O62" i="71"/>
  <c r="N62" i="71"/>
  <c r="D62" i="71"/>
  <c r="F61" i="71"/>
  <c r="V61" i="71"/>
  <c r="E61" i="71"/>
  <c r="P61" i="71"/>
  <c r="C61" i="71"/>
  <c r="B61" i="71"/>
  <c r="S61" i="71" s="1"/>
  <c r="F60" i="71"/>
  <c r="F59" i="71" s="1"/>
  <c r="Q59" i="71" s="1"/>
  <c r="B60" i="71"/>
  <c r="D58" i="71"/>
  <c r="Q57" i="71"/>
  <c r="P57" i="71"/>
  <c r="O57" i="71"/>
  <c r="N57" i="71"/>
  <c r="Q56" i="71"/>
  <c r="P56" i="71"/>
  <c r="O56" i="71"/>
  <c r="N56" i="71"/>
  <c r="Q55" i="71"/>
  <c r="P55" i="71"/>
  <c r="O55" i="71"/>
  <c r="C56" i="71" s="1"/>
  <c r="N55" i="71"/>
  <c r="Q54" i="71"/>
  <c r="F55" i="71"/>
  <c r="F56" i="71"/>
  <c r="F57" i="71" s="1"/>
  <c r="V57" i="71" s="1"/>
  <c r="P54" i="71"/>
  <c r="E55" i="71" s="1"/>
  <c r="O54" i="71"/>
  <c r="C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C52" i="71" s="1"/>
  <c r="C53" i="71" s="1"/>
  <c r="N50" i="71"/>
  <c r="B51" i="71"/>
  <c r="B52" i="71"/>
  <c r="B53" i="71" s="1"/>
  <c r="S53" i="71" s="1"/>
  <c r="D50" i="71"/>
  <c r="Q49" i="71"/>
  <c r="P49" i="71"/>
  <c r="O49" i="71"/>
  <c r="N49" i="71"/>
  <c r="Q48" i="71"/>
  <c r="P48" i="71"/>
  <c r="O48" i="71"/>
  <c r="N48" i="71"/>
  <c r="Q47" i="71"/>
  <c r="P47" i="71"/>
  <c r="E48" i="71" s="1"/>
  <c r="E49" i="71" s="1"/>
  <c r="U49" i="71" s="1"/>
  <c r="O47" i="71"/>
  <c r="N47" i="71"/>
  <c r="Q46" i="71"/>
  <c r="F47" i="71" s="1"/>
  <c r="F48" i="71" s="1"/>
  <c r="F49" i="71"/>
  <c r="V49" i="71" s="1"/>
  <c r="P46" i="71"/>
  <c r="E47" i="71"/>
  <c r="O46" i="71"/>
  <c r="C47" i="71" s="1"/>
  <c r="N46" i="71"/>
  <c r="B47" i="71" s="1"/>
  <c r="B48" i="71" s="1"/>
  <c r="B49" i="71" s="1"/>
  <c r="S49" i="71"/>
  <c r="D46" i="71"/>
  <c r="Q45" i="71"/>
  <c r="P45" i="71"/>
  <c r="O45" i="71"/>
  <c r="N45" i="71"/>
  <c r="Q44" i="71"/>
  <c r="P44" i="71"/>
  <c r="O44" i="71"/>
  <c r="N44" i="71"/>
  <c r="Q43" i="71"/>
  <c r="P43" i="71"/>
  <c r="O43" i="71"/>
  <c r="N43" i="71"/>
  <c r="Q42" i="71"/>
  <c r="F43" i="71" s="1"/>
  <c r="F44" i="71" s="1"/>
  <c r="F45" i="71" s="1"/>
  <c r="P42" i="71"/>
  <c r="E43" i="71" s="1"/>
  <c r="E44" i="71"/>
  <c r="E45" i="71" s="1"/>
  <c r="U45" i="71" s="1"/>
  <c r="O42" i="71"/>
  <c r="C43" i="7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N38" i="71"/>
  <c r="B39" i="71"/>
  <c r="D38" i="71"/>
  <c r="Q37" i="71"/>
  <c r="P37" i="71"/>
  <c r="O37" i="71"/>
  <c r="N37" i="71"/>
  <c r="Q36" i="71"/>
  <c r="P36" i="71"/>
  <c r="O36" i="71"/>
  <c r="N36" i="71"/>
  <c r="Q35" i="71"/>
  <c r="P35" i="71"/>
  <c r="O35" i="71"/>
  <c r="N35" i="71"/>
  <c r="F36" i="71"/>
  <c r="F37" i="71"/>
  <c r="V37" i="71"/>
  <c r="Q34" i="71"/>
  <c r="F35" i="71" s="1"/>
  <c r="P34" i="71"/>
  <c r="E35" i="71"/>
  <c r="E36" i="71"/>
  <c r="E37" i="71" s="1"/>
  <c r="U37" i="71" s="1"/>
  <c r="O34" i="71"/>
  <c r="C35" i="71" s="1"/>
  <c r="N34" i="71"/>
  <c r="B35" i="71"/>
  <c r="B36" i="71"/>
  <c r="B37" i="71" s="1"/>
  <c r="S37" i="71" s="1"/>
  <c r="D34" i="71"/>
  <c r="Q33" i="71"/>
  <c r="P33" i="71"/>
  <c r="O33" i="71"/>
  <c r="N33" i="71"/>
  <c r="Q32" i="71"/>
  <c r="AB32" i="71" s="1"/>
  <c r="P32" i="71"/>
  <c r="AA32" i="71"/>
  <c r="O32" i="71"/>
  <c r="Y32" i="71"/>
  <c r="Z32" i="71" s="1"/>
  <c r="N32" i="71"/>
  <c r="X32" i="71" s="1"/>
  <c r="Q31" i="71"/>
  <c r="P31" i="71"/>
  <c r="AA31" i="71" s="1"/>
  <c r="O31" i="71"/>
  <c r="Y31" i="71" s="1"/>
  <c r="Z31" i="71" s="1"/>
  <c r="N31" i="71"/>
  <c r="F31" i="71"/>
  <c r="F32" i="71" s="1"/>
  <c r="F33" i="71" s="1"/>
  <c r="V33" i="71" s="1"/>
  <c r="Q30" i="71"/>
  <c r="P30" i="71"/>
  <c r="E31" i="71" s="1"/>
  <c r="E32" i="71" s="1"/>
  <c r="E33" i="71" s="1"/>
  <c r="U33" i="71" s="1"/>
  <c r="O30" i="71"/>
  <c r="N30" i="71"/>
  <c r="D30" i="71"/>
  <c r="Q29" i="71"/>
  <c r="AB29" i="71" s="1"/>
  <c r="P29" i="71"/>
  <c r="O29" i="71"/>
  <c r="N29" i="71"/>
  <c r="X29" i="71" s="1"/>
  <c r="Q28" i="71"/>
  <c r="AB28" i="71" s="1"/>
  <c r="P28" i="71"/>
  <c r="O28" i="71"/>
  <c r="N28" i="71"/>
  <c r="Q27" i="71"/>
  <c r="AB27" i="71"/>
  <c r="P27" i="71"/>
  <c r="O27" i="71"/>
  <c r="N27" i="71"/>
  <c r="Q26" i="71"/>
  <c r="F27" i="71" s="1"/>
  <c r="P26" i="71"/>
  <c r="O26" i="71"/>
  <c r="N26" i="71"/>
  <c r="D26" i="71"/>
  <c r="Q25" i="71"/>
  <c r="P25" i="71"/>
  <c r="O25" i="71"/>
  <c r="N25" i="71"/>
  <c r="Q24" i="71"/>
  <c r="P24" i="71"/>
  <c r="O24" i="71"/>
  <c r="N24" i="71"/>
  <c r="Q23" i="71"/>
  <c r="P23" i="71"/>
  <c r="O23" i="71"/>
  <c r="N23" i="71"/>
  <c r="F23" i="71"/>
  <c r="F24" i="71" s="1"/>
  <c r="F25" i="71" s="1"/>
  <c r="V25" i="71" s="1"/>
  <c r="Q22" i="71"/>
  <c r="P22" i="71"/>
  <c r="O22" i="71"/>
  <c r="N22" i="71"/>
  <c r="D22" i="71"/>
  <c r="O21" i="71"/>
  <c r="N21" i="71"/>
  <c r="B23" i="71"/>
  <c r="AA22" i="71"/>
  <c r="AA30" i="71"/>
  <c r="N61" i="71"/>
  <c r="E27" i="71"/>
  <c r="AA26" i="71"/>
  <c r="C23" i="71"/>
  <c r="AA25" i="71"/>
  <c r="X28" i="71"/>
  <c r="AA28" i="71"/>
  <c r="C31" i="71"/>
  <c r="Y30" i="71"/>
  <c r="Z30" i="71" s="1"/>
  <c r="X31" i="71"/>
  <c r="V45" i="71"/>
  <c r="C21" i="71"/>
  <c r="B21" i="71"/>
  <c r="X19" i="71"/>
  <c r="C24" i="71"/>
  <c r="D24" i="71" s="1"/>
  <c r="D23" i="71"/>
  <c r="C32" i="71"/>
  <c r="D31" i="71"/>
  <c r="D43" i="71"/>
  <c r="P21" i="71"/>
  <c r="E56" i="71"/>
  <c r="E57" i="71" s="1"/>
  <c r="U57" i="71"/>
  <c r="Q58" i="71"/>
  <c r="U61" i="71"/>
  <c r="E60" i="71"/>
  <c r="Q21" i="71"/>
  <c r="F21" i="71" s="1"/>
  <c r="F20" i="71" s="1"/>
  <c r="F19" i="71" s="1"/>
  <c r="D51" i="71"/>
  <c r="D55" i="71"/>
  <c r="Q60" i="71"/>
  <c r="T61" i="71"/>
  <c r="O61" i="71"/>
  <c r="D61" i="71"/>
  <c r="C60" i="71"/>
  <c r="Q61" i="71"/>
  <c r="D65" i="71"/>
  <c r="E68" i="71"/>
  <c r="E67" i="71" s="1"/>
  <c r="C72" i="71"/>
  <c r="E72" i="71"/>
  <c r="E71" i="71" s="1"/>
  <c r="D73" i="71"/>
  <c r="C80" i="71"/>
  <c r="T21" i="71"/>
  <c r="AB21" i="71"/>
  <c r="E21" i="71"/>
  <c r="C59" i="71"/>
  <c r="D72" i="71"/>
  <c r="C71" i="71"/>
  <c r="D71" i="71" s="1"/>
  <c r="D52" i="71"/>
  <c r="P60" i="71"/>
  <c r="E59" i="71"/>
  <c r="C25" i="71"/>
  <c r="V21" i="71"/>
  <c r="P58" i="71"/>
  <c r="P59" i="71"/>
  <c r="T25" i="71"/>
  <c r="D25" i="71"/>
  <c r="T53" i="71"/>
  <c r="D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94" i="40" s="1"/>
  <c r="G94" i="40" s="1"/>
  <c r="F25" i="40"/>
  <c r="AA25" i="40" s="1"/>
  <c r="Z29" i="39"/>
  <c r="Q29" i="39"/>
  <c r="D103" i="39"/>
  <c r="E103" i="39" s="1"/>
  <c r="F29" i="39"/>
  <c r="S29" i="39" s="1"/>
  <c r="Q18" i="36"/>
  <c r="Z18" i="36" s="1"/>
  <c r="D66" i="36"/>
  <c r="E66" i="36"/>
  <c r="F66" i="36" s="1"/>
  <c r="G66" i="36" s="1"/>
  <c r="H18" i="36"/>
  <c r="AB18" i="36"/>
  <c r="F18" i="36"/>
  <c r="S18" i="36" s="1"/>
  <c r="C18" i="36"/>
  <c r="Q18" i="35"/>
  <c r="Z18" i="35" s="1"/>
  <c r="D68" i="35"/>
  <c r="E68" i="35" s="1"/>
  <c r="F68" i="35" s="1"/>
  <c r="F18" i="35"/>
  <c r="AA18" i="35"/>
  <c r="C18" i="35"/>
  <c r="Q21" i="37"/>
  <c r="Z21" i="37" s="1"/>
  <c r="D77" i="37"/>
  <c r="E77" i="37"/>
  <c r="C21" i="37"/>
  <c r="Z21" i="34"/>
  <c r="Q21" i="34"/>
  <c r="D84" i="34"/>
  <c r="E84" i="34" s="1"/>
  <c r="F84" i="34" s="1"/>
  <c r="F21" i="34"/>
  <c r="C21" i="34"/>
  <c r="Q21" i="33"/>
  <c r="Z21" i="33" s="1"/>
  <c r="D83" i="33"/>
  <c r="E83" i="33" s="1"/>
  <c r="F83" i="33" s="1"/>
  <c r="G83" i="33" s="1"/>
  <c r="C21" i="33"/>
  <c r="C21" i="21"/>
  <c r="Q21" i="21"/>
  <c r="Z21" i="21" s="1"/>
  <c r="H19" i="21"/>
  <c r="D83" i="21"/>
  <c r="F21" i="21"/>
  <c r="D81" i="21"/>
  <c r="G20" i="20"/>
  <c r="B86" i="43"/>
  <c r="C22" i="20"/>
  <c r="C25" i="40"/>
  <c r="S25" i="40"/>
  <c r="U18" i="36"/>
  <c r="H25" i="40"/>
  <c r="U25" i="40" s="1"/>
  <c r="J25" i="40"/>
  <c r="AC25" i="40" s="1"/>
  <c r="F103" i="39"/>
  <c r="G103" i="39" s="1"/>
  <c r="H29" i="39"/>
  <c r="AB29" i="39" s="1"/>
  <c r="J29" i="39"/>
  <c r="J18" i="36"/>
  <c r="H18" i="35"/>
  <c r="AB18" i="35" s="1"/>
  <c r="S18" i="35"/>
  <c r="G68" i="35"/>
  <c r="J18" i="35"/>
  <c r="F77" i="37"/>
  <c r="G77" i="37" s="1"/>
  <c r="H21" i="37"/>
  <c r="F21" i="37"/>
  <c r="AA21" i="37" s="1"/>
  <c r="H21" i="34"/>
  <c r="H21" i="33"/>
  <c r="U21" i="33" s="1"/>
  <c r="F21" i="33"/>
  <c r="E83" i="21"/>
  <c r="F83" i="21" s="1"/>
  <c r="G83" i="21" s="1"/>
  <c r="H1" i="69"/>
  <c r="AB25" i="40"/>
  <c r="U29" i="39"/>
  <c r="AC29" i="39"/>
  <c r="W29" i="39"/>
  <c r="AB21" i="37"/>
  <c r="U21" i="37"/>
  <c r="S21" i="37"/>
  <c r="AB21" i="33"/>
  <c r="AA21" i="33"/>
  <c r="S21" i="33"/>
  <c r="U18" i="35"/>
  <c r="AC18" i="35"/>
  <c r="W18" i="35"/>
  <c r="J21" i="37"/>
  <c r="G84" i="34"/>
  <c r="J21" i="34"/>
  <c r="J21" i="33"/>
  <c r="AC21" i="33" s="1"/>
  <c r="H21" i="21"/>
  <c r="U21" i="21" s="1"/>
  <c r="F38" i="69"/>
  <c r="E37" i="69"/>
  <c r="F36" i="69"/>
  <c r="F35" i="69"/>
  <c r="F21" i="69"/>
  <c r="F40" i="69" s="1"/>
  <c r="F20" i="69"/>
  <c r="F39" i="69" s="1"/>
  <c r="E10" i="69"/>
  <c r="E9" i="69"/>
  <c r="AC21" i="37"/>
  <c r="W21" i="37"/>
  <c r="W21" i="33"/>
  <c r="AB21" i="21"/>
  <c r="J21" i="21"/>
  <c r="AC21" i="21" s="1"/>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I23" i="66"/>
  <c r="D20" i="66"/>
  <c r="I19" i="66"/>
  <c r="I18" i="66"/>
  <c r="I17" i="66"/>
  <c r="E15" i="66"/>
  <c r="I14" i="66"/>
  <c r="I13" i="66"/>
  <c r="I12" i="66"/>
  <c r="I15" i="66"/>
  <c r="I9" i="66"/>
  <c r="I8" i="66"/>
  <c r="I7" i="66"/>
  <c r="I6" i="66"/>
  <c r="I5" i="66"/>
  <c r="I4" i="66"/>
  <c r="I3" i="66"/>
  <c r="I10" i="66"/>
  <c r="I21" i="66" s="1"/>
  <c r="F113" i="43"/>
  <c r="N99" i="43"/>
  <c r="N108" i="43"/>
  <c r="D99" i="43"/>
  <c r="D108" i="43" s="1"/>
  <c r="E99" i="43"/>
  <c r="E108" i="43"/>
  <c r="F99" i="43"/>
  <c r="F108" i="43" s="1"/>
  <c r="G99" i="43"/>
  <c r="G108" i="43"/>
  <c r="H99" i="43"/>
  <c r="H108" i="43" s="1"/>
  <c r="I99" i="43"/>
  <c r="I108" i="43"/>
  <c r="J99" i="43"/>
  <c r="J108" i="43" s="1"/>
  <c r="K99" i="43"/>
  <c r="K108" i="43"/>
  <c r="L99" i="43"/>
  <c r="L108" i="43" s="1"/>
  <c r="M99" i="43"/>
  <c r="M108" i="43"/>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s="1"/>
  <c r="M87" i="43"/>
  <c r="N87" i="43"/>
  <c r="K87" i="43"/>
  <c r="J87" i="43" s="1"/>
  <c r="M86" i="43"/>
  <c r="N86" i="43" s="1"/>
  <c r="K86" i="43"/>
  <c r="J86" i="43" s="1"/>
  <c r="M85" i="43"/>
  <c r="N85" i="43" s="1"/>
  <c r="K85" i="43"/>
  <c r="J85" i="43" s="1"/>
  <c r="M84" i="43"/>
  <c r="N84" i="43"/>
  <c r="K84" i="43"/>
  <c r="J84" i="43" s="1"/>
  <c r="M83" i="43"/>
  <c r="N83" i="43"/>
  <c r="K83" i="43"/>
  <c r="J83" i="43" s="1"/>
  <c r="M82" i="43"/>
  <c r="N82" i="43" s="1"/>
  <c r="K82" i="43"/>
  <c r="J82" i="43" s="1"/>
  <c r="M81" i="43"/>
  <c r="N81" i="43"/>
  <c r="K81" i="43"/>
  <c r="J81" i="43" s="1"/>
  <c r="M78" i="43"/>
  <c r="K78" i="43"/>
  <c r="J78" i="43"/>
  <c r="M77" i="43"/>
  <c r="N77" i="43"/>
  <c r="K77" i="43"/>
  <c r="J77" i="43" s="1"/>
  <c r="D77" i="43"/>
  <c r="M76" i="43"/>
  <c r="N76" i="43" s="1"/>
  <c r="K76" i="43"/>
  <c r="M75" i="43"/>
  <c r="N75" i="43"/>
  <c r="K75" i="43"/>
  <c r="J75" i="43" s="1"/>
  <c r="D75" i="43"/>
  <c r="M74" i="43"/>
  <c r="N74" i="43" s="1"/>
  <c r="K74" i="43"/>
  <c r="J74" i="43" s="1"/>
  <c r="D74" i="43"/>
  <c r="M73" i="43"/>
  <c r="D73" i="43" s="1"/>
  <c r="N73" i="43"/>
  <c r="K73" i="43"/>
  <c r="J73" i="43" s="1"/>
  <c r="M72" i="43"/>
  <c r="N72" i="43" s="1"/>
  <c r="K72" i="43"/>
  <c r="M71" i="43"/>
  <c r="K71" i="43"/>
  <c r="J71" i="43" s="1"/>
  <c r="M70" i="43"/>
  <c r="N70" i="43" s="1"/>
  <c r="K70" i="43"/>
  <c r="J70" i="43" s="1"/>
  <c r="D70" i="43"/>
  <c r="M67" i="43"/>
  <c r="N67" i="43" s="1"/>
  <c r="K67" i="43"/>
  <c r="J67" i="43" s="1"/>
  <c r="M66" i="43"/>
  <c r="N66" i="43"/>
  <c r="K66" i="43"/>
  <c r="J66" i="43" s="1"/>
  <c r="M65" i="43"/>
  <c r="N65" i="43"/>
  <c r="K65" i="43"/>
  <c r="J65" i="43" s="1"/>
  <c r="M64" i="43"/>
  <c r="N64" i="43" s="1"/>
  <c r="K64" i="43"/>
  <c r="J64" i="43" s="1"/>
  <c r="M63" i="43"/>
  <c r="N63" i="43" s="1"/>
  <c r="K63" i="43"/>
  <c r="J63" i="43" s="1"/>
  <c r="M62" i="43"/>
  <c r="N62" i="43"/>
  <c r="K62" i="43"/>
  <c r="J62" i="43" s="1"/>
  <c r="M61" i="43"/>
  <c r="N61" i="43"/>
  <c r="K61" i="43"/>
  <c r="J61" i="43" s="1"/>
  <c r="M60" i="43"/>
  <c r="N60" i="43" s="1"/>
  <c r="K60" i="43"/>
  <c r="J60" i="43" s="1"/>
  <c r="M59" i="43"/>
  <c r="N59" i="43" s="1"/>
  <c r="K59" i="43"/>
  <c r="J59" i="43" s="1"/>
  <c r="M56" i="43"/>
  <c r="N56" i="43" s="1"/>
  <c r="K56" i="43"/>
  <c r="J56" i="43" s="1"/>
  <c r="D56" i="43"/>
  <c r="M55" i="43"/>
  <c r="N55" i="43" s="1"/>
  <c r="K55" i="43"/>
  <c r="J55" i="43" s="1"/>
  <c r="D55" i="43" s="1"/>
  <c r="M54" i="43"/>
  <c r="N54" i="43" s="1"/>
  <c r="K54" i="43"/>
  <c r="J54" i="43" s="1"/>
  <c r="M53" i="43"/>
  <c r="N53" i="43" s="1"/>
  <c r="K53" i="43"/>
  <c r="J53" i="43" s="1"/>
  <c r="M52" i="43"/>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s="1"/>
  <c r="H8" i="31" s="1"/>
  <c r="I8" i="31" s="1"/>
  <c r="J8" i="31" s="1"/>
  <c r="K8" i="31"/>
  <c r="L8" i="31" s="1"/>
  <c r="M8" i="31" s="1"/>
  <c r="N8" i="31" s="1"/>
  <c r="O8" i="31" s="1"/>
  <c r="P8" i="31" s="1"/>
  <c r="Q8" i="31" s="1"/>
  <c r="R8" i="31" s="1"/>
  <c r="S8" i="31" s="1"/>
  <c r="D6" i="31"/>
  <c r="E6" i="3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K13" i="1" s="1"/>
  <c r="M13" i="1" s="1"/>
  <c r="O13" i="1" s="1"/>
  <c r="P13" i="1" s="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Z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BB25" i="3"/>
  <c r="AZ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AZ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c r="R268" i="31"/>
  <c r="R269" i="31"/>
  <c r="S269" i="31" s="1"/>
  <c r="R270" i="31"/>
  <c r="R271" i="31"/>
  <c r="S271" i="31"/>
  <c r="R272" i="31"/>
  <c r="R273" i="31"/>
  <c r="S273" i="31" s="1"/>
  <c r="R274" i="31"/>
  <c r="R275" i="31"/>
  <c r="S275" i="31" s="1"/>
  <c r="R276" i="31"/>
  <c r="R277" i="31"/>
  <c r="S277" i="3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c r="R294" i="31"/>
  <c r="R295" i="31"/>
  <c r="S295" i="31"/>
  <c r="R296" i="31"/>
  <c r="R297" i="31"/>
  <c r="S297" i="31" s="1"/>
  <c r="R298" i="31"/>
  <c r="R299" i="31"/>
  <c r="S299" i="31"/>
  <c r="R300" i="31"/>
  <c r="R301" i="31"/>
  <c r="S301" i="31" s="1"/>
  <c r="R302" i="31"/>
  <c r="R303" i="31"/>
  <c r="S303" i="31"/>
  <c r="R304" i="31"/>
  <c r="R305" i="31"/>
  <c r="S305" i="31" s="1"/>
  <c r="R306" i="31"/>
  <c r="R307" i="31"/>
  <c r="S307" i="31" s="1"/>
  <c r="R308" i="31"/>
  <c r="R309" i="31"/>
  <c r="S309" i="3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c r="R326" i="31"/>
  <c r="R327" i="31"/>
  <c r="S327" i="31"/>
  <c r="R328" i="31"/>
  <c r="R329" i="31"/>
  <c r="S329" i="31" s="1"/>
  <c r="R330" i="31"/>
  <c r="R331" i="31"/>
  <c r="S331" i="31"/>
  <c r="R332" i="31"/>
  <c r="R333" i="31"/>
  <c r="S333" i="31" s="1"/>
  <c r="R334" i="31"/>
  <c r="R335" i="31"/>
  <c r="S335" i="31"/>
  <c r="R336" i="31"/>
  <c r="R337" i="31"/>
  <c r="S337" i="31" s="1"/>
  <c r="R338" i="31"/>
  <c r="R339" i="31"/>
  <c r="S339" i="31" s="1"/>
  <c r="R340" i="31"/>
  <c r="R341" i="31"/>
  <c r="S341" i="3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c r="R358" i="31"/>
  <c r="R359" i="31"/>
  <c r="S359" i="31"/>
  <c r="R360" i="31"/>
  <c r="R361" i="31"/>
  <c r="S361" i="31" s="1"/>
  <c r="R362" i="31"/>
  <c r="R363" i="31"/>
  <c r="S363" i="31"/>
  <c r="R364" i="31"/>
  <c r="R365" i="31"/>
  <c r="S365" i="31" s="1"/>
  <c r="R366" i="31"/>
  <c r="R367" i="31"/>
  <c r="S367" i="31"/>
  <c r="R368" i="31"/>
  <c r="R369" i="31"/>
  <c r="S369" i="31" s="1"/>
  <c r="R370" i="31"/>
  <c r="R371" i="31"/>
  <c r="S371" i="31" s="1"/>
  <c r="R372" i="31"/>
  <c r="R373" i="31"/>
  <c r="S373" i="31"/>
  <c r="R374" i="31"/>
  <c r="R375" i="31"/>
  <c r="S375" i="31"/>
  <c r="R376" i="31"/>
  <c r="R377" i="31"/>
  <c r="S377" i="31" s="1"/>
  <c r="R378" i="31"/>
  <c r="R379" i="31"/>
  <c r="S379" i="31"/>
  <c r="R380" i="31"/>
  <c r="R381" i="31"/>
  <c r="S381" i="31" s="1"/>
  <c r="R382" i="31"/>
  <c r="R383" i="31"/>
  <c r="S383" i="31"/>
  <c r="R384" i="31"/>
  <c r="R385" i="31"/>
  <c r="S385" i="31" s="1"/>
  <c r="R386" i="31"/>
  <c r="R387" i="31"/>
  <c r="S387" i="31" s="1"/>
  <c r="R388" i="31"/>
  <c r="R389" i="31"/>
  <c r="S389" i="31"/>
  <c r="R390" i="31"/>
  <c r="R391" i="31"/>
  <c r="S391" i="31"/>
  <c r="R392" i="31"/>
  <c r="R393" i="31"/>
  <c r="S393" i="31" s="1"/>
  <c r="R394" i="31"/>
  <c r="R395" i="31"/>
  <c r="S395" i="31"/>
  <c r="R396" i="31"/>
  <c r="R397" i="31"/>
  <c r="S397" i="31" s="1"/>
  <c r="R398" i="31"/>
  <c r="R399" i="31"/>
  <c r="S399" i="31"/>
  <c r="R400" i="31"/>
  <c r="R401" i="31"/>
  <c r="S401" i="31" s="1"/>
  <c r="R402" i="31"/>
  <c r="R403" i="31"/>
  <c r="S403" i="31" s="1"/>
  <c r="R404" i="31"/>
  <c r="R405" i="31"/>
  <c r="S405" i="3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J20" i="43"/>
  <c r="C18" i="43"/>
  <c r="F15" i="43"/>
  <c r="E15" i="43"/>
  <c r="D15" i="43"/>
  <c r="C15" i="43"/>
  <c r="C10" i="43"/>
  <c r="C11" i="43"/>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c r="G44" i="35"/>
  <c r="H44" i="35" s="1"/>
  <c r="E44" i="35"/>
  <c r="F44" i="35"/>
  <c r="I54" i="33"/>
  <c r="J54" i="33" s="1"/>
  <c r="G54" i="33"/>
  <c r="E54" i="33"/>
  <c r="H493" i="3"/>
  <c r="AC493" i="3"/>
  <c r="BB493" i="3"/>
  <c r="BC493" i="3"/>
  <c r="BD493" i="3"/>
  <c r="BD5" i="3" s="1"/>
  <c r="BE493" i="3"/>
  <c r="BF493" i="3"/>
  <c r="BG493" i="3"/>
  <c r="BH493" i="3"/>
  <c r="BI493" i="3"/>
  <c r="BJ493" i="3"/>
  <c r="BK493" i="3"/>
  <c r="BM493" i="3"/>
  <c r="BM5" i="3" s="1"/>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AZ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G5" i="3" s="1"/>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AZ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AZ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A526" i="3" s="1"/>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L527" i="3" s="1"/>
  <c r="AZ527" i="3" s="1"/>
  <c r="BR527" i="3"/>
  <c r="BS527" i="3"/>
  <c r="BT527" i="3"/>
  <c r="H528" i="3"/>
  <c r="G528" i="3" s="1"/>
  <c r="AC528" i="3"/>
  <c r="BB528" i="3"/>
  <c r="BC528" i="3"/>
  <c r="BA528" i="3" s="1"/>
  <c r="BD528" i="3"/>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L529" i="3" s="1"/>
  <c r="BN529" i="3"/>
  <c r="BO529" i="3"/>
  <c r="BP529" i="3"/>
  <c r="BR529" i="3"/>
  <c r="BS529" i="3"/>
  <c r="BT529" i="3"/>
  <c r="H530" i="3"/>
  <c r="AC530" i="3"/>
  <c r="BB530" i="3"/>
  <c r="BC530" i="3"/>
  <c r="BD530" i="3"/>
  <c r="BA530" i="3" s="1"/>
  <c r="AZ530" i="3" s="1"/>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L535" i="3" s="1"/>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G538" i="3" s="1"/>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L541" i="3" s="1"/>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BB543" i="3"/>
  <c r="BA543" i="3" s="1"/>
  <c r="BC543" i="3"/>
  <c r="BD543" i="3"/>
  <c r="BE543" i="3"/>
  <c r="BF543" i="3"/>
  <c r="BG543" i="3"/>
  <c r="BH543" i="3"/>
  <c r="BI543" i="3"/>
  <c r="BJ543" i="3"/>
  <c r="BK543" i="3"/>
  <c r="BM543" i="3"/>
  <c r="BN543" i="3"/>
  <c r="BO543" i="3"/>
  <c r="BL543" i="3" s="1"/>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AZ548" i="3" s="1"/>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A550" i="3" s="1"/>
  <c r="AZ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L553" i="3" s="1"/>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A555" i="3" s="1"/>
  <c r="AZ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G567" i="3" s="1"/>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AZ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c r="H112" i="34" s="1"/>
  <c r="I112" i="34" s="1"/>
  <c r="J112" i="34" s="1"/>
  <c r="K112" i="34" s="1"/>
  <c r="L112" i="34"/>
  <c r="M112" i="34" s="1"/>
  <c r="F40" i="33"/>
  <c r="J41" i="33"/>
  <c r="D113" i="33"/>
  <c r="E113" i="33" s="1"/>
  <c r="F37" i="33"/>
  <c r="D111" i="33"/>
  <c r="E111" i="33"/>
  <c r="F111" i="33" s="1"/>
  <c r="S515" i="31"/>
  <c r="S516" i="31"/>
  <c r="S517" i="31"/>
  <c r="S518" i="31"/>
  <c r="S519" i="31"/>
  <c r="S520" i="31"/>
  <c r="S521" i="31"/>
  <c r="S522" i="31"/>
  <c r="S523" i="31"/>
  <c r="S524" i="31"/>
  <c r="F41" i="21"/>
  <c r="S41" i="21" s="1"/>
  <c r="J41" i="21"/>
  <c r="AC41" i="21" s="1"/>
  <c r="H41" i="21"/>
  <c r="U41" i="21"/>
  <c r="D81" i="39"/>
  <c r="E81" i="39" s="1"/>
  <c r="D76" i="40"/>
  <c r="E76" i="40"/>
  <c r="F76" i="40"/>
  <c r="G76" i="40" s="1"/>
  <c r="H76" i="40" s="1"/>
  <c r="I76" i="40" s="1"/>
  <c r="J76" i="40" s="1"/>
  <c r="K76" i="40" s="1"/>
  <c r="L76" i="40" s="1"/>
  <c r="M76" i="40" s="1"/>
  <c r="B120" i="40"/>
  <c r="B118" i="40"/>
  <c r="J39" i="40" s="1"/>
  <c r="B116" i="40"/>
  <c r="H38" i="40" s="1"/>
  <c r="AB38" i="40" s="1"/>
  <c r="F38" i="40"/>
  <c r="S38" i="40" s="1"/>
  <c r="D115" i="40"/>
  <c r="E115" i="40"/>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B101" i="40"/>
  <c r="J31" i="40" s="1"/>
  <c r="AC31" i="40" s="1"/>
  <c r="D100" i="40"/>
  <c r="E100" i="40"/>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s="1"/>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c r="F40" i="40"/>
  <c r="Q39" i="40"/>
  <c r="Z39" i="40"/>
  <c r="H39" i="40"/>
  <c r="Q38" i="40"/>
  <c r="Z38" i="40"/>
  <c r="J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AA34" i="39" s="1"/>
  <c r="D107" i="39"/>
  <c r="E107" i="39" s="1"/>
  <c r="F107" i="39" s="1"/>
  <c r="D105" i="39"/>
  <c r="E105" i="39"/>
  <c r="F105" i="39" s="1"/>
  <c r="G105" i="39" s="1"/>
  <c r="H105" i="39" s="1"/>
  <c r="I105" i="39" s="1"/>
  <c r="J105" i="39" s="1"/>
  <c r="K105" i="39" s="1"/>
  <c r="L105" i="39" s="1"/>
  <c r="M105" i="39" s="1"/>
  <c r="D101" i="39"/>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B131" i="39"/>
  <c r="B129" i="39"/>
  <c r="H44" i="39"/>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c r="L122" i="39" s="1"/>
  <c r="M122" i="39" s="1"/>
  <c r="B104" i="39"/>
  <c r="F31" i="39" s="1"/>
  <c r="D97" i="39"/>
  <c r="J23" i="39"/>
  <c r="AC23" i="39" s="1"/>
  <c r="D95" i="39"/>
  <c r="E95" i="39" s="1"/>
  <c r="D93" i="39"/>
  <c r="E93" i="39" s="1"/>
  <c r="F93" i="39" s="1"/>
  <c r="G93" i="39" s="1"/>
  <c r="D91" i="39"/>
  <c r="E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S40" i="39" s="1"/>
  <c r="Q35" i="39"/>
  <c r="Z35" i="39"/>
  <c r="Q34" i="39"/>
  <c r="Z34" i="39" s="1"/>
  <c r="Q32" i="39"/>
  <c r="Z32" i="39" s="1"/>
  <c r="Q31" i="39"/>
  <c r="Z31" i="39" s="1"/>
  <c r="Q27" i="39"/>
  <c r="Z27" i="39"/>
  <c r="Q25" i="39"/>
  <c r="Z25" i="39" s="1"/>
  <c r="Q23" i="39"/>
  <c r="Z23" i="39"/>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F8" i="39"/>
  <c r="C20" i="36"/>
  <c r="C20" i="35"/>
  <c r="C16" i="36"/>
  <c r="C16" i="35"/>
  <c r="C14" i="36"/>
  <c r="C14" i="35"/>
  <c r="B80" i="37"/>
  <c r="H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c r="G81" i="36"/>
  <c r="H81" i="36" s="1"/>
  <c r="I81" i="36" s="1"/>
  <c r="J81" i="36" s="1"/>
  <c r="K81" i="36" s="1"/>
  <c r="L81" i="36" s="1"/>
  <c r="M81" i="36" s="1"/>
  <c r="F79" i="36"/>
  <c r="E79" i="36"/>
  <c r="D79" i="36"/>
  <c r="C79" i="36"/>
  <c r="B93" i="36"/>
  <c r="F33" i="36" s="1"/>
  <c r="AA33" i="36" s="1"/>
  <c r="B91" i="36"/>
  <c r="F32" i="36"/>
  <c r="B95" i="36"/>
  <c r="H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F13" i="36" s="1"/>
  <c r="B57" i="36"/>
  <c r="B55" i="36"/>
  <c r="F54" i="36"/>
  <c r="G54" i="36" s="1"/>
  <c r="H54" i="36" s="1"/>
  <c r="I54" i="36" s="1"/>
  <c r="C51" i="36"/>
  <c r="H9" i="36" s="1"/>
  <c r="AB9" i="36" s="1"/>
  <c r="P37" i="36"/>
  <c r="P36" i="36"/>
  <c r="V35" i="36"/>
  <c r="T35" i="36"/>
  <c r="R35" i="36"/>
  <c r="P35" i="36"/>
  <c r="Q34" i="36"/>
  <c r="Z34" i="36"/>
  <c r="Q33" i="36"/>
  <c r="Z33" i="36" s="1"/>
  <c r="Q32" i="36"/>
  <c r="Z32" i="36"/>
  <c r="Q31" i="36"/>
  <c r="Z31" i="36" s="1"/>
  <c r="Q30" i="36"/>
  <c r="Z30" i="36"/>
  <c r="AC30" i="36"/>
  <c r="Q29" i="36"/>
  <c r="Z29" i="36"/>
  <c r="Q28" i="36"/>
  <c r="Z28" i="36" s="1"/>
  <c r="J28" i="36"/>
  <c r="AC28" i="36"/>
  <c r="Q27" i="36"/>
  <c r="Z27" i="36" s="1"/>
  <c r="Q26" i="36"/>
  <c r="Z26" i="36"/>
  <c r="H26" i="36"/>
  <c r="Q25" i="36"/>
  <c r="Z25" i="36"/>
  <c r="Q24" i="36"/>
  <c r="Z24" i="36" s="1"/>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Q9" i="36"/>
  <c r="Z9" i="36"/>
  <c r="J9" i="36"/>
  <c r="AC9" i="36" s="1"/>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J11" i="35" s="1"/>
  <c r="B61" i="35"/>
  <c r="B59" i="35"/>
  <c r="B131" i="34"/>
  <c r="B129" i="34"/>
  <c r="B127" i="34"/>
  <c r="B99" i="34"/>
  <c r="B97" i="34"/>
  <c r="B95" i="34"/>
  <c r="B93" i="34"/>
  <c r="H29" i="34" s="1"/>
  <c r="B75" i="34"/>
  <c r="B73" i="34"/>
  <c r="B71" i="34"/>
  <c r="B130" i="33"/>
  <c r="F46" i="33" s="1"/>
  <c r="B128" i="33"/>
  <c r="B126" i="33"/>
  <c r="B98" i="33"/>
  <c r="H31" i="33" s="1"/>
  <c r="B96" i="33"/>
  <c r="B94" i="33"/>
  <c r="B74" i="33"/>
  <c r="B72" i="33"/>
  <c r="B70" i="33"/>
  <c r="D96" i="35"/>
  <c r="E96" i="35"/>
  <c r="F96" i="35"/>
  <c r="G96" i="35" s="1"/>
  <c r="D94" i="35"/>
  <c r="E94" i="35"/>
  <c r="F94" i="35" s="1"/>
  <c r="G94" i="35" s="1"/>
  <c r="H94" i="35" s="1"/>
  <c r="I94" i="35"/>
  <c r="J94" i="35" s="1"/>
  <c r="K94" i="35" s="1"/>
  <c r="L94" i="35" s="1"/>
  <c r="M94" i="35" s="1"/>
  <c r="D84" i="35"/>
  <c r="E84" i="35" s="1"/>
  <c r="F84" i="35" s="1"/>
  <c r="G84" i="35"/>
  <c r="H84" i="35"/>
  <c r="I84" i="35" s="1"/>
  <c r="J84" i="35" s="1"/>
  <c r="K84" i="35" s="1"/>
  <c r="L84" i="35" s="1"/>
  <c r="M84" i="35" s="1"/>
  <c r="D80" i="35"/>
  <c r="E80" i="35"/>
  <c r="F80" i="35" s="1"/>
  <c r="G80" i="35" s="1"/>
  <c r="H80" i="35" s="1"/>
  <c r="I80" i="35" s="1"/>
  <c r="J80" i="35"/>
  <c r="K80" i="35" s="1"/>
  <c r="L80" i="35" s="1"/>
  <c r="M80" i="35"/>
  <c r="D72" i="35"/>
  <c r="E72" i="35" s="1"/>
  <c r="F72" i="35" s="1"/>
  <c r="G72" i="35" s="1"/>
  <c r="D70" i="35"/>
  <c r="E70" i="35" s="1"/>
  <c r="F70" i="35" s="1"/>
  <c r="G70" i="35"/>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J36" i="35"/>
  <c r="Q35" i="35"/>
  <c r="Z35" i="35"/>
  <c r="Q34" i="35"/>
  <c r="Z34" i="35" s="1"/>
  <c r="H34" i="35"/>
  <c r="AB34" i="35" s="1"/>
  <c r="Q33" i="35"/>
  <c r="Z33" i="35" s="1"/>
  <c r="Q32" i="35"/>
  <c r="Z32" i="35"/>
  <c r="H32" i="35"/>
  <c r="AB32" i="35" s="1"/>
  <c r="F32" i="35"/>
  <c r="AA32" i="35"/>
  <c r="Q31" i="35"/>
  <c r="Z31" i="35" s="1"/>
  <c r="AB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H12" i="35"/>
  <c r="U12" i="35" s="1"/>
  <c r="F12" i="35"/>
  <c r="S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D118" i="34"/>
  <c r="E118" i="34"/>
  <c r="F118" i="34"/>
  <c r="G118" i="34" s="1"/>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s="1"/>
  <c r="Q14" i="34"/>
  <c r="Z14" i="34"/>
  <c r="Q13" i="34"/>
  <c r="Z13" i="34" s="1"/>
  <c r="Q12" i="34"/>
  <c r="Z12" i="34"/>
  <c r="J12" i="34"/>
  <c r="W12" i="34" s="1"/>
  <c r="Q11" i="34"/>
  <c r="Z11" i="34" s="1"/>
  <c r="Q10" i="34"/>
  <c r="Z10" i="34"/>
  <c r="F10" i="34"/>
  <c r="AA10" i="34" s="1"/>
  <c r="Q9" i="34"/>
  <c r="Z9" i="34"/>
  <c r="J9" i="34"/>
  <c r="AC9" i="34" s="1"/>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H27" i="33" s="1"/>
  <c r="U27" i="33" s="1"/>
  <c r="D87" i="33"/>
  <c r="E87" i="33"/>
  <c r="D85" i="33"/>
  <c r="E85" i="33"/>
  <c r="D81" i="33"/>
  <c r="E81" i="33"/>
  <c r="D79" i="33"/>
  <c r="E79" i="33"/>
  <c r="F79" i="33" s="1"/>
  <c r="D77" i="33"/>
  <c r="E77" i="33"/>
  <c r="F77" i="33"/>
  <c r="G77" i="33"/>
  <c r="D69" i="33"/>
  <c r="E69" i="33"/>
  <c r="F69" i="33"/>
  <c r="G69" i="33"/>
  <c r="H69" i="33" s="1"/>
  <c r="I69" i="33" s="1"/>
  <c r="J69" i="33"/>
  <c r="K69" i="33" s="1"/>
  <c r="L69" i="33" s="1"/>
  <c r="M69" i="33" s="1"/>
  <c r="M67" i="33"/>
  <c r="L67" i="33"/>
  <c r="K67" i="33"/>
  <c r="J67" i="33"/>
  <c r="I67" i="33"/>
  <c r="H67" i="33"/>
  <c r="G67" i="33"/>
  <c r="F67" i="33"/>
  <c r="E67" i="33"/>
  <c r="D67" i="33"/>
  <c r="C67" i="33"/>
  <c r="G66" i="33"/>
  <c r="H66" i="33"/>
  <c r="C63" i="33"/>
  <c r="F9" i="33" s="1"/>
  <c r="H54" i="33"/>
  <c r="F54" i="33"/>
  <c r="P49" i="33"/>
  <c r="P48" i="33"/>
  <c r="V47" i="33"/>
  <c r="T47" i="33"/>
  <c r="R47" i="33"/>
  <c r="P47" i="33"/>
  <c r="Q46" i="33"/>
  <c r="Z46" i="33"/>
  <c r="Q45" i="33"/>
  <c r="Z45" i="33"/>
  <c r="Q44" i="33"/>
  <c r="Z44" i="33"/>
  <c r="Q43" i="33"/>
  <c r="Z43" i="33"/>
  <c r="Q42" i="33"/>
  <c r="Z42" i="33"/>
  <c r="J42" i="33"/>
  <c r="AC42" i="33"/>
  <c r="Q41" i="33"/>
  <c r="Z41" i="33" s="1"/>
  <c r="Q40" i="33"/>
  <c r="Z40" i="33"/>
  <c r="J40" i="33"/>
  <c r="AC40" i="33" s="1"/>
  <c r="H40" i="33"/>
  <c r="AB40" i="33"/>
  <c r="AA40" i="33"/>
  <c r="Q39" i="33"/>
  <c r="Z39" i="33" s="1"/>
  <c r="J39" i="33"/>
  <c r="W39" i="33" s="1"/>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G18" i="20"/>
  <c r="B88" i="43"/>
  <c r="G19" i="20"/>
  <c r="B85" i="43" s="1"/>
  <c r="G16" i="20"/>
  <c r="B82" i="43"/>
  <c r="G15" i="20"/>
  <c r="B81" i="43" s="1"/>
  <c r="C24" i="20"/>
  <c r="B73" i="43"/>
  <c r="C21" i="20"/>
  <c r="C20" i="20"/>
  <c r="B77" i="43"/>
  <c r="C18" i="20"/>
  <c r="C17" i="20"/>
  <c r="B59" i="43" s="1"/>
  <c r="C16" i="20"/>
  <c r="C17" i="39" s="1"/>
  <c r="C15" i="20"/>
  <c r="B70" i="43"/>
  <c r="E54" i="21"/>
  <c r="F54" i="21" s="1"/>
  <c r="I54" i="21"/>
  <c r="J54" i="21"/>
  <c r="G54" i="21"/>
  <c r="H54" i="21" s="1"/>
  <c r="D125" i="21"/>
  <c r="E125" i="21"/>
  <c r="F125" i="21"/>
  <c r="G125" i="21" s="1"/>
  <c r="D123" i="21"/>
  <c r="E123" i="21"/>
  <c r="F123" i="21"/>
  <c r="G123" i="21" s="1"/>
  <c r="H123" i="21" s="1"/>
  <c r="I123" i="21" s="1"/>
  <c r="J123" i="21" s="1"/>
  <c r="K123" i="21" s="1"/>
  <c r="L123" i="21" s="1"/>
  <c r="M123" i="21" s="1"/>
  <c r="F42" i="21"/>
  <c r="AA42" i="21" s="1"/>
  <c r="D119" i="21"/>
  <c r="F40" i="21"/>
  <c r="AA40" i="21"/>
  <c r="D117" i="21"/>
  <c r="E117" i="21"/>
  <c r="F117" i="21"/>
  <c r="G117" i="21"/>
  <c r="D115" i="21"/>
  <c r="E115" i="21"/>
  <c r="F115" i="21"/>
  <c r="G115" i="2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c r="G89" i="21" s="1"/>
  <c r="H89" i="21" s="1"/>
  <c r="I89" i="21" s="1"/>
  <c r="J89" i="21"/>
  <c r="K89" i="2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s="1"/>
  <c r="E81" i="21"/>
  <c r="F81" i="21"/>
  <c r="G81" i="21"/>
  <c r="D77" i="21"/>
  <c r="E77" i="21" s="1"/>
  <c r="B130" i="21"/>
  <c r="B128" i="21"/>
  <c r="F45" i="21" s="1"/>
  <c r="B126" i="21"/>
  <c r="B98" i="21"/>
  <c r="F31" i="21" s="1"/>
  <c r="H31" i="21"/>
  <c r="B96" i="21"/>
  <c r="B94" i="21"/>
  <c r="J29" i="21"/>
  <c r="AC29" i="21"/>
  <c r="B92" i="21"/>
  <c r="B90" i="21"/>
  <c r="J27" i="21"/>
  <c r="AC27" i="21" s="1"/>
  <c r="W27" i="21"/>
  <c r="B74" i="21"/>
  <c r="B72" i="21"/>
  <c r="H13" i="21"/>
  <c r="U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c r="J26" i="21"/>
  <c r="W26" i="21" s="1"/>
  <c r="F26" i="21"/>
  <c r="S26" i="21"/>
  <c r="AB41" i="21"/>
  <c r="AA41" i="21"/>
  <c r="F45" i="39"/>
  <c r="S45" i="39" s="1"/>
  <c r="J44" i="39"/>
  <c r="AC44" i="39" s="1"/>
  <c r="F36" i="39"/>
  <c r="S36" i="39"/>
  <c r="H36" i="39"/>
  <c r="AB36" i="39" s="1"/>
  <c r="F35" i="39"/>
  <c r="AA35" i="39" s="1"/>
  <c r="J36" i="39"/>
  <c r="AC36" i="39"/>
  <c r="U30" i="37"/>
  <c r="W31" i="37"/>
  <c r="E103" i="37"/>
  <c r="F103" i="37" s="1"/>
  <c r="G103" i="37" s="1"/>
  <c r="H103" i="37" s="1"/>
  <c r="I103" i="37"/>
  <c r="J103" i="37"/>
  <c r="K103" i="37" s="1"/>
  <c r="L103" i="37" s="1"/>
  <c r="M103" i="37" s="1"/>
  <c r="F39" i="37"/>
  <c r="U14" i="37"/>
  <c r="F29" i="36"/>
  <c r="AA29" i="36" s="1"/>
  <c r="W8" i="36"/>
  <c r="F16" i="36"/>
  <c r="AA16" i="36" s="1"/>
  <c r="U9" i="36"/>
  <c r="W28" i="36"/>
  <c r="S30" i="36"/>
  <c r="AA31" i="36"/>
  <c r="U31" i="36"/>
  <c r="J33" i="36"/>
  <c r="W33" i="36" s="1"/>
  <c r="H22" i="35"/>
  <c r="AB22" i="35"/>
  <c r="AC27" i="35"/>
  <c r="W28" i="35"/>
  <c r="U31" i="35"/>
  <c r="W22" i="35"/>
  <c r="S31" i="35"/>
  <c r="U34" i="35"/>
  <c r="F36" i="34"/>
  <c r="S36" i="34" s="1"/>
  <c r="J35" i="34"/>
  <c r="W9" i="34"/>
  <c r="S34" i="34"/>
  <c r="U34" i="34"/>
  <c r="H39" i="33"/>
  <c r="AB39" i="33"/>
  <c r="F26" i="33"/>
  <c r="AA26" i="33" s="1"/>
  <c r="U33" i="33"/>
  <c r="U35" i="33"/>
  <c r="S40" i="33"/>
  <c r="H39" i="37"/>
  <c r="AB39" i="37"/>
  <c r="S27" i="35"/>
  <c r="F11" i="40"/>
  <c r="AA11" i="40"/>
  <c r="H11" i="40"/>
  <c r="AB11" i="40"/>
  <c r="W8" i="40"/>
  <c r="AA9" i="40"/>
  <c r="U9" i="40"/>
  <c r="S34" i="40"/>
  <c r="U38" i="40"/>
  <c r="U34" i="40"/>
  <c r="F42" i="39"/>
  <c r="S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AA31" i="39"/>
  <c r="E101" i="39"/>
  <c r="F101" i="39" s="1"/>
  <c r="G101" i="39" s="1"/>
  <c r="H19" i="39"/>
  <c r="AB19" i="39" s="1"/>
  <c r="F19" i="39"/>
  <c r="AA19" i="39"/>
  <c r="F17" i="39"/>
  <c r="AA17" i="39" s="1"/>
  <c r="J23" i="40"/>
  <c r="AC23" i="40"/>
  <c r="F21" i="40"/>
  <c r="AA21" i="40"/>
  <c r="J21" i="40"/>
  <c r="W21" i="40"/>
  <c r="H42" i="39"/>
  <c r="AB42" i="39" s="1"/>
  <c r="J34" i="39"/>
  <c r="AC34" i="39"/>
  <c r="J31" i="39"/>
  <c r="J19" i="39"/>
  <c r="W19" i="39" s="1"/>
  <c r="AC19" i="39"/>
  <c r="F11" i="21"/>
  <c r="S11" i="21"/>
  <c r="S40" i="21"/>
  <c r="U34" i="21"/>
  <c r="C25" i="39"/>
  <c r="C27" i="39"/>
  <c r="C15" i="39"/>
  <c r="H32" i="33"/>
  <c r="H11" i="21"/>
  <c r="J11" i="21"/>
  <c r="W11" i="21" s="1"/>
  <c r="H37" i="40"/>
  <c r="AB37" i="40" s="1"/>
  <c r="U37" i="40"/>
  <c r="H36" i="40"/>
  <c r="AB36" i="40" s="1"/>
  <c r="F35" i="40"/>
  <c r="AA35" i="40"/>
  <c r="H23" i="40"/>
  <c r="AB23" i="40" s="1"/>
  <c r="H17" i="40"/>
  <c r="U17" i="40" s="1"/>
  <c r="J15" i="40"/>
  <c r="W15" i="40" s="1"/>
  <c r="J11" i="40"/>
  <c r="W11" i="40" s="1"/>
  <c r="AC12" i="34"/>
  <c r="AB12" i="35"/>
  <c r="S44" i="39"/>
  <c r="F37" i="39"/>
  <c r="AA37" i="39" s="1"/>
  <c r="U30" i="36"/>
  <c r="J30" i="35"/>
  <c r="W30" i="35"/>
  <c r="H30" i="35"/>
  <c r="AB30" i="35"/>
  <c r="F22" i="35"/>
  <c r="AA22" i="35"/>
  <c r="H10" i="35"/>
  <c r="U10" i="35"/>
  <c r="AC16" i="36"/>
  <c r="W30" i="36"/>
  <c r="H16" i="36"/>
  <c r="AB16" i="36"/>
  <c r="J29" i="36"/>
  <c r="AC29" i="36" s="1"/>
  <c r="F12" i="36"/>
  <c r="AA12" i="36" s="1"/>
  <c r="F24" i="36"/>
  <c r="AA24" i="36" s="1"/>
  <c r="AB8" i="36"/>
  <c r="S8" i="36"/>
  <c r="U8" i="35"/>
  <c r="F14" i="35"/>
  <c r="AA14" i="35"/>
  <c r="J32" i="35"/>
  <c r="AC32" i="35" s="1"/>
  <c r="J16" i="35"/>
  <c r="AC16" i="35"/>
  <c r="H16" i="35"/>
  <c r="U16" i="35" s="1"/>
  <c r="F16" i="35"/>
  <c r="S16" i="35"/>
  <c r="H14" i="35"/>
  <c r="AB14" i="35" s="1"/>
  <c r="J29" i="35"/>
  <c r="H33" i="35"/>
  <c r="AC8" i="35"/>
  <c r="J20" i="35"/>
  <c r="W20" i="35"/>
  <c r="F35" i="37"/>
  <c r="S35" i="37" s="1"/>
  <c r="J34" i="37"/>
  <c r="W34" i="37" s="1"/>
  <c r="S10" i="37"/>
  <c r="AB34" i="37"/>
  <c r="J33" i="37"/>
  <c r="AC33" i="37" s="1"/>
  <c r="H40" i="34"/>
  <c r="U40" i="34" s="1"/>
  <c r="E114" i="34"/>
  <c r="F114" i="34" s="1"/>
  <c r="H36" i="34"/>
  <c r="U36" i="34"/>
  <c r="F37" i="34"/>
  <c r="AA37" i="34" s="1"/>
  <c r="F28" i="34"/>
  <c r="AA28" i="34"/>
  <c r="F27" i="34"/>
  <c r="AA27" i="34" s="1"/>
  <c r="F25" i="34"/>
  <c r="S25" i="34" s="1"/>
  <c r="H23" i="34"/>
  <c r="J23" i="34"/>
  <c r="AC23" i="34" s="1"/>
  <c r="F19" i="34"/>
  <c r="H17" i="34"/>
  <c r="U17" i="34" s="1"/>
  <c r="F15" i="34"/>
  <c r="J15" i="34"/>
  <c r="W15" i="34" s="1"/>
  <c r="H15" i="34"/>
  <c r="AB15" i="34" s="1"/>
  <c r="S9" i="34"/>
  <c r="W8" i="34"/>
  <c r="J28" i="34"/>
  <c r="F41" i="33"/>
  <c r="AA41" i="33" s="1"/>
  <c r="S38" i="33"/>
  <c r="F32" i="33"/>
  <c r="AA32" i="33" s="1"/>
  <c r="J19" i="33"/>
  <c r="AC19" i="33" s="1"/>
  <c r="J15" i="33"/>
  <c r="AC15" i="33" s="1"/>
  <c r="F11" i="33"/>
  <c r="AA11" i="33" s="1"/>
  <c r="U40" i="33"/>
  <c r="W40" i="33"/>
  <c r="F37" i="40"/>
  <c r="AA37" i="40" s="1"/>
  <c r="F36" i="40"/>
  <c r="AA36" i="40"/>
  <c r="H28" i="40"/>
  <c r="U28" i="40" s="1"/>
  <c r="F23" i="40"/>
  <c r="AA23" i="40"/>
  <c r="F17" i="40"/>
  <c r="AA17" i="40" s="1"/>
  <c r="J17" i="40"/>
  <c r="W17" i="40"/>
  <c r="F15" i="40"/>
  <c r="H15" i="40"/>
  <c r="AB15" i="40"/>
  <c r="S12" i="36"/>
  <c r="AB30" i="36"/>
  <c r="U30" i="35"/>
  <c r="F29" i="35"/>
  <c r="S29" i="35" s="1"/>
  <c r="H29" i="35"/>
  <c r="AB29" i="35" s="1"/>
  <c r="H33" i="37"/>
  <c r="AB33" i="37" s="1"/>
  <c r="F33" i="37"/>
  <c r="AA33" i="37" s="1"/>
  <c r="U34" i="37"/>
  <c r="W33" i="37"/>
  <c r="J43" i="34"/>
  <c r="AB42" i="34"/>
  <c r="J40" i="34"/>
  <c r="W40" i="34" s="1"/>
  <c r="G114" i="34"/>
  <c r="H114" i="34" s="1"/>
  <c r="I114" i="34" s="1"/>
  <c r="J114" i="34" s="1"/>
  <c r="K114" i="34" s="1"/>
  <c r="L114" i="34" s="1"/>
  <c r="M114" i="34" s="1"/>
  <c r="H38" i="34"/>
  <c r="AB38" i="34"/>
  <c r="J36" i="34"/>
  <c r="W36" i="34" s="1"/>
  <c r="H37" i="34"/>
  <c r="U37" i="34"/>
  <c r="H25" i="34"/>
  <c r="AB25" i="34" s="1"/>
  <c r="J25" i="34"/>
  <c r="AC25" i="34"/>
  <c r="F23" i="34"/>
  <c r="AA23" i="34" s="1"/>
  <c r="J19" i="34"/>
  <c r="AC19" i="34" s="1"/>
  <c r="F17" i="34"/>
  <c r="AA17" i="34" s="1"/>
  <c r="J17" i="34"/>
  <c r="W17" i="34"/>
  <c r="AB17" i="34"/>
  <c r="F113" i="33"/>
  <c r="G113" i="33" s="1"/>
  <c r="H113" i="33"/>
  <c r="I113" i="33" s="1"/>
  <c r="J113" i="33" s="1"/>
  <c r="K113" i="33" s="1"/>
  <c r="L113" i="33"/>
  <c r="M113" i="33" s="1"/>
  <c r="H37" i="33"/>
  <c r="AB37" i="33" s="1"/>
  <c r="H15" i="33"/>
  <c r="AB15" i="33"/>
  <c r="H11" i="33"/>
  <c r="AB11" i="33" s="1"/>
  <c r="F28" i="40"/>
  <c r="AA28" i="40"/>
  <c r="AA29" i="35"/>
  <c r="AA42" i="34"/>
  <c r="S42" i="34"/>
  <c r="AC38" i="34"/>
  <c r="AA38" i="34"/>
  <c r="J37" i="34"/>
  <c r="J11" i="33"/>
  <c r="W11" i="33" s="1"/>
  <c r="S28" i="34"/>
  <c r="U23" i="40"/>
  <c r="J42" i="21"/>
  <c r="AC42" i="21" s="1"/>
  <c r="H42" i="21"/>
  <c r="U42" i="21"/>
  <c r="J44" i="34"/>
  <c r="W44" i="34" s="1"/>
  <c r="F44" i="34"/>
  <c r="AA44" i="34"/>
  <c r="J10" i="35"/>
  <c r="W10" i="35"/>
  <c r="J14" i="21"/>
  <c r="W14" i="21" s="1"/>
  <c r="F14" i="21"/>
  <c r="S14" i="21" s="1"/>
  <c r="H14" i="21"/>
  <c r="U14" i="21" s="1"/>
  <c r="H28" i="21"/>
  <c r="AB28" i="21" s="1"/>
  <c r="F28" i="21"/>
  <c r="S28" i="21" s="1"/>
  <c r="J28" i="21"/>
  <c r="W28" i="21" s="1"/>
  <c r="H30" i="21"/>
  <c r="U30" i="21"/>
  <c r="F30" i="21"/>
  <c r="J30" i="21"/>
  <c r="AC30" i="21" s="1"/>
  <c r="J44" i="21"/>
  <c r="AC44" i="21" s="1"/>
  <c r="H44" i="21"/>
  <c r="U44" i="21" s="1"/>
  <c r="F44" i="21"/>
  <c r="AA44" i="21" s="1"/>
  <c r="H46" i="21"/>
  <c r="U46" i="21"/>
  <c r="J46" i="21"/>
  <c r="W46" i="21" s="1"/>
  <c r="F46" i="21"/>
  <c r="AA46" i="21"/>
  <c r="E119" i="21"/>
  <c r="F119" i="21" s="1"/>
  <c r="G119" i="21" s="1"/>
  <c r="H119" i="21" s="1"/>
  <c r="I119" i="21"/>
  <c r="J119" i="21" s="1"/>
  <c r="K119" i="21" s="1"/>
  <c r="L119" i="21" s="1"/>
  <c r="M119" i="21" s="1"/>
  <c r="H26" i="33"/>
  <c r="U26" i="33" s="1"/>
  <c r="H28" i="33"/>
  <c r="U28" i="33" s="1"/>
  <c r="F28" i="33"/>
  <c r="AA28" i="33" s="1"/>
  <c r="J28" i="33"/>
  <c r="W28" i="33" s="1"/>
  <c r="F33" i="35"/>
  <c r="S33" i="35"/>
  <c r="J33" i="35"/>
  <c r="AC33" i="35" s="1"/>
  <c r="F30" i="35"/>
  <c r="S30" i="35"/>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c r="F27" i="33"/>
  <c r="AA27" i="33" s="1"/>
  <c r="F13" i="33"/>
  <c r="S13" i="33" s="1"/>
  <c r="J29" i="33"/>
  <c r="AC29" i="33" s="1"/>
  <c r="H29" i="33"/>
  <c r="U29" i="33"/>
  <c r="F29" i="33"/>
  <c r="H45" i="33"/>
  <c r="J45" i="33"/>
  <c r="W45" i="33" s="1"/>
  <c r="F45" i="33"/>
  <c r="S45" i="33" s="1"/>
  <c r="J14" i="34"/>
  <c r="W14" i="34" s="1"/>
  <c r="F14" i="34"/>
  <c r="S14" i="34"/>
  <c r="H14" i="34"/>
  <c r="J30" i="34"/>
  <c r="W30" i="34" s="1"/>
  <c r="H32" i="34"/>
  <c r="AB32" i="34" s="1"/>
  <c r="F32" i="34"/>
  <c r="J32" i="34"/>
  <c r="W32" i="34" s="1"/>
  <c r="H46" i="34"/>
  <c r="AB46" i="34" s="1"/>
  <c r="U46" i="34"/>
  <c r="J26" i="36"/>
  <c r="W26" i="36" s="1"/>
  <c r="H28" i="36"/>
  <c r="H32" i="36"/>
  <c r="AB32" i="36" s="1"/>
  <c r="J32" i="36"/>
  <c r="W32" i="36"/>
  <c r="J11" i="36"/>
  <c r="AC11" i="36" s="1"/>
  <c r="H11" i="36"/>
  <c r="U11" i="36"/>
  <c r="F11" i="36"/>
  <c r="AA11" i="36" s="1"/>
  <c r="H13" i="36"/>
  <c r="AB13" i="36" s="1"/>
  <c r="J13" i="36"/>
  <c r="S13" i="36"/>
  <c r="E89" i="37"/>
  <c r="F89" i="37" s="1"/>
  <c r="G89" i="37" s="1"/>
  <c r="H89" i="37"/>
  <c r="I89" i="37" s="1"/>
  <c r="J89" i="37" s="1"/>
  <c r="K89" i="37" s="1"/>
  <c r="L89" i="37" s="1"/>
  <c r="M89" i="37" s="1"/>
  <c r="J29" i="37"/>
  <c r="W29" i="37" s="1"/>
  <c r="F29" i="37"/>
  <c r="S29" i="37" s="1"/>
  <c r="F105" i="37"/>
  <c r="G105" i="37" s="1"/>
  <c r="H36" i="37"/>
  <c r="AB36" i="37"/>
  <c r="J37" i="37"/>
  <c r="AC37" i="37" s="1"/>
  <c r="H37" i="37"/>
  <c r="H40" i="37"/>
  <c r="U40" i="37" s="1"/>
  <c r="J40" i="37"/>
  <c r="AC40" i="37"/>
  <c r="F40" i="37"/>
  <c r="AA40" i="37" s="1"/>
  <c r="AC12" i="40"/>
  <c r="W12" i="40"/>
  <c r="H14" i="33"/>
  <c r="U14" i="33" s="1"/>
  <c r="F14" i="33"/>
  <c r="S14" i="33" s="1"/>
  <c r="J14" i="33"/>
  <c r="H44" i="33"/>
  <c r="J44" i="33"/>
  <c r="AC44" i="33" s="1"/>
  <c r="F44" i="33"/>
  <c r="S44" i="33" s="1"/>
  <c r="J46" i="33"/>
  <c r="W46" i="33" s="1"/>
  <c r="AC46" i="33"/>
  <c r="H46" i="33"/>
  <c r="U46" i="33" s="1"/>
  <c r="H13" i="34"/>
  <c r="U13" i="34" s="1"/>
  <c r="J13" i="34"/>
  <c r="W13" i="34" s="1"/>
  <c r="F13" i="34"/>
  <c r="AA13" i="34" s="1"/>
  <c r="J29" i="34"/>
  <c r="F29" i="34"/>
  <c r="S29" i="34" s="1"/>
  <c r="AB29" i="34"/>
  <c r="J31" i="34"/>
  <c r="AC31" i="34" s="1"/>
  <c r="H31" i="34"/>
  <c r="AB31" i="34"/>
  <c r="F31" i="34"/>
  <c r="J45" i="34"/>
  <c r="W45" i="34" s="1"/>
  <c r="H47" i="34"/>
  <c r="U47" i="34" s="1"/>
  <c r="F47" i="34"/>
  <c r="S47" i="34"/>
  <c r="J47" i="34"/>
  <c r="AC47" i="34" s="1"/>
  <c r="J13" i="35"/>
  <c r="AC13" i="35" s="1"/>
  <c r="J25" i="35"/>
  <c r="W25" i="35" s="1"/>
  <c r="F25" i="35"/>
  <c r="S25" i="35"/>
  <c r="H25" i="35"/>
  <c r="J35" i="35"/>
  <c r="AC35" i="35"/>
  <c r="F35" i="35"/>
  <c r="AA35" i="35" s="1"/>
  <c r="H35" i="35"/>
  <c r="AB35" i="35"/>
  <c r="J25" i="36"/>
  <c r="W25" i="36" s="1"/>
  <c r="F25" i="36"/>
  <c r="S25" i="36"/>
  <c r="H25" i="36"/>
  <c r="AB25" i="36" s="1"/>
  <c r="H13" i="37"/>
  <c r="AB13" i="37"/>
  <c r="F13" i="37"/>
  <c r="S13" i="37" s="1"/>
  <c r="J13" i="37"/>
  <c r="W13" i="37"/>
  <c r="F28" i="37"/>
  <c r="AA28" i="37" s="1"/>
  <c r="J28" i="37"/>
  <c r="AC28" i="37"/>
  <c r="H28" i="37"/>
  <c r="H38" i="37"/>
  <c r="AB38" i="37"/>
  <c r="J38" i="37"/>
  <c r="AC38" i="37" s="1"/>
  <c r="F38" i="37"/>
  <c r="S38" i="37"/>
  <c r="F43" i="39"/>
  <c r="J14" i="39"/>
  <c r="AC14" i="39" s="1"/>
  <c r="F14" i="39"/>
  <c r="S14" i="39" s="1"/>
  <c r="H14" i="39"/>
  <c r="AB14" i="39" s="1"/>
  <c r="F12" i="40"/>
  <c r="S12" i="40" s="1"/>
  <c r="H12" i="40"/>
  <c r="AB12" i="40"/>
  <c r="H30" i="40"/>
  <c r="AB30" i="40" s="1"/>
  <c r="F33" i="40"/>
  <c r="AA33" i="40"/>
  <c r="H33" i="40"/>
  <c r="U33" i="40" s="1"/>
  <c r="J35" i="40"/>
  <c r="AC35" i="40"/>
  <c r="J37" i="40"/>
  <c r="H13" i="40"/>
  <c r="U13" i="40"/>
  <c r="J13" i="40"/>
  <c r="F13" i="40"/>
  <c r="AA13" i="40"/>
  <c r="F14" i="37"/>
  <c r="S14" i="37" s="1"/>
  <c r="F27" i="37"/>
  <c r="AA27" i="37"/>
  <c r="F13" i="39"/>
  <c r="AA13" i="39" s="1"/>
  <c r="H13" i="39"/>
  <c r="U13" i="39" s="1"/>
  <c r="H14" i="40"/>
  <c r="AB14" i="40" s="1"/>
  <c r="F14" i="40"/>
  <c r="AA14" i="40" s="1"/>
  <c r="J27" i="37"/>
  <c r="AC27" i="37" s="1"/>
  <c r="AA44" i="33"/>
  <c r="U31" i="34"/>
  <c r="J36" i="37"/>
  <c r="AC36" i="37" s="1"/>
  <c r="AB11" i="36"/>
  <c r="J10" i="36"/>
  <c r="AB30" i="21"/>
  <c r="W31" i="34"/>
  <c r="W11" i="36"/>
  <c r="AC30" i="34"/>
  <c r="AA14" i="34"/>
  <c r="W29" i="33"/>
  <c r="AC28" i="21"/>
  <c r="S44" i="34"/>
  <c r="BA586" i="3"/>
  <c r="F17" i="21"/>
  <c r="AA17" i="21"/>
  <c r="H17" i="21"/>
  <c r="AB17" i="21" s="1"/>
  <c r="F15" i="21"/>
  <c r="AA15" i="21" s="1"/>
  <c r="S15" i="21"/>
  <c r="J41" i="39"/>
  <c r="W41" i="39" s="1"/>
  <c r="W44" i="39"/>
  <c r="W36" i="39"/>
  <c r="U36" i="39"/>
  <c r="G544" i="3"/>
  <c r="G535" i="3"/>
  <c r="G531" i="3"/>
  <c r="G527" i="3"/>
  <c r="G518" i="3"/>
  <c r="G514" i="3"/>
  <c r="G510" i="3"/>
  <c r="G504" i="3"/>
  <c r="G496" i="3"/>
  <c r="G576" i="3"/>
  <c r="G572" i="3"/>
  <c r="G564" i="3"/>
  <c r="G560" i="3"/>
  <c r="BL584" i="3"/>
  <c r="BL580" i="3"/>
  <c r="BL564" i="3"/>
  <c r="BL560" i="3"/>
  <c r="BL530" i="3"/>
  <c r="BL506" i="3"/>
  <c r="BL582" i="3"/>
  <c r="BL578" i="3"/>
  <c r="BL562" i="3"/>
  <c r="BL552" i="3"/>
  <c r="G533" i="3"/>
  <c r="BL532" i="3"/>
  <c r="G525" i="3"/>
  <c r="BL518" i="3"/>
  <c r="G493" i="3"/>
  <c r="BA584" i="3"/>
  <c r="AZ584" i="3" s="1"/>
  <c r="BA582" i="3"/>
  <c r="BA580" i="3"/>
  <c r="AZ580" i="3"/>
  <c r="BA574" i="3"/>
  <c r="BA570" i="3"/>
  <c r="BA568" i="3"/>
  <c r="AZ568" i="3" s="1"/>
  <c r="BA564" i="3"/>
  <c r="AZ564" i="3"/>
  <c r="BA562" i="3"/>
  <c r="BA558" i="3"/>
  <c r="BA542" i="3"/>
  <c r="AZ542" i="3" s="1"/>
  <c r="BA518" i="3"/>
  <c r="AZ518" i="3" s="1"/>
  <c r="BA504" i="3"/>
  <c r="AZ504" i="3" s="1"/>
  <c r="BA587" i="3"/>
  <c r="BA581" i="3"/>
  <c r="BA575" i="3"/>
  <c r="BA573" i="3"/>
  <c r="BA565" i="3"/>
  <c r="BA563" i="3"/>
  <c r="AZ563" i="3" s="1"/>
  <c r="BA553" i="3"/>
  <c r="BA547" i="3"/>
  <c r="BA537" i="3"/>
  <c r="BA527" i="3"/>
  <c r="BA513" i="3"/>
  <c r="AZ513" i="3" s="1"/>
  <c r="BA501" i="3"/>
  <c r="G579" i="3"/>
  <c r="G577" i="3"/>
  <c r="G573" i="3"/>
  <c r="G565" i="3"/>
  <c r="G563" i="3"/>
  <c r="G561" i="3"/>
  <c r="AC557" i="3"/>
  <c r="G557" i="3" s="1"/>
  <c r="BQ557" i="3"/>
  <c r="BQ583" i="3"/>
  <c r="BQ581" i="3"/>
  <c r="BQ579" i="3"/>
  <c r="BL579" i="3"/>
  <c r="BQ577" i="3"/>
  <c r="BQ575" i="3"/>
  <c r="BQ573" i="3"/>
  <c r="BL573" i="3"/>
  <c r="AZ573" i="3"/>
  <c r="BQ571" i="3"/>
  <c r="BQ569" i="3"/>
  <c r="BQ567" i="3"/>
  <c r="BQ565" i="3"/>
  <c r="BL565" i="3" s="1"/>
  <c r="BQ563" i="3"/>
  <c r="BL563" i="3"/>
  <c r="BQ561" i="3"/>
  <c r="BQ559" i="3"/>
  <c r="BL559" i="3"/>
  <c r="G559" i="3"/>
  <c r="G555" i="3"/>
  <c r="G553" i="3"/>
  <c r="G549" i="3"/>
  <c r="G545" i="3"/>
  <c r="G543" i="3"/>
  <c r="G541" i="3"/>
  <c r="BQ555" i="3"/>
  <c r="BL555" i="3"/>
  <c r="BQ553" i="3"/>
  <c r="BQ551" i="3"/>
  <c r="BL551" i="3"/>
  <c r="BQ549" i="3"/>
  <c r="BQ547" i="3"/>
  <c r="BQ545" i="3"/>
  <c r="BQ543" i="3"/>
  <c r="BQ541" i="3"/>
  <c r="BQ539" i="3"/>
  <c r="BQ537" i="3"/>
  <c r="BQ535" i="3"/>
  <c r="BQ533" i="3"/>
  <c r="BL533" i="3"/>
  <c r="BQ531" i="3"/>
  <c r="BQ529" i="3"/>
  <c r="BQ527" i="3"/>
  <c r="BQ525" i="3"/>
  <c r="BQ523" i="3"/>
  <c r="AC521" i="3"/>
  <c r="G521" i="3"/>
  <c r="BQ521" i="3"/>
  <c r="G519" i="3"/>
  <c r="G513" i="3"/>
  <c r="G511" i="3"/>
  <c r="BQ519" i="3"/>
  <c r="BQ517" i="3"/>
  <c r="BL517" i="3"/>
  <c r="BQ515" i="3"/>
  <c r="BQ513" i="3"/>
  <c r="BQ511" i="3"/>
  <c r="AC509" i="3"/>
  <c r="BQ509" i="3"/>
  <c r="BL509" i="3"/>
  <c r="G507" i="3"/>
  <c r="G505" i="3"/>
  <c r="G499" i="3"/>
  <c r="G497" i="3"/>
  <c r="BQ507" i="3"/>
  <c r="BQ505" i="3"/>
  <c r="BQ503" i="3"/>
  <c r="BQ501" i="3"/>
  <c r="BQ499" i="3"/>
  <c r="BL499" i="3"/>
  <c r="BQ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s="1"/>
  <c r="E125" i="33"/>
  <c r="F125" i="33"/>
  <c r="G125" i="33" s="1"/>
  <c r="H43" i="33"/>
  <c r="AB43" i="33" s="1"/>
  <c r="H17" i="37"/>
  <c r="U17" i="37" s="1"/>
  <c r="AB27" i="37"/>
  <c r="AA36" i="39"/>
  <c r="F39" i="33"/>
  <c r="AA39" i="33" s="1"/>
  <c r="E123" i="33"/>
  <c r="F42" i="33"/>
  <c r="AA42" i="33" s="1"/>
  <c r="H28" i="34"/>
  <c r="AB28" i="34" s="1"/>
  <c r="F14" i="36"/>
  <c r="AA14" i="36"/>
  <c r="F22" i="36"/>
  <c r="S22" i="36" s="1"/>
  <c r="F26" i="36"/>
  <c r="S26" i="36"/>
  <c r="H27" i="34"/>
  <c r="AB27" i="34" s="1"/>
  <c r="H35" i="34"/>
  <c r="AB35" i="34" s="1"/>
  <c r="F41" i="34"/>
  <c r="S41" i="34" s="1"/>
  <c r="H41" i="34"/>
  <c r="U41" i="34" s="1"/>
  <c r="J41" i="34"/>
  <c r="AC41" i="34" s="1"/>
  <c r="F10" i="35"/>
  <c r="S10" i="35"/>
  <c r="F24" i="35"/>
  <c r="AA24" i="35" s="1"/>
  <c r="H24" i="35"/>
  <c r="U24" i="35" s="1"/>
  <c r="AB24" i="35"/>
  <c r="H23" i="37"/>
  <c r="AB23" i="37" s="1"/>
  <c r="J32" i="37"/>
  <c r="W32" i="37" s="1"/>
  <c r="F36" i="37"/>
  <c r="AA36" i="37" s="1"/>
  <c r="F37" i="37"/>
  <c r="AA37" i="37" s="1"/>
  <c r="F31" i="40"/>
  <c r="AA31" i="40" s="1"/>
  <c r="H31" i="40"/>
  <c r="AB31" i="40" s="1"/>
  <c r="U31" i="40"/>
  <c r="F32" i="40"/>
  <c r="S32" i="40" s="1"/>
  <c r="H32" i="40"/>
  <c r="AB32" i="40"/>
  <c r="J36" i="40"/>
  <c r="W36" i="40" s="1"/>
  <c r="H19" i="37"/>
  <c r="AB19" i="37"/>
  <c r="F123" i="33"/>
  <c r="G123" i="33"/>
  <c r="H123" i="33" s="1"/>
  <c r="I123" i="33" s="1"/>
  <c r="J123" i="33" s="1"/>
  <c r="K123" i="33" s="1"/>
  <c r="L123" i="33" s="1"/>
  <c r="M123" i="33" s="1"/>
  <c r="H42" i="33"/>
  <c r="AB42" i="33"/>
  <c r="J43" i="33"/>
  <c r="AC43" i="33" s="1"/>
  <c r="S28" i="31"/>
  <c r="S27" i="31"/>
  <c r="S26" i="31"/>
  <c r="U14" i="40"/>
  <c r="AC32" i="36"/>
  <c r="U35" i="35"/>
  <c r="AA12" i="35"/>
  <c r="W23" i="35"/>
  <c r="U39" i="37"/>
  <c r="W26" i="37"/>
  <c r="AC8" i="37"/>
  <c r="U26" i="37"/>
  <c r="AB13" i="34"/>
  <c r="AB37" i="34"/>
  <c r="AC36" i="34"/>
  <c r="AC45" i="33"/>
  <c r="W44" i="33"/>
  <c r="U19" i="21"/>
  <c r="W44" i="21"/>
  <c r="U26" i="21"/>
  <c r="AC46" i="21"/>
  <c r="AB38" i="21"/>
  <c r="F43" i="33"/>
  <c r="AA43" i="33" s="1"/>
  <c r="W16" i="35"/>
  <c r="W40" i="37"/>
  <c r="H107" i="37"/>
  <c r="I107" i="37" s="1"/>
  <c r="J107" i="37" s="1"/>
  <c r="K107" i="37" s="1"/>
  <c r="L107" i="37" s="1"/>
  <c r="M107" i="37" s="1"/>
  <c r="H37" i="21"/>
  <c r="S42" i="21"/>
  <c r="H19" i="34"/>
  <c r="U19" i="34" s="1"/>
  <c r="F36" i="35"/>
  <c r="S36" i="35"/>
  <c r="J9" i="37"/>
  <c r="W9" i="37" s="1"/>
  <c r="F9" i="37"/>
  <c r="S9" i="37"/>
  <c r="E71" i="37"/>
  <c r="F15" i="37"/>
  <c r="AA15" i="37" s="1"/>
  <c r="E94" i="37"/>
  <c r="F31" i="37"/>
  <c r="S31" i="37" s="1"/>
  <c r="J42" i="39"/>
  <c r="AC42" i="39" s="1"/>
  <c r="H21" i="40"/>
  <c r="AB21" i="40"/>
  <c r="F94" i="37"/>
  <c r="G94" i="37" s="1"/>
  <c r="H94" i="37" s="1"/>
  <c r="I94" i="37" s="1"/>
  <c r="J94" i="37" s="1"/>
  <c r="K94" i="37" s="1"/>
  <c r="L94" i="37" s="1"/>
  <c r="M94" i="37" s="1"/>
  <c r="H31" i="37"/>
  <c r="U31" i="37" s="1"/>
  <c r="F71" i="37"/>
  <c r="G71" i="37"/>
  <c r="J15" i="37"/>
  <c r="W15" i="37" s="1"/>
  <c r="AT6" i="3"/>
  <c r="AA25" i="21"/>
  <c r="C12" i="43"/>
  <c r="H19" i="40"/>
  <c r="AB19" i="40" s="1"/>
  <c r="U19" i="40"/>
  <c r="F88" i="40"/>
  <c r="G88" i="40" s="1"/>
  <c r="F19" i="40"/>
  <c r="AA19" i="40" s="1"/>
  <c r="S14" i="40"/>
  <c r="AB33" i="40"/>
  <c r="AC43" i="39"/>
  <c r="AB44" i="39"/>
  <c r="H37" i="39"/>
  <c r="AB37" i="39"/>
  <c r="W37" i="39"/>
  <c r="H25" i="39"/>
  <c r="AB25" i="39" s="1"/>
  <c r="J25" i="39"/>
  <c r="AC25" i="39" s="1"/>
  <c r="F25" i="39"/>
  <c r="AA25" i="39" s="1"/>
  <c r="F15" i="39"/>
  <c r="AA15" i="39" s="1"/>
  <c r="H15" i="39"/>
  <c r="U15" i="39" s="1"/>
  <c r="J15" i="39"/>
  <c r="W15" i="39" s="1"/>
  <c r="H41" i="39"/>
  <c r="U41" i="39" s="1"/>
  <c r="AB34" i="39"/>
  <c r="W8" i="39"/>
  <c r="J19" i="40"/>
  <c r="AC19" i="40"/>
  <c r="J50" i="40"/>
  <c r="H103" i="9"/>
  <c r="D8" i="53" s="1"/>
  <c r="B16" i="53"/>
  <c r="B33" i="72" s="1"/>
  <c r="C7" i="37"/>
  <c r="C7" i="34"/>
  <c r="C7" i="36"/>
  <c r="C46" i="36" s="1"/>
  <c r="D46" i="36" s="1"/>
  <c r="E46" i="36" s="1"/>
  <c r="F46" i="36" s="1"/>
  <c r="G46" i="36" s="1"/>
  <c r="H46" i="36" s="1"/>
  <c r="I46" i="36" s="1"/>
  <c r="W35" i="40"/>
  <c r="A118" i="9"/>
  <c r="A4" i="52"/>
  <c r="B41" i="72" s="1"/>
  <c r="A12" i="52"/>
  <c r="B56" i="72" s="1"/>
  <c r="G4" i="4"/>
  <c r="I4" i="4"/>
  <c r="K5" i="4" s="1"/>
  <c r="B47" i="48" s="1"/>
  <c r="A2" i="9"/>
  <c r="F59" i="43"/>
  <c r="H62" i="43" s="1"/>
  <c r="AZ20" i="3"/>
  <c r="AZ24" i="3"/>
  <c r="AZ32" i="3"/>
  <c r="G546" i="3"/>
  <c r="G524" i="3"/>
  <c r="G303" i="3"/>
  <c r="BL304" i="3"/>
  <c r="G305" i="3"/>
  <c r="BL306" i="3"/>
  <c r="BA308" i="3"/>
  <c r="AZ308" i="3" s="1"/>
  <c r="BA309" i="3"/>
  <c r="AZ309" i="3" s="1"/>
  <c r="BL309" i="3"/>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c r="BA360" i="3"/>
  <c r="AZ360" i="3" s="1"/>
  <c r="BL360" i="3"/>
  <c r="G361" i="3"/>
  <c r="BA362" i="3"/>
  <c r="AZ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c r="G125" i="3"/>
  <c r="BA127" i="3"/>
  <c r="AZ127" i="3"/>
  <c r="BL128" i="3"/>
  <c r="AZ128" i="3" s="1"/>
  <c r="G129" i="3"/>
  <c r="BA131" i="3"/>
  <c r="AZ131" i="3"/>
  <c r="BL132" i="3"/>
  <c r="AZ132" i="3" s="1"/>
  <c r="G133" i="3"/>
  <c r="BA135" i="3"/>
  <c r="BL136" i="3"/>
  <c r="AZ136" i="3" s="1"/>
  <c r="G137" i="3"/>
  <c r="BA139" i="3"/>
  <c r="AZ139" i="3"/>
  <c r="BL140" i="3"/>
  <c r="AZ140" i="3" s="1"/>
  <c r="G141" i="3"/>
  <c r="BA143" i="3"/>
  <c r="AZ143" i="3"/>
  <c r="BL144" i="3"/>
  <c r="G145" i="3"/>
  <c r="BA147" i="3"/>
  <c r="AZ147" i="3"/>
  <c r="BL148" i="3"/>
  <c r="G149" i="3"/>
  <c r="BA151" i="3"/>
  <c r="AZ151" i="3" s="1"/>
  <c r="BL152" i="3"/>
  <c r="G153" i="3"/>
  <c r="BA155" i="3"/>
  <c r="AZ155" i="3" s="1"/>
  <c r="BL156" i="3"/>
  <c r="G157" i="3"/>
  <c r="BA159" i="3"/>
  <c r="AZ159" i="3"/>
  <c r="BL160" i="3"/>
  <c r="AZ160" i="3" s="1"/>
  <c r="G161" i="3"/>
  <c r="BA163" i="3"/>
  <c r="BL164" i="3"/>
  <c r="AZ164" i="3" s="1"/>
  <c r="G165" i="3"/>
  <c r="BA167" i="3"/>
  <c r="AZ167" i="3" s="1"/>
  <c r="BL168" i="3"/>
  <c r="G169" i="3"/>
  <c r="BA171" i="3"/>
  <c r="AZ171" i="3" s="1"/>
  <c r="BL172" i="3"/>
  <c r="AZ172" i="3" s="1"/>
  <c r="G173" i="3"/>
  <c r="BA175" i="3"/>
  <c r="AZ175" i="3" s="1"/>
  <c r="BL176" i="3"/>
  <c r="G177" i="3"/>
  <c r="BA179" i="3"/>
  <c r="AZ179" i="3" s="1"/>
  <c r="BL180" i="3"/>
  <c r="AZ180" i="3"/>
  <c r="G181" i="3"/>
  <c r="BA183" i="3"/>
  <c r="BL184" i="3"/>
  <c r="G185" i="3"/>
  <c r="BA187" i="3"/>
  <c r="BL188" i="3"/>
  <c r="AZ188" i="3" s="1"/>
  <c r="G189" i="3"/>
  <c r="BA191" i="3"/>
  <c r="AZ191" i="3"/>
  <c r="BL192" i="3"/>
  <c r="AZ192" i="3" s="1"/>
  <c r="G193" i="3"/>
  <c r="BA195" i="3"/>
  <c r="AZ195" i="3"/>
  <c r="BL196" i="3"/>
  <c r="G197" i="3"/>
  <c r="BA199" i="3"/>
  <c r="BL200" i="3"/>
  <c r="G201" i="3"/>
  <c r="BA203" i="3"/>
  <c r="AZ203" i="3" s="1"/>
  <c r="BL204" i="3"/>
  <c r="AZ204" i="3" s="1"/>
  <c r="AZ43" i="3"/>
  <c r="AZ47" i="3"/>
  <c r="AZ55" i="3"/>
  <c r="AZ63" i="3"/>
  <c r="AZ71" i="3"/>
  <c r="AZ75" i="3"/>
  <c r="AZ79" i="3"/>
  <c r="AZ83" i="3"/>
  <c r="AZ144" i="3"/>
  <c r="AZ152" i="3"/>
  <c r="AZ168" i="3"/>
  <c r="AZ184" i="3"/>
  <c r="AZ200" i="3"/>
  <c r="AZ89" i="3"/>
  <c r="AZ93" i="3"/>
  <c r="AZ97" i="3"/>
  <c r="AZ101" i="3"/>
  <c r="AZ109" i="3"/>
  <c r="AZ120" i="3"/>
  <c r="G534" i="3"/>
  <c r="G516" i="3"/>
  <c r="G512" i="3"/>
  <c r="G506" i="3"/>
  <c r="G498" i="3"/>
  <c r="G494" i="3"/>
  <c r="G16" i="3"/>
  <c r="G15" i="3"/>
  <c r="BA304" i="3"/>
  <c r="AZ304" i="3"/>
  <c r="BA305" i="3"/>
  <c r="AZ305" i="3" s="1"/>
  <c r="BL305" i="3"/>
  <c r="G306" i="3"/>
  <c r="G309" i="3"/>
  <c r="BL310" i="3"/>
  <c r="BA312" i="3"/>
  <c r="BA313" i="3"/>
  <c r="AZ313" i="3" s="1"/>
  <c r="BL313" i="3"/>
  <c r="G314" i="3"/>
  <c r="G317" i="3"/>
  <c r="BL318" i="3"/>
  <c r="BA320" i="3"/>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BA382" i="3"/>
  <c r="AZ382" i="3" s="1"/>
  <c r="BL382" i="3"/>
  <c r="G383" i="3"/>
  <c r="G386" i="3"/>
  <c r="BL387" i="3"/>
  <c r="AZ387" i="3" s="1"/>
  <c r="BA389" i="3"/>
  <c r="AZ389" i="3" s="1"/>
  <c r="BA390" i="3"/>
  <c r="BL390" i="3"/>
  <c r="G391" i="3"/>
  <c r="G394" i="3"/>
  <c r="AZ138" i="3"/>
  <c r="AZ146" i="3"/>
  <c r="AZ150" i="3"/>
  <c r="AZ158" i="3"/>
  <c r="AZ170" i="3"/>
  <c r="AZ174" i="3"/>
  <c r="AZ178" i="3"/>
  <c r="AZ182" i="3"/>
  <c r="AZ186" i="3"/>
  <c r="AZ194" i="3"/>
  <c r="AZ202" i="3"/>
  <c r="BA16" i="3"/>
  <c r="AZ16" i="3" s="1"/>
  <c r="BL303" i="3"/>
  <c r="G304" i="3"/>
  <c r="BA306" i="3"/>
  <c r="BL307" i="3"/>
  <c r="G308" i="3"/>
  <c r="BA310" i="3"/>
  <c r="AZ310" i="3"/>
  <c r="BL311" i="3"/>
  <c r="AZ311" i="3" s="1"/>
  <c r="G312" i="3"/>
  <c r="BA314" i="3"/>
  <c r="AZ314" i="3"/>
  <c r="BL315" i="3"/>
  <c r="AZ315" i="3" s="1"/>
  <c r="G316" i="3"/>
  <c r="BA318" i="3"/>
  <c r="AZ318" i="3"/>
  <c r="BL319" i="3"/>
  <c r="G320" i="3"/>
  <c r="BA322" i="3"/>
  <c r="AZ322" i="3"/>
  <c r="BL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22" i="3"/>
  <c r="AZ303" i="3"/>
  <c r="AZ319" i="3"/>
  <c r="G342" i="3"/>
  <c r="BL345" i="3"/>
  <c r="AZ345" i="3"/>
  <c r="G346" i="3"/>
  <c r="BL349" i="3"/>
  <c r="AZ349" i="3"/>
  <c r="BL352" i="3"/>
  <c r="G353" i="3"/>
  <c r="BA357" i="3"/>
  <c r="AZ357" i="3"/>
  <c r="BL358" i="3"/>
  <c r="G359" i="3"/>
  <c r="BA361" i="3"/>
  <c r="AZ361" i="3" s="1"/>
  <c r="BL362" i="3"/>
  <c r="G363" i="3"/>
  <c r="BA365" i="3"/>
  <c r="AZ365" i="3" s="1"/>
  <c r="BL366" i="3"/>
  <c r="G367" i="3"/>
  <c r="BA369" i="3"/>
  <c r="AZ369" i="3"/>
  <c r="BL370" i="3"/>
  <c r="G371" i="3"/>
  <c r="BA373" i="3"/>
  <c r="AZ373" i="3"/>
  <c r="BL374" i="3"/>
  <c r="AZ374" i="3" s="1"/>
  <c r="G375" i="3"/>
  <c r="BA377" i="3"/>
  <c r="AZ377" i="3" s="1"/>
  <c r="AZ253" i="3"/>
  <c r="AZ257" i="3"/>
  <c r="AZ261" i="3"/>
  <c r="AZ273" i="3"/>
  <c r="AZ370" i="3"/>
  <c r="BA379" i="3"/>
  <c r="AZ379" i="3"/>
  <c r="BL380" i="3"/>
  <c r="AZ380" i="3" s="1"/>
  <c r="G381" i="3"/>
  <c r="BA383" i="3"/>
  <c r="AZ383" i="3"/>
  <c r="BL384" i="3"/>
  <c r="G385" i="3"/>
  <c r="BA387" i="3"/>
  <c r="BL388" i="3"/>
  <c r="G389" i="3"/>
  <c r="BA391" i="3"/>
  <c r="AZ391" i="3"/>
  <c r="BL392" i="3"/>
  <c r="G393" i="3"/>
  <c r="AZ275" i="3"/>
  <c r="AZ283" i="3"/>
  <c r="AZ291" i="3"/>
  <c r="AZ295" i="3"/>
  <c r="AZ299" i="3"/>
  <c r="BH5" i="3"/>
  <c r="G520" i="3"/>
  <c r="G502" i="3"/>
  <c r="BI5" i="3"/>
  <c r="G17" i="3"/>
  <c r="BA17" i="3"/>
  <c r="AZ17" i="3" s="1"/>
  <c r="AZ350" i="3"/>
  <c r="AZ352" i="3"/>
  <c r="AZ356" i="3"/>
  <c r="BA15" i="3"/>
  <c r="BB5" i="3"/>
  <c r="E8" i="6" s="1"/>
  <c r="AZ384" i="3"/>
  <c r="AZ388" i="3"/>
  <c r="AZ392" i="3"/>
  <c r="AZ396" i="3"/>
  <c r="BL493" i="3"/>
  <c r="AZ491" i="3"/>
  <c r="U36" i="40"/>
  <c r="F36" i="43"/>
  <c r="F81" i="43"/>
  <c r="H113" i="43"/>
  <c r="D17" i="43"/>
  <c r="F39" i="43"/>
  <c r="I17" i="43"/>
  <c r="F35" i="43"/>
  <c r="J17" i="43"/>
  <c r="F6" i="1"/>
  <c r="G6" i="1" s="1"/>
  <c r="S14" i="35"/>
  <c r="U43" i="21"/>
  <c r="U35" i="21"/>
  <c r="AC35" i="21"/>
  <c r="U10" i="21"/>
  <c r="G8" i="1"/>
  <c r="G9" i="1"/>
  <c r="G10" i="1"/>
  <c r="S15" i="37"/>
  <c r="U13" i="37"/>
  <c r="U12" i="40"/>
  <c r="J37" i="33"/>
  <c r="AC37" i="33" s="1"/>
  <c r="W37" i="33"/>
  <c r="AC17" i="34"/>
  <c r="J34" i="33"/>
  <c r="W34" i="33" s="1"/>
  <c r="F33" i="34"/>
  <c r="S33" i="34" s="1"/>
  <c r="H20" i="36"/>
  <c r="J20" i="36"/>
  <c r="W20" i="36"/>
  <c r="W24" i="36"/>
  <c r="J27" i="36"/>
  <c r="W27" i="36"/>
  <c r="AC33" i="40"/>
  <c r="F111" i="40"/>
  <c r="G111" i="40"/>
  <c r="H111" i="40"/>
  <c r="I111" i="40"/>
  <c r="J111" i="40" s="1"/>
  <c r="K111" i="40" s="1"/>
  <c r="L111" i="40" s="1"/>
  <c r="M111" i="40" s="1"/>
  <c r="H35" i="40"/>
  <c r="AB35" i="40"/>
  <c r="AC29" i="35"/>
  <c r="W29" i="35"/>
  <c r="H35" i="37"/>
  <c r="U35" i="37"/>
  <c r="AC14" i="35"/>
  <c r="H20" i="35"/>
  <c r="U20" i="35" s="1"/>
  <c r="F20" i="35"/>
  <c r="AA20" i="35" s="1"/>
  <c r="H32" i="37"/>
  <c r="AB32" i="37" s="1"/>
  <c r="F96" i="37"/>
  <c r="H27" i="40"/>
  <c r="AB27" i="40" s="1"/>
  <c r="U27" i="40"/>
  <c r="J27" i="40"/>
  <c r="AC27" i="40" s="1"/>
  <c r="F27" i="40"/>
  <c r="S27" i="40"/>
  <c r="J30" i="40"/>
  <c r="AC30" i="40" s="1"/>
  <c r="F30" i="40"/>
  <c r="AA30" i="40" s="1"/>
  <c r="AC21" i="40"/>
  <c r="S31" i="39"/>
  <c r="S11" i="40"/>
  <c r="E98" i="40"/>
  <c r="F98" i="40"/>
  <c r="G98" i="40" s="1"/>
  <c r="H98" i="40"/>
  <c r="I98" i="40" s="1"/>
  <c r="J98" i="40" s="1"/>
  <c r="K98" i="40" s="1"/>
  <c r="L98" i="40" s="1"/>
  <c r="M98" i="40" s="1"/>
  <c r="F10" i="33"/>
  <c r="S10" i="33" s="1"/>
  <c r="F34" i="33"/>
  <c r="AA34" i="33" s="1"/>
  <c r="S34" i="33"/>
  <c r="H34" i="33"/>
  <c r="U34" i="33" s="1"/>
  <c r="F35" i="33"/>
  <c r="S35" i="33" s="1"/>
  <c r="F39" i="34"/>
  <c r="S39" i="34" s="1"/>
  <c r="J39" i="34"/>
  <c r="W39" i="34" s="1"/>
  <c r="F40" i="34"/>
  <c r="S40" i="34" s="1"/>
  <c r="F43" i="34"/>
  <c r="S43" i="34" s="1"/>
  <c r="AA43" i="34"/>
  <c r="H44" i="34"/>
  <c r="AB44" i="34" s="1"/>
  <c r="F39" i="39"/>
  <c r="AA39" i="39" s="1"/>
  <c r="J39" i="39"/>
  <c r="AC39" i="39" s="1"/>
  <c r="E97" i="39"/>
  <c r="F97" i="39" s="1"/>
  <c r="G97" i="39" s="1"/>
  <c r="AZ386" i="3"/>
  <c r="C40" i="11"/>
  <c r="AZ227" i="3"/>
  <c r="AZ232" i="3"/>
  <c r="AZ240" i="3"/>
  <c r="AZ248" i="3"/>
  <c r="AZ280" i="3"/>
  <c r="AZ288" i="3"/>
  <c r="AZ296" i="3"/>
  <c r="AZ117" i="3"/>
  <c r="AZ130" i="3"/>
  <c r="AZ133" i="3"/>
  <c r="AZ29" i="3"/>
  <c r="AZ42" i="3"/>
  <c r="AZ50" i="3"/>
  <c r="AZ53" i="3"/>
  <c r="AZ58" i="3"/>
  <c r="AZ82" i="3"/>
  <c r="AZ102" i="3"/>
  <c r="AZ110" i="3"/>
  <c r="F23" i="39"/>
  <c r="AA23" i="39" s="1"/>
  <c r="H27" i="36"/>
  <c r="U27" i="36" s="1"/>
  <c r="F27" i="36"/>
  <c r="S27" i="36" s="1"/>
  <c r="AA27" i="36"/>
  <c r="H33" i="34"/>
  <c r="U33" i="34" s="1"/>
  <c r="F32" i="37"/>
  <c r="S32" i="37" s="1"/>
  <c r="AA32" i="37"/>
  <c r="G96" i="37"/>
  <c r="H96" i="37" s="1"/>
  <c r="I96" i="37" s="1"/>
  <c r="J96" i="37" s="1"/>
  <c r="K96" i="37" s="1"/>
  <c r="L96" i="37" s="1"/>
  <c r="M96" i="37" s="1"/>
  <c r="F20" i="36"/>
  <c r="AA20" i="36" s="1"/>
  <c r="J33" i="34"/>
  <c r="AC33" i="34"/>
  <c r="H23" i="39"/>
  <c r="U23" i="39" s="1"/>
  <c r="K9" i="1"/>
  <c r="M9" i="1" s="1"/>
  <c r="AE9" i="1"/>
  <c r="D93" i="9"/>
  <c r="AC26" i="33"/>
  <c r="W27" i="34"/>
  <c r="AC27" i="34"/>
  <c r="AC12" i="39"/>
  <c r="W12" i="39"/>
  <c r="AC39" i="40"/>
  <c r="W39" i="40"/>
  <c r="AZ401" i="3"/>
  <c r="AZ412" i="3"/>
  <c r="AZ433" i="3"/>
  <c r="AZ465" i="3"/>
  <c r="AA32" i="36"/>
  <c r="S32" i="36"/>
  <c r="AZ408" i="3"/>
  <c r="AZ457" i="3"/>
  <c r="AZ490" i="3"/>
  <c r="BL14" i="3"/>
  <c r="AZ266" i="3"/>
  <c r="AA47" i="34"/>
  <c r="W28" i="37"/>
  <c r="S19" i="39"/>
  <c r="F12" i="33"/>
  <c r="H12" i="39"/>
  <c r="AB12" i="39" s="1"/>
  <c r="F39" i="40"/>
  <c r="S39" i="40" s="1"/>
  <c r="BA14" i="3"/>
  <c r="AZ224" i="3"/>
  <c r="AZ238" i="3"/>
  <c r="AZ281" i="3"/>
  <c r="AZ286" i="3"/>
  <c r="AZ297" i="3"/>
  <c r="AZ165" i="3"/>
  <c r="AZ189" i="3"/>
  <c r="AZ197" i="3"/>
  <c r="AZ35" i="3"/>
  <c r="S12" i="1"/>
  <c r="AR12" i="1" s="1"/>
  <c r="R12" i="1"/>
  <c r="B12" i="1"/>
  <c r="E12" i="1"/>
  <c r="S10" i="1"/>
  <c r="AQ10" i="1" s="1"/>
  <c r="R10" i="1"/>
  <c r="B10" i="1"/>
  <c r="E10" i="1"/>
  <c r="AZ84" i="3"/>
  <c r="AZ107" i="3"/>
  <c r="AZ111" i="3"/>
  <c r="K12" i="1"/>
  <c r="M12" i="1" s="1"/>
  <c r="O12" i="1" s="1"/>
  <c r="P12" i="1" s="1"/>
  <c r="S13" i="1"/>
  <c r="AR13" i="1" s="1"/>
  <c r="R13" i="1"/>
  <c r="S11" i="1"/>
  <c r="AQ11" i="1" s="1"/>
  <c r="R11" i="1"/>
  <c r="S9" i="1"/>
  <c r="AR9" i="1" s="1"/>
  <c r="R9" i="1"/>
  <c r="J51" i="67"/>
  <c r="C42" i="1"/>
  <c r="C77" i="9" s="1"/>
  <c r="C74" i="9" s="1"/>
  <c r="H100" i="43"/>
  <c r="C30" i="66"/>
  <c r="B41" i="1"/>
  <c r="F48" i="9" s="1"/>
  <c r="O52" i="9" s="1"/>
  <c r="S22" i="31"/>
  <c r="R22" i="31" s="1"/>
  <c r="J100" i="43"/>
  <c r="S35" i="40"/>
  <c r="U35" i="40"/>
  <c r="AC36" i="40"/>
  <c r="AA32" i="40"/>
  <c r="S23" i="40"/>
  <c r="AC17" i="40"/>
  <c r="AC15" i="40"/>
  <c r="S30" i="40"/>
  <c r="S28" i="40"/>
  <c r="AA27" i="40"/>
  <c r="U21" i="40"/>
  <c r="U37" i="39"/>
  <c r="F32" i="39"/>
  <c r="S32" i="39" s="1"/>
  <c r="G107" i="39"/>
  <c r="H107" i="39" s="1"/>
  <c r="I107" i="39" s="1"/>
  <c r="J107" i="39" s="1"/>
  <c r="K107" i="39" s="1"/>
  <c r="L107" i="39" s="1"/>
  <c r="M107" i="39" s="1"/>
  <c r="U25" i="39"/>
  <c r="S25" i="39"/>
  <c r="F21" i="39"/>
  <c r="AA21" i="39" s="1"/>
  <c r="U14" i="39"/>
  <c r="AC13" i="39"/>
  <c r="U12" i="39"/>
  <c r="S23" i="36"/>
  <c r="U13" i="36"/>
  <c r="AC27" i="36"/>
  <c r="AB27" i="36"/>
  <c r="S33" i="36"/>
  <c r="AA26" i="36"/>
  <c r="S29" i="36"/>
  <c r="AB14" i="36"/>
  <c r="U22" i="36"/>
  <c r="S16" i="36"/>
  <c r="AA25" i="36"/>
  <c r="U24" i="36"/>
  <c r="U23" i="36"/>
  <c r="U16" i="36"/>
  <c r="S14" i="36"/>
  <c r="U10" i="36"/>
  <c r="AA25" i="35"/>
  <c r="W24" i="35"/>
  <c r="U29" i="35"/>
  <c r="U28" i="35"/>
  <c r="AB27" i="35"/>
  <c r="U32" i="35"/>
  <c r="AA33" i="35"/>
  <c r="AC30" i="35"/>
  <c r="S32" i="35"/>
  <c r="AA36" i="35"/>
  <c r="W32" i="35"/>
  <c r="S28" i="35"/>
  <c r="U22" i="35"/>
  <c r="AC20" i="35"/>
  <c r="S22" i="35"/>
  <c r="U14" i="35"/>
  <c r="AC10" i="35"/>
  <c r="AA10" i="35"/>
  <c r="AB10" i="35"/>
  <c r="S8" i="35"/>
  <c r="AC9" i="35"/>
  <c r="W9" i="35"/>
  <c r="AC12" i="35"/>
  <c r="W13" i="35"/>
  <c r="F9" i="35"/>
  <c r="S9" i="35" s="1"/>
  <c r="H9" i="35"/>
  <c r="F26" i="35"/>
  <c r="AA26" i="35"/>
  <c r="J26" i="35"/>
  <c r="W26" i="35" s="1"/>
  <c r="H26" i="35"/>
  <c r="AB40" i="37"/>
  <c r="W27" i="37"/>
  <c r="S26" i="37"/>
  <c r="AC29" i="37"/>
  <c r="U29" i="37"/>
  <c r="AB31" i="37"/>
  <c r="W30" i="37"/>
  <c r="S36" i="37"/>
  <c r="AA38" i="37"/>
  <c r="AC35" i="37"/>
  <c r="W39" i="37"/>
  <c r="S30" i="37"/>
  <c r="AC15" i="37"/>
  <c r="J17" i="37"/>
  <c r="W17" i="37"/>
  <c r="G73" i="37"/>
  <c r="F17" i="37"/>
  <c r="AB17" i="37"/>
  <c r="F75" i="37"/>
  <c r="F19" i="37"/>
  <c r="AA19" i="37" s="1"/>
  <c r="F79" i="37"/>
  <c r="F23" i="37"/>
  <c r="S23" i="37" s="1"/>
  <c r="U15" i="37"/>
  <c r="AC13" i="37"/>
  <c r="U9" i="37"/>
  <c r="AA9" i="37"/>
  <c r="H10" i="37"/>
  <c r="AB10" i="37" s="1"/>
  <c r="H60" i="37"/>
  <c r="F63" i="37"/>
  <c r="F11" i="37"/>
  <c r="AA11" i="37" s="1"/>
  <c r="S11" i="37"/>
  <c r="S27" i="34"/>
  <c r="W25" i="34"/>
  <c r="AB8" i="34"/>
  <c r="AA33" i="34"/>
  <c r="U44" i="34"/>
  <c r="W41" i="34"/>
  <c r="AC42" i="34"/>
  <c r="U39" i="34"/>
  <c r="W34" i="34"/>
  <c r="AA25" i="34"/>
  <c r="U28" i="34"/>
  <c r="U27" i="34"/>
  <c r="S23" i="34"/>
  <c r="S10" i="34"/>
  <c r="S13" i="34"/>
  <c r="H67" i="34"/>
  <c r="I67" i="34" s="1"/>
  <c r="H10" i="34"/>
  <c r="F11" i="34"/>
  <c r="S11" i="34"/>
  <c r="F70" i="34"/>
  <c r="G70" i="34" s="1"/>
  <c r="H70" i="34" s="1"/>
  <c r="I70" i="34" s="1"/>
  <c r="J70" i="34" s="1"/>
  <c r="K70" i="34" s="1"/>
  <c r="L70" i="34" s="1"/>
  <c r="M70" i="34" s="1"/>
  <c r="W42" i="33"/>
  <c r="S27" i="33"/>
  <c r="S32" i="33"/>
  <c r="AB29" i="33"/>
  <c r="W38" i="33"/>
  <c r="H41" i="33"/>
  <c r="AB41" i="33" s="1"/>
  <c r="F121" i="33"/>
  <c r="G121" i="33"/>
  <c r="H121" i="33" s="1"/>
  <c r="I121" i="33" s="1"/>
  <c r="J121" i="33" s="1"/>
  <c r="K121" i="33" s="1"/>
  <c r="L121" i="33" s="1"/>
  <c r="M121" i="33" s="1"/>
  <c r="U42" i="33"/>
  <c r="S42" i="33"/>
  <c r="F36" i="33"/>
  <c r="S36" i="33" s="1"/>
  <c r="G111" i="33"/>
  <c r="H111" i="33" s="1"/>
  <c r="H108" i="33"/>
  <c r="I108" i="33"/>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F87" i="33"/>
  <c r="H25" i="33"/>
  <c r="F25" i="33"/>
  <c r="S25" i="33" s="1"/>
  <c r="J23" i="33"/>
  <c r="F85" i="33"/>
  <c r="H23" i="33"/>
  <c r="F81" i="33"/>
  <c r="F19" i="33"/>
  <c r="S19" i="33"/>
  <c r="W19" i="33"/>
  <c r="J17" i="33"/>
  <c r="AC17" i="33" s="1"/>
  <c r="S15" i="33"/>
  <c r="W15" i="33"/>
  <c r="I66" i="33"/>
  <c r="J10" i="33"/>
  <c r="H10" i="33"/>
  <c r="U10" i="33" s="1"/>
  <c r="AA10"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F70" i="43" s="1"/>
  <c r="C18" i="9"/>
  <c r="D18" i="9" s="1"/>
  <c r="F34" i="67"/>
  <c r="F62" i="67" s="1"/>
  <c r="M20" i="67"/>
  <c r="F34" i="15"/>
  <c r="F62" i="15" s="1"/>
  <c r="BA13" i="3"/>
  <c r="BL17" i="3"/>
  <c r="BL13" i="3"/>
  <c r="J56" i="9"/>
  <c r="J57" i="9" s="1"/>
  <c r="J59" i="9" s="1"/>
  <c r="J61" i="9" s="1"/>
  <c r="A24" i="51"/>
  <c r="B18" i="72" s="1"/>
  <c r="U29" i="34"/>
  <c r="E5" i="6"/>
  <c r="D9" i="11" s="1"/>
  <c r="C9" i="11" s="1"/>
  <c r="P10" i="1"/>
  <c r="E32" i="6"/>
  <c r="G1" i="68"/>
  <c r="K1" i="12"/>
  <c r="AR10" i="1"/>
  <c r="E19" i="69"/>
  <c r="E19" i="68"/>
  <c r="E19" i="11"/>
  <c r="E1" i="73"/>
  <c r="G22" i="68"/>
  <c r="G22" i="11"/>
  <c r="C100" i="43"/>
  <c r="E11" i="43"/>
  <c r="E10" i="43"/>
  <c r="E9" i="43"/>
  <c r="E8" i="43"/>
  <c r="C7" i="43"/>
  <c r="E81" i="43"/>
  <c r="B79" i="43" s="1"/>
  <c r="F100" i="43"/>
  <c r="H17" i="43"/>
  <c r="H8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59" i="34"/>
  <c r="D59" i="34" s="1"/>
  <c r="E59" i="34" s="1"/>
  <c r="F59" i="34" s="1"/>
  <c r="G59" i="34" s="1"/>
  <c r="H59" i="34" s="1"/>
  <c r="I59" i="34" s="1"/>
  <c r="J59" i="34" s="1"/>
  <c r="C52" i="37"/>
  <c r="D52" i="37" s="1"/>
  <c r="A4" i="51"/>
  <c r="B6" i="72" s="1"/>
  <c r="H66" i="43"/>
  <c r="H65" i="43"/>
  <c r="H64" i="43"/>
  <c r="H63" i="43"/>
  <c r="L20" i="6"/>
  <c r="B6" i="1"/>
  <c r="E6" i="1" s="1"/>
  <c r="S8" i="1"/>
  <c r="AQ8" i="1" s="1"/>
  <c r="K11" i="1"/>
  <c r="M11" i="1" s="1"/>
  <c r="B9" i="1"/>
  <c r="E9" i="1"/>
  <c r="K7" i="1"/>
  <c r="G1" i="15"/>
  <c r="G1" i="69"/>
  <c r="G1" i="67"/>
  <c r="W23" i="40"/>
  <c r="U32" i="40"/>
  <c r="S37" i="40"/>
  <c r="AB28" i="40"/>
  <c r="W28" i="40"/>
  <c r="W34" i="40"/>
  <c r="W19" i="40"/>
  <c r="W27" i="40"/>
  <c r="S36" i="40"/>
  <c r="AC14" i="40"/>
  <c r="S13" i="40"/>
  <c r="S33" i="40"/>
  <c r="U11" i="40"/>
  <c r="S31" i="40"/>
  <c r="AB13" i="40"/>
  <c r="U15" i="40"/>
  <c r="AB17" i="40"/>
  <c r="U8" i="40"/>
  <c r="S8" i="40"/>
  <c r="U42" i="39"/>
  <c r="AB23" i="39"/>
  <c r="W25" i="39"/>
  <c r="S13" i="39"/>
  <c r="AA14" i="39"/>
  <c r="W31" i="39"/>
  <c r="AC31" i="39"/>
  <c r="AA45" i="39"/>
  <c r="W34" i="39"/>
  <c r="AC25" i="36"/>
  <c r="S28" i="36"/>
  <c r="U32" i="36"/>
  <c r="W29" i="36"/>
  <c r="AC20" i="36"/>
  <c r="U25" i="36"/>
  <c r="AA13" i="36"/>
  <c r="W22" i="36"/>
  <c r="W23" i="36"/>
  <c r="S9" i="36"/>
  <c r="S24" i="35"/>
  <c r="W33" i="35"/>
  <c r="AA30" i="35"/>
  <c r="S35" i="35"/>
  <c r="W35" i="35"/>
  <c r="AA16" i="35"/>
  <c r="W36" i="37"/>
  <c r="S27" i="37"/>
  <c r="S28" i="37"/>
  <c r="U36" i="37"/>
  <c r="S40" i="37"/>
  <c r="U38" i="37"/>
  <c r="S33" i="37"/>
  <c r="AC34" i="37"/>
  <c r="AB35" i="37"/>
  <c r="U19" i="37"/>
  <c r="AA29" i="37"/>
  <c r="AA8" i="37"/>
  <c r="U8" i="37"/>
  <c r="AA40" i="34"/>
  <c r="AB40" i="34"/>
  <c r="AB33" i="34"/>
  <c r="AC45" i="34"/>
  <c r="AB47" i="34"/>
  <c r="AB36" i="34"/>
  <c r="W33" i="34"/>
  <c r="AC14" i="34"/>
  <c r="AC32" i="34"/>
  <c r="AC29" i="34"/>
  <c r="W29" i="34"/>
  <c r="S32" i="34"/>
  <c r="AA32" i="34"/>
  <c r="S37" i="34"/>
  <c r="U38" i="34"/>
  <c r="AC40" i="34"/>
  <c r="AA19" i="34"/>
  <c r="S19" i="34"/>
  <c r="AA36" i="34"/>
  <c r="AA8" i="34"/>
  <c r="S8" i="34"/>
  <c r="AB9" i="34"/>
  <c r="U9" i="34"/>
  <c r="U14" i="34"/>
  <c r="AB14" i="34"/>
  <c r="AC43" i="34"/>
  <c r="W43" i="34"/>
  <c r="AA11" i="34"/>
  <c r="W23" i="34"/>
  <c r="AC35" i="34"/>
  <c r="W35" i="34"/>
  <c r="U39" i="33"/>
  <c r="U38" i="33"/>
  <c r="S33" i="33"/>
  <c r="U44" i="33"/>
  <c r="AB44" i="33"/>
  <c r="AC14" i="33"/>
  <c r="W14" i="33"/>
  <c r="U15" i="33"/>
  <c r="S11" i="33"/>
  <c r="AC28" i="33"/>
  <c r="S28" i="33"/>
  <c r="W8" i="33"/>
  <c r="S44" i="21"/>
  <c r="AB42" i="21"/>
  <c r="U28" i="21"/>
  <c r="AA11" i="21"/>
  <c r="I101" i="21"/>
  <c r="J101" i="21"/>
  <c r="K101" i="21" s="1"/>
  <c r="L101" i="21" s="1"/>
  <c r="M101" i="21" s="1"/>
  <c r="F33" i="21"/>
  <c r="S33" i="21" s="1"/>
  <c r="J33" i="21"/>
  <c r="H33" i="21"/>
  <c r="AB33" i="21" s="1"/>
  <c r="F37" i="21"/>
  <c r="AA37" i="21" s="1"/>
  <c r="AA26" i="21"/>
  <c r="AB14" i="21"/>
  <c r="AB46" i="21"/>
  <c r="U40" i="21"/>
  <c r="AB31" i="21"/>
  <c r="U31" i="21"/>
  <c r="AC15" i="21"/>
  <c r="AB13" i="21"/>
  <c r="W8" i="21"/>
  <c r="S35" i="21"/>
  <c r="J37" i="21"/>
  <c r="AC37" i="21" s="1"/>
  <c r="W37" i="21"/>
  <c r="H15" i="21"/>
  <c r="J17" i="21"/>
  <c r="AC17" i="21" s="1"/>
  <c r="AC19" i="21"/>
  <c r="W39" i="21"/>
  <c r="AC14" i="21"/>
  <c r="W30" i="21"/>
  <c r="S46" i="21"/>
  <c r="F29" i="21"/>
  <c r="AA29" i="21" s="1"/>
  <c r="F13" i="21"/>
  <c r="AA13" i="21"/>
  <c r="AC38" i="21"/>
  <c r="H32" i="21"/>
  <c r="J9" i="21"/>
  <c r="W9" i="21" s="1"/>
  <c r="J32" i="21"/>
  <c r="AC32" i="21" s="1"/>
  <c r="F32" i="21"/>
  <c r="AA32" i="21" s="1"/>
  <c r="U17" i="21"/>
  <c r="W29" i="21"/>
  <c r="S19" i="21"/>
  <c r="K141" i="21"/>
  <c r="K144" i="21"/>
  <c r="K143" i="21"/>
  <c r="AB25" i="21"/>
  <c r="W13" i="21"/>
  <c r="W42" i="21"/>
  <c r="F10" i="21"/>
  <c r="K145" i="21"/>
  <c r="W17" i="21"/>
  <c r="W25" i="21"/>
  <c r="S27" i="21"/>
  <c r="S17" i="21"/>
  <c r="AC26" i="21"/>
  <c r="AB29" i="21"/>
  <c r="AC34" i="21"/>
  <c r="W10" i="21"/>
  <c r="AB36" i="21"/>
  <c r="C19" i="39"/>
  <c r="C15" i="40"/>
  <c r="C17" i="40"/>
  <c r="C23" i="40"/>
  <c r="C21" i="40"/>
  <c r="B65" i="43"/>
  <c r="B49" i="43"/>
  <c r="B52" i="43"/>
  <c r="B56" i="43"/>
  <c r="B60" i="43"/>
  <c r="B63" i="43"/>
  <c r="B67" i="43"/>
  <c r="D23" i="15"/>
  <c r="D22" i="15"/>
  <c r="E4" i="4"/>
  <c r="B5" i="62" s="1"/>
  <c r="B73" i="72" s="1"/>
  <c r="C4" i="4"/>
  <c r="AQ13" i="1"/>
  <c r="S7" i="1"/>
  <c r="AQ7" i="1" s="1"/>
  <c r="E7" i="70"/>
  <c r="S12" i="33"/>
  <c r="AA12" i="33"/>
  <c r="J32" i="39"/>
  <c r="AC32" i="39" s="1"/>
  <c r="H32" i="39"/>
  <c r="U32" i="39" s="1"/>
  <c r="S21" i="39"/>
  <c r="S26" i="35"/>
  <c r="U9" i="35"/>
  <c r="AB9" i="35"/>
  <c r="AA9" i="35"/>
  <c r="AB26" i="35"/>
  <c r="U26" i="35"/>
  <c r="AC17" i="37"/>
  <c r="J19" i="37"/>
  <c r="G75" i="37"/>
  <c r="S19" i="37"/>
  <c r="J23" i="37"/>
  <c r="W23" i="37" s="1"/>
  <c r="G79" i="37"/>
  <c r="J10" i="37"/>
  <c r="I60" i="37"/>
  <c r="G63" i="37"/>
  <c r="H63" i="37" s="1"/>
  <c r="H11" i="37"/>
  <c r="U10" i="37"/>
  <c r="H11" i="34"/>
  <c r="AB10" i="34"/>
  <c r="U10" i="34"/>
  <c r="J10" i="34"/>
  <c r="W10" i="34" s="1"/>
  <c r="U41" i="33"/>
  <c r="W35" i="33"/>
  <c r="I111" i="33"/>
  <c r="J111" i="33"/>
  <c r="K111" i="33"/>
  <c r="L111" i="33" s="1"/>
  <c r="M111" i="33" s="1"/>
  <c r="J36" i="33"/>
  <c r="AC36" i="33" s="1"/>
  <c r="H36" i="33"/>
  <c r="AB36" i="33" s="1"/>
  <c r="W32" i="33"/>
  <c r="G91" i="33"/>
  <c r="H91" i="33" s="1"/>
  <c r="I91" i="33" s="1"/>
  <c r="J91" i="33" s="1"/>
  <c r="K91" i="33" s="1"/>
  <c r="L91" i="33" s="1"/>
  <c r="M91" i="33" s="1"/>
  <c r="J27" i="33"/>
  <c r="W27" i="33" s="1"/>
  <c r="U25" i="33"/>
  <c r="AB25" i="33"/>
  <c r="G87" i="33"/>
  <c r="H87" i="33"/>
  <c r="I87" i="33" s="1"/>
  <c r="J87" i="33"/>
  <c r="K87" i="33" s="1"/>
  <c r="L87" i="33" s="1"/>
  <c r="M87" i="33" s="1"/>
  <c r="J25" i="33"/>
  <c r="AC25" i="33" s="1"/>
  <c r="AB23" i="33"/>
  <c r="U23" i="33"/>
  <c r="F23" i="33"/>
  <c r="G85" i="33"/>
  <c r="AC23" i="33"/>
  <c r="W23" i="33"/>
  <c r="AA19" i="33"/>
  <c r="H19" i="33"/>
  <c r="U19" i="33" s="1"/>
  <c r="G81" i="33"/>
  <c r="G79" i="33"/>
  <c r="H17" i="33"/>
  <c r="F17" i="33"/>
  <c r="W17" i="33"/>
  <c r="AB10" i="33"/>
  <c r="AC10" i="33"/>
  <c r="W10" i="33"/>
  <c r="U33" i="21"/>
  <c r="J23" i="21"/>
  <c r="W23" i="21" s="1"/>
  <c r="F85" i="21"/>
  <c r="G85" i="21" s="1"/>
  <c r="H23" i="21"/>
  <c r="S13" i="21"/>
  <c r="AP7" i="1"/>
  <c r="AC33" i="21"/>
  <c r="W33" i="21"/>
  <c r="AA33" i="21"/>
  <c r="W32" i="21"/>
  <c r="S32" i="21"/>
  <c r="AC9" i="21"/>
  <c r="AB32" i="21"/>
  <c r="U32" i="21"/>
  <c r="AA10" i="21"/>
  <c r="S10" i="21"/>
  <c r="W32" i="39"/>
  <c r="W19" i="37"/>
  <c r="AC19" i="37"/>
  <c r="AC23" i="37"/>
  <c r="AB11" i="37"/>
  <c r="U11" i="37"/>
  <c r="I63" i="37"/>
  <c r="J63" i="37"/>
  <c r="K63" i="37"/>
  <c r="L63" i="37" s="1"/>
  <c r="M63" i="37" s="1"/>
  <c r="J11" i="37"/>
  <c r="W10" i="37"/>
  <c r="AC10" i="37"/>
  <c r="U11" i="34"/>
  <c r="AB11" i="34"/>
  <c r="J11" i="34"/>
  <c r="AC11" i="34" s="1"/>
  <c r="W36" i="33"/>
  <c r="U36" i="33"/>
  <c r="W25" i="33"/>
  <c r="AA23" i="33"/>
  <c r="S23" i="33"/>
  <c r="AB19" i="33"/>
  <c r="AA17" i="33"/>
  <c r="S17" i="33"/>
  <c r="U17" i="33"/>
  <c r="AB17" i="33"/>
  <c r="U23" i="21"/>
  <c r="AB23" i="21"/>
  <c r="AC11" i="37"/>
  <c r="W11" i="37"/>
  <c r="W11" i="34"/>
  <c r="R7" i="1"/>
  <c r="R8" i="1"/>
  <c r="AE7" i="1"/>
  <c r="AE8" i="1"/>
  <c r="AG6" i="1"/>
  <c r="H109" i="9"/>
  <c r="D124" i="9" s="1"/>
  <c r="H14" i="74" s="1"/>
  <c r="B7" i="74" s="1"/>
  <c r="D16" i="53"/>
  <c r="D17" i="53" s="1"/>
  <c r="B36" i="72" s="1"/>
  <c r="D125" i="9"/>
  <c r="D11" i="52" s="1"/>
  <c r="H112" i="9"/>
  <c r="D21" i="53" s="1"/>
  <c r="B39" i="72" s="1"/>
  <c r="H111" i="9"/>
  <c r="D126" i="9" s="1"/>
  <c r="I14" i="74" s="1"/>
  <c r="B8" i="74" s="1"/>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C15" i="71"/>
  <c r="C14" i="71" s="1"/>
  <c r="C13" i="71" s="1"/>
  <c r="C12" i="71" s="1"/>
  <c r="D15" i="71"/>
  <c r="D16" i="71"/>
  <c r="D17" i="71"/>
  <c r="U17" i="71"/>
  <c r="S17" i="71"/>
  <c r="T17" i="71"/>
  <c r="AB15" i="71"/>
  <c r="X13" i="71"/>
  <c r="X12" i="71"/>
  <c r="AA13" i="71"/>
  <c r="AA12" i="71"/>
  <c r="X16" i="71"/>
  <c r="Y12" i="71"/>
  <c r="Z12" i="71" s="1"/>
  <c r="AB13" i="71"/>
  <c r="AB12" i="71"/>
  <c r="S13" i="71"/>
  <c r="Y13" i="71"/>
  <c r="Z13" i="71" s="1"/>
  <c r="X3" i="71"/>
  <c r="E14" i="71"/>
  <c r="E13" i="71" s="1"/>
  <c r="D14" i="71"/>
  <c r="T13" i="71"/>
  <c r="M21" i="67"/>
  <c r="M6" i="15"/>
  <c r="M29" i="67"/>
  <c r="B8" i="76"/>
  <c r="F7" i="73"/>
  <c r="B11" i="76"/>
  <c r="F6" i="73"/>
  <c r="AO11" i="1"/>
  <c r="F41" i="67"/>
  <c r="B10" i="76"/>
  <c r="B7" i="76"/>
  <c r="AO8" i="1"/>
  <c r="F26" i="67"/>
  <c r="F16" i="67"/>
  <c r="F13" i="15"/>
  <c r="M26" i="15"/>
  <c r="E13" i="76"/>
  <c r="D2" i="34"/>
  <c r="AO13" i="1"/>
  <c r="E10" i="76"/>
  <c r="F4" i="73"/>
  <c r="M28" i="15"/>
  <c r="D2" i="33"/>
  <c r="M9" i="15"/>
  <c r="B13" i="76"/>
  <c r="E2" i="69"/>
  <c r="F5" i="73"/>
  <c r="M27" i="67"/>
  <c r="L47" i="67"/>
  <c r="D4" i="73"/>
  <c r="F38" i="15"/>
  <c r="D2" i="36"/>
  <c r="D2" i="37"/>
  <c r="AO10" i="1"/>
  <c r="E9" i="76"/>
  <c r="C76" i="15"/>
  <c r="C76" i="67"/>
  <c r="M26" i="67"/>
  <c r="E2" i="68"/>
  <c r="F16" i="15"/>
  <c r="E11" i="76"/>
  <c r="E7" i="76"/>
  <c r="E8" i="76"/>
  <c r="M24" i="15"/>
  <c r="J15" i="15"/>
  <c r="F26" i="15"/>
  <c r="D2" i="35"/>
  <c r="AO12" i="1"/>
  <c r="B9" i="76"/>
  <c r="B12" i="76"/>
  <c r="E12" i="76"/>
  <c r="F6" i="67"/>
  <c r="F3" i="73"/>
  <c r="J15" i="67"/>
  <c r="AO9" i="1"/>
  <c r="D2" i="21"/>
  <c r="D5" i="73"/>
  <c r="AO7" i="1"/>
  <c r="F20" i="31"/>
  <c r="AC41" i="39" l="1"/>
  <c r="AA41" i="39"/>
  <c r="U40" i="39"/>
  <c r="W40" i="39"/>
  <c r="W42" i="39"/>
  <c r="AB39" i="39"/>
  <c r="S39" i="39"/>
  <c r="AB32" i="39"/>
  <c r="W23" i="39"/>
  <c r="AC15" i="39"/>
  <c r="S15" i="39"/>
  <c r="D10" i="52"/>
  <c r="H110" i="9"/>
  <c r="D18" i="53" s="1"/>
  <c r="B35" i="72" s="1"/>
  <c r="D19" i="53"/>
  <c r="K56" i="9"/>
  <c r="E12" i="71"/>
  <c r="E11" i="71" s="1"/>
  <c r="E10" i="71" s="1"/>
  <c r="E9" i="71" s="1"/>
  <c r="V13" i="71"/>
  <c r="AZ565" i="3"/>
  <c r="AA45" i="21"/>
  <c r="S45" i="21"/>
  <c r="AA9" i="33"/>
  <c r="S9" i="33"/>
  <c r="AZ567" i="3"/>
  <c r="AZ566" i="3"/>
  <c r="AB34" i="36"/>
  <c r="U34" i="36"/>
  <c r="AZ576" i="3"/>
  <c r="AZ571" i="3"/>
  <c r="AZ557" i="3"/>
  <c r="AZ553" i="3"/>
  <c r="AB31" i="33"/>
  <c r="U31" i="33"/>
  <c r="AC11" i="35"/>
  <c r="W11" i="35"/>
  <c r="U25" i="37"/>
  <c r="AB25" i="37"/>
  <c r="AZ543" i="3"/>
  <c r="AZ539" i="3"/>
  <c r="AZ538" i="3"/>
  <c r="AZ529" i="3"/>
  <c r="AZ526" i="3"/>
  <c r="AZ524" i="3"/>
  <c r="AZ522" i="3"/>
  <c r="AZ521" i="3"/>
  <c r="AZ514" i="3"/>
  <c r="AZ511" i="3"/>
  <c r="AZ510" i="3"/>
  <c r="AZ503" i="3"/>
  <c r="AZ500" i="3"/>
  <c r="AZ494" i="3"/>
  <c r="AZ581" i="3"/>
  <c r="AZ545" i="3"/>
  <c r="AZ535" i="3"/>
  <c r="U39" i="40"/>
  <c r="AB39" i="40"/>
  <c r="BA541" i="3"/>
  <c r="AZ541" i="3" s="1"/>
  <c r="BA540" i="3"/>
  <c r="AZ540" i="3" s="1"/>
  <c r="BL536" i="3"/>
  <c r="BA533" i="3"/>
  <c r="AZ533" i="3" s="1"/>
  <c r="BA532" i="3"/>
  <c r="AZ532" i="3" s="1"/>
  <c r="BL528" i="3"/>
  <c r="AZ528" i="3" s="1"/>
  <c r="BL520" i="3"/>
  <c r="AZ520" i="3" s="1"/>
  <c r="BL519" i="3"/>
  <c r="AZ519" i="3" s="1"/>
  <c r="BL514" i="3"/>
  <c r="BA505" i="3"/>
  <c r="AZ505" i="3" s="1"/>
  <c r="BA502" i="3"/>
  <c r="AZ502" i="3" s="1"/>
  <c r="BL498" i="3"/>
  <c r="BC5" i="3"/>
  <c r="BA497" i="3"/>
  <c r="AZ497" i="3" s="1"/>
  <c r="BL496" i="3"/>
  <c r="BO5" i="3"/>
  <c r="F29" i="6" s="1"/>
  <c r="AC5" i="3"/>
  <c r="AA31" i="37"/>
  <c r="AA29" i="34"/>
  <c r="AB41" i="34"/>
  <c r="S24" i="36"/>
  <c r="U29" i="36"/>
  <c r="BA493" i="3"/>
  <c r="AZ493" i="3" s="1"/>
  <c r="AZ575" i="3"/>
  <c r="BA498" i="3"/>
  <c r="AZ498" i="3" s="1"/>
  <c r="AZ570" i="3"/>
  <c r="S35" i="39"/>
  <c r="AA43" i="39"/>
  <c r="S43" i="39"/>
  <c r="U45" i="33"/>
  <c r="AB45" i="33"/>
  <c r="AC33" i="33"/>
  <c r="W33" i="33"/>
  <c r="AB26" i="36"/>
  <c r="U26" i="36"/>
  <c r="J12" i="37"/>
  <c r="F12" i="37"/>
  <c r="AC38" i="40"/>
  <c r="W38" i="40"/>
  <c r="BL574" i="3"/>
  <c r="AZ574" i="3" s="1"/>
  <c r="G548" i="3"/>
  <c r="BA544" i="3"/>
  <c r="AZ544" i="3" s="1"/>
  <c r="BL539" i="3"/>
  <c r="U15" i="21"/>
  <c r="AB15" i="21"/>
  <c r="AZ537" i="3"/>
  <c r="U28" i="36"/>
  <c r="AB28" i="36"/>
  <c r="W28" i="34"/>
  <c r="AC28" i="34"/>
  <c r="U33" i="35"/>
  <c r="AB33" i="35"/>
  <c r="AB32" i="33"/>
  <c r="U32" i="33"/>
  <c r="BA585" i="3"/>
  <c r="AZ585" i="3" s="1"/>
  <c r="F12" i="21"/>
  <c r="J12" i="21"/>
  <c r="AB43" i="34"/>
  <c r="U43" i="34"/>
  <c r="AA10" i="36"/>
  <c r="S10" i="36"/>
  <c r="W31" i="36"/>
  <c r="AC31" i="36"/>
  <c r="BL569" i="3"/>
  <c r="BA569" i="3"/>
  <c r="AZ569" i="3" s="1"/>
  <c r="BL547" i="3"/>
  <c r="AZ547" i="3" s="1"/>
  <c r="BA525" i="3"/>
  <c r="AZ525" i="3" s="1"/>
  <c r="BL523" i="3"/>
  <c r="AZ523" i="3" s="1"/>
  <c r="BL516" i="3"/>
  <c r="AZ516" i="3" s="1"/>
  <c r="BA515" i="3"/>
  <c r="AZ515" i="3" s="1"/>
  <c r="BA512" i="3"/>
  <c r="AZ512" i="3" s="1"/>
  <c r="BL511" i="3"/>
  <c r="BA508" i="3"/>
  <c r="AZ508" i="3" s="1"/>
  <c r="BK5" i="3"/>
  <c r="BF5" i="3"/>
  <c r="E13" i="6" s="1"/>
  <c r="BA496" i="3"/>
  <c r="BS5" i="3"/>
  <c r="AZ221" i="3"/>
  <c r="C11" i="71"/>
  <c r="D12" i="71"/>
  <c r="AC10" i="34"/>
  <c r="AA23" i="21"/>
  <c r="AA32" i="39"/>
  <c r="U30" i="40"/>
  <c r="AB44" i="21"/>
  <c r="AC25" i="35"/>
  <c r="AA17" i="37"/>
  <c r="S17" i="37"/>
  <c r="S20" i="35"/>
  <c r="H83" i="43"/>
  <c r="H82" i="43"/>
  <c r="AZ337" i="3"/>
  <c r="AA13" i="33"/>
  <c r="W47" i="34"/>
  <c r="U43" i="33"/>
  <c r="AA14" i="37"/>
  <c r="AB25" i="35"/>
  <c r="U25" i="35"/>
  <c r="S15" i="40"/>
  <c r="AA15" i="40"/>
  <c r="AA15" i="34"/>
  <c r="S15" i="34"/>
  <c r="U23" i="34"/>
  <c r="AB23" i="34"/>
  <c r="S31" i="21"/>
  <c r="AA31" i="21"/>
  <c r="BL577" i="3"/>
  <c r="BA577" i="3"/>
  <c r="AZ577" i="3" s="1"/>
  <c r="BL572" i="3"/>
  <c r="AZ572" i="3" s="1"/>
  <c r="BA561" i="3"/>
  <c r="AZ561" i="3" s="1"/>
  <c r="BL558" i="3"/>
  <c r="AZ558" i="3" s="1"/>
  <c r="BL556" i="3"/>
  <c r="BA556" i="3"/>
  <c r="AZ556" i="3" s="1"/>
  <c r="BL554" i="3"/>
  <c r="AZ554" i="3" s="1"/>
  <c r="BA552" i="3"/>
  <c r="AZ552" i="3" s="1"/>
  <c r="G552" i="3"/>
  <c r="BA549" i="3"/>
  <c r="AZ549" i="3" s="1"/>
  <c r="G539" i="3"/>
  <c r="BA536" i="3"/>
  <c r="BL534" i="3"/>
  <c r="AZ534" i="3" s="1"/>
  <c r="BL531" i="3"/>
  <c r="AZ531" i="3" s="1"/>
  <c r="G530" i="3"/>
  <c r="D13" i="71"/>
  <c r="U13" i="71" s="1"/>
  <c r="B34" i="72"/>
  <c r="AC23" i="21"/>
  <c r="S37" i="21"/>
  <c r="AC26" i="35"/>
  <c r="AA39" i="40"/>
  <c r="S29" i="21"/>
  <c r="AB34" i="33"/>
  <c r="U32" i="34"/>
  <c r="W19" i="34"/>
  <c r="AB20" i="35"/>
  <c r="W9" i="36"/>
  <c r="S20" i="36"/>
  <c r="AB41" i="39"/>
  <c r="H81" i="43"/>
  <c r="D120" i="9"/>
  <c r="AA35" i="33"/>
  <c r="AC39" i="34"/>
  <c r="AA13" i="37"/>
  <c r="U23" i="37"/>
  <c r="S37" i="37"/>
  <c r="W38" i="37"/>
  <c r="AC9" i="37"/>
  <c r="AA22" i="36"/>
  <c r="S37" i="39"/>
  <c r="S17" i="40"/>
  <c r="AC34" i="33"/>
  <c r="AA12" i="40"/>
  <c r="AC44" i="34"/>
  <c r="BE5" i="3"/>
  <c r="BN5" i="3"/>
  <c r="G29" i="6" s="1"/>
  <c r="AZ306" i="3"/>
  <c r="AZ390" i="3"/>
  <c r="W14" i="39"/>
  <c r="S19" i="40"/>
  <c r="H12" i="37"/>
  <c r="U37" i="21"/>
  <c r="AB37" i="21"/>
  <c r="AC15" i="34"/>
  <c r="U11" i="33"/>
  <c r="U33" i="37"/>
  <c r="AC32" i="37"/>
  <c r="U35" i="34"/>
  <c r="AZ582" i="3"/>
  <c r="AC37" i="40"/>
  <c r="W37" i="40"/>
  <c r="AB46" i="33"/>
  <c r="AA45" i="33"/>
  <c r="AC11" i="40"/>
  <c r="W31" i="40"/>
  <c r="B74" i="43"/>
  <c r="B54" i="43"/>
  <c r="J12" i="33"/>
  <c r="H12" i="33"/>
  <c r="H30" i="33"/>
  <c r="F30" i="33"/>
  <c r="J30" i="33"/>
  <c r="AA46" i="33"/>
  <c r="S46" i="33"/>
  <c r="H45" i="34"/>
  <c r="F45" i="34"/>
  <c r="F13" i="35"/>
  <c r="H13" i="35"/>
  <c r="H33" i="36"/>
  <c r="AA8" i="39"/>
  <c r="S8" i="39"/>
  <c r="AA40" i="39"/>
  <c r="H27" i="39"/>
  <c r="F27" i="39"/>
  <c r="J27" i="39"/>
  <c r="AC27" i="39" s="1"/>
  <c r="AC32" i="40"/>
  <c r="W32" i="40"/>
  <c r="AA38" i="40"/>
  <c r="H40" i="40"/>
  <c r="J40" i="40"/>
  <c r="J35" i="39"/>
  <c r="H35" i="39"/>
  <c r="BL583" i="3"/>
  <c r="BA583" i="3"/>
  <c r="AZ583" i="3" s="1"/>
  <c r="G582" i="3"/>
  <c r="AA25" i="33"/>
  <c r="AA23" i="37"/>
  <c r="W30" i="40"/>
  <c r="U27" i="21"/>
  <c r="S23" i="39"/>
  <c r="AB13" i="39"/>
  <c r="U32" i="37"/>
  <c r="AC26" i="36"/>
  <c r="AB15" i="39"/>
  <c r="W39" i="39"/>
  <c r="AC13" i="34"/>
  <c r="AA39" i="34"/>
  <c r="U20" i="36"/>
  <c r="AB20" i="36"/>
  <c r="W37" i="37"/>
  <c r="BP5" i="3"/>
  <c r="AB19" i="34"/>
  <c r="AC33" i="36"/>
  <c r="AA41" i="34"/>
  <c r="AZ562" i="3"/>
  <c r="S11" i="36"/>
  <c r="AC10" i="36"/>
  <c r="W10" i="36"/>
  <c r="W13" i="40"/>
  <c r="AC13" i="40"/>
  <c r="U28" i="37"/>
  <c r="AB28" i="37"/>
  <c r="S31" i="34"/>
  <c r="AA31" i="34"/>
  <c r="U37" i="37"/>
  <c r="AB37" i="37"/>
  <c r="AC13" i="36"/>
  <c r="W13" i="36"/>
  <c r="S29" i="33"/>
  <c r="AA29" i="33"/>
  <c r="J31" i="21"/>
  <c r="S30" i="21"/>
  <c r="AA30" i="21"/>
  <c r="AA28" i="21"/>
  <c r="AC37" i="34"/>
  <c r="W37" i="34"/>
  <c r="U11" i="21"/>
  <c r="AB11" i="21"/>
  <c r="AA42" i="39"/>
  <c r="S39" i="37"/>
  <c r="AA39" i="37"/>
  <c r="H12" i="21"/>
  <c r="J45" i="21"/>
  <c r="H45" i="21"/>
  <c r="C21" i="39"/>
  <c r="B71" i="43"/>
  <c r="F9" i="21"/>
  <c r="H9" i="21"/>
  <c r="H9" i="33"/>
  <c r="J9" i="33"/>
  <c r="AC36" i="35"/>
  <c r="W36" i="35"/>
  <c r="J13" i="33"/>
  <c r="H13" i="33"/>
  <c r="F31" i="33"/>
  <c r="J31" i="33"/>
  <c r="H12" i="34"/>
  <c r="F12" i="34"/>
  <c r="H30" i="34"/>
  <c r="F30" i="34"/>
  <c r="J46" i="34"/>
  <c r="F46" i="34"/>
  <c r="F11" i="35"/>
  <c r="H11" i="35"/>
  <c r="AB36" i="35"/>
  <c r="U36" i="35"/>
  <c r="F34" i="36"/>
  <c r="J34" i="36"/>
  <c r="F25" i="37"/>
  <c r="J25" i="37"/>
  <c r="U8" i="39"/>
  <c r="AB8" i="39"/>
  <c r="S40" i="40"/>
  <c r="AA40" i="40"/>
  <c r="AA34" i="37"/>
  <c r="S34" i="37"/>
  <c r="AZ402" i="3"/>
  <c r="AZ420" i="3"/>
  <c r="AZ479" i="3"/>
  <c r="U37" i="33"/>
  <c r="U25" i="34"/>
  <c r="AA35" i="37"/>
  <c r="AC11" i="33"/>
  <c r="U15" i="34"/>
  <c r="S17" i="34"/>
  <c r="AB16" i="35"/>
  <c r="W14" i="36"/>
  <c r="U19" i="39"/>
  <c r="U31" i="39"/>
  <c r="F12" i="39"/>
  <c r="AA14" i="33"/>
  <c r="J14" i="37"/>
  <c r="H43" i="39"/>
  <c r="S41" i="33"/>
  <c r="S34" i="21"/>
  <c r="BL585" i="3"/>
  <c r="H23" i="35"/>
  <c r="F23" i="35"/>
  <c r="J12" i="36"/>
  <c r="H12" i="36"/>
  <c r="H45" i="39"/>
  <c r="J45" i="39"/>
  <c r="W31" i="35"/>
  <c r="AC31" i="35"/>
  <c r="AZ416" i="3"/>
  <c r="AZ424" i="3"/>
  <c r="AZ429" i="3"/>
  <c r="AZ472" i="3"/>
  <c r="AZ228" i="3"/>
  <c r="BL587" i="3"/>
  <c r="AZ587" i="3" s="1"/>
  <c r="AA35" i="34"/>
  <c r="S35" i="34"/>
  <c r="J34" i="35"/>
  <c r="F34" i="35"/>
  <c r="AC41" i="33"/>
  <c r="W41" i="33"/>
  <c r="AZ477" i="3"/>
  <c r="BA417" i="3"/>
  <c r="AZ417" i="3" s="1"/>
  <c r="BL420" i="3"/>
  <c r="BL424" i="3"/>
  <c r="BA441" i="3"/>
  <c r="AZ441" i="3" s="1"/>
  <c r="AZ442" i="3"/>
  <c r="BL444" i="3"/>
  <c r="AZ447" i="3"/>
  <c r="BL456" i="3"/>
  <c r="BA460" i="3"/>
  <c r="AZ460" i="3" s="1"/>
  <c r="AZ466" i="3"/>
  <c r="BA467" i="3"/>
  <c r="AZ467" i="3" s="1"/>
  <c r="BL473" i="3"/>
  <c r="AZ473" i="3" s="1"/>
  <c r="BA482" i="3"/>
  <c r="AZ482" i="3" s="1"/>
  <c r="AZ485" i="3"/>
  <c r="BA486" i="3"/>
  <c r="AZ486" i="3" s="1"/>
  <c r="AZ487" i="3"/>
  <c r="BL381" i="3"/>
  <c r="AZ381" i="3" s="1"/>
  <c r="BA385" i="3"/>
  <c r="AZ385" i="3" s="1"/>
  <c r="BA214" i="3"/>
  <c r="AZ214" i="3" s="1"/>
  <c r="AZ258" i="3"/>
  <c r="AZ57" i="3"/>
  <c r="BL15" i="3"/>
  <c r="BL5" i="3" s="1"/>
  <c r="BL400" i="3"/>
  <c r="BA404" i="3"/>
  <c r="AZ404" i="3" s="1"/>
  <c r="BL407" i="3"/>
  <c r="G412" i="3"/>
  <c r="G415" i="3"/>
  <c r="BA428" i="3"/>
  <c r="AZ428" i="3" s="1"/>
  <c r="BA432" i="3"/>
  <c r="AZ432" i="3" s="1"/>
  <c r="BL434" i="3"/>
  <c r="AZ434" i="3" s="1"/>
  <c r="G435" i="3"/>
  <c r="BL437" i="3"/>
  <c r="G438" i="3"/>
  <c r="G446" i="3"/>
  <c r="BA448" i="3"/>
  <c r="BA449" i="3"/>
  <c r="AZ449" i="3" s="1"/>
  <c r="BL451" i="3"/>
  <c r="BL452" i="3"/>
  <c r="G453" i="3"/>
  <c r="BL458" i="3"/>
  <c r="BL462" i="3"/>
  <c r="BL463" i="3"/>
  <c r="G464" i="3"/>
  <c r="BL469" i="3"/>
  <c r="BL470" i="3"/>
  <c r="G471" i="3"/>
  <c r="G475" i="3"/>
  <c r="BL477" i="3"/>
  <c r="G478" i="3"/>
  <c r="BL480" i="3"/>
  <c r="BL488" i="3"/>
  <c r="BL489" i="3"/>
  <c r="G490" i="3"/>
  <c r="G311" i="3"/>
  <c r="BL316" i="3"/>
  <c r="G327" i="3"/>
  <c r="BA331" i="3"/>
  <c r="AZ331" i="3" s="1"/>
  <c r="G334" i="3"/>
  <c r="BA348" i="3"/>
  <c r="AZ395" i="3"/>
  <c r="BA209" i="3"/>
  <c r="AZ209" i="3" s="1"/>
  <c r="BA210" i="3"/>
  <c r="AZ210" i="3" s="1"/>
  <c r="BL217" i="3"/>
  <c r="BA223" i="3"/>
  <c r="AZ225" i="3"/>
  <c r="BL244" i="3"/>
  <c r="AZ252" i="3"/>
  <c r="AZ274" i="3"/>
  <c r="AZ278" i="3"/>
  <c r="AZ118" i="3"/>
  <c r="AZ121" i="3"/>
  <c r="AZ108" i="3"/>
  <c r="G3" i="43"/>
  <c r="C11" i="39"/>
  <c r="AZ400" i="3"/>
  <c r="AZ407" i="3"/>
  <c r="AZ444" i="3"/>
  <c r="AZ446" i="3"/>
  <c r="AZ456" i="3"/>
  <c r="AZ480" i="3"/>
  <c r="AZ488" i="3"/>
  <c r="AZ316" i="3"/>
  <c r="AZ217" i="3"/>
  <c r="AZ244" i="3"/>
  <c r="U21" i="34"/>
  <c r="AB21" i="34"/>
  <c r="AC18" i="36"/>
  <c r="W18" i="36"/>
  <c r="G398" i="3"/>
  <c r="BA403" i="3"/>
  <c r="AZ403" i="3" s="1"/>
  <c r="BL410" i="3"/>
  <c r="AZ410" i="3" s="1"/>
  <c r="BL413" i="3"/>
  <c r="AZ413" i="3" s="1"/>
  <c r="G418" i="3"/>
  <c r="BA421" i="3"/>
  <c r="AZ421" i="3" s="1"/>
  <c r="BA425" i="3"/>
  <c r="AZ425" i="3" s="1"/>
  <c r="G436" i="3"/>
  <c r="BA437" i="3"/>
  <c r="AZ437" i="3" s="1"/>
  <c r="G439" i="3"/>
  <c r="G442" i="3"/>
  <c r="BL447" i="3"/>
  <c r="BL448" i="3"/>
  <c r="G449" i="3"/>
  <c r="BA451" i="3"/>
  <c r="AZ451" i="3" s="1"/>
  <c r="BA452" i="3"/>
  <c r="BA453" i="3"/>
  <c r="AZ453" i="3" s="1"/>
  <c r="BA458" i="3"/>
  <c r="AZ458" i="3" s="1"/>
  <c r="BA459" i="3"/>
  <c r="AZ459" i="3" s="1"/>
  <c r="G461" i="3"/>
  <c r="BA462" i="3"/>
  <c r="BA463" i="3"/>
  <c r="BA464" i="3"/>
  <c r="AZ464" i="3" s="1"/>
  <c r="G468" i="3"/>
  <c r="BA469" i="3"/>
  <c r="AZ469" i="3" s="1"/>
  <c r="BA470" i="3"/>
  <c r="AZ470" i="3" s="1"/>
  <c r="BA471" i="3"/>
  <c r="AZ471" i="3" s="1"/>
  <c r="BA478" i="3"/>
  <c r="AZ478" i="3" s="1"/>
  <c r="BA481" i="3"/>
  <c r="AZ481" i="3" s="1"/>
  <c r="G483" i="3"/>
  <c r="G487" i="3"/>
  <c r="BA489" i="3"/>
  <c r="AZ492" i="3"/>
  <c r="G313" i="3"/>
  <c r="BA333" i="3"/>
  <c r="AZ333" i="3" s="1"/>
  <c r="G345" i="3"/>
  <c r="G349" i="3"/>
  <c r="BA353" i="3"/>
  <c r="AZ353" i="3" s="1"/>
  <c r="G362" i="3"/>
  <c r="BA366" i="3"/>
  <c r="AZ366" i="3" s="1"/>
  <c r="G374" i="3"/>
  <c r="BL215" i="3"/>
  <c r="AZ215" i="3" s="1"/>
  <c r="BA220" i="3"/>
  <c r="AZ220" i="3" s="1"/>
  <c r="G224" i="3"/>
  <c r="BL225" i="3"/>
  <c r="BL226" i="3"/>
  <c r="AZ226" i="3" s="1"/>
  <c r="BL231" i="3"/>
  <c r="AZ231" i="3" s="1"/>
  <c r="BL237" i="3"/>
  <c r="AZ237" i="3" s="1"/>
  <c r="BA242" i="3"/>
  <c r="AZ242" i="3" s="1"/>
  <c r="AZ246" i="3"/>
  <c r="G248" i="3"/>
  <c r="AZ134" i="3"/>
  <c r="A15" i="62"/>
  <c r="B61" i="72" s="1"/>
  <c r="BL312" i="3"/>
  <c r="AZ312" i="3" s="1"/>
  <c r="BA323" i="3"/>
  <c r="AZ323" i="3" s="1"/>
  <c r="BL333" i="3"/>
  <c r="BL348" i="3"/>
  <c r="BA358" i="3"/>
  <c r="AZ358" i="3" s="1"/>
  <c r="G369" i="3"/>
  <c r="BL393" i="3"/>
  <c r="AZ393" i="3" s="1"/>
  <c r="G208" i="3"/>
  <c r="BA213" i="3"/>
  <c r="AZ213" i="3" s="1"/>
  <c r="BA218" i="3"/>
  <c r="AZ218" i="3" s="1"/>
  <c r="BL223" i="3"/>
  <c r="G230" i="3"/>
  <c r="BL235" i="3"/>
  <c r="AZ235" i="3" s="1"/>
  <c r="BA239" i="3"/>
  <c r="AZ239" i="3" s="1"/>
  <c r="BL241" i="3"/>
  <c r="AZ241" i="3" s="1"/>
  <c r="BL250" i="3"/>
  <c r="AZ250" i="3" s="1"/>
  <c r="BA254" i="3"/>
  <c r="AZ254" i="3" s="1"/>
  <c r="BL256" i="3"/>
  <c r="AZ256" i="3" s="1"/>
  <c r="BL263" i="3"/>
  <c r="AZ263" i="3" s="1"/>
  <c r="BA265" i="3"/>
  <c r="AZ265" i="3" s="1"/>
  <c r="BL269" i="3"/>
  <c r="BA272" i="3"/>
  <c r="AZ272" i="3" s="1"/>
  <c r="BL277" i="3"/>
  <c r="AZ277" i="3" s="1"/>
  <c r="G283" i="3"/>
  <c r="BL287" i="3"/>
  <c r="AZ287" i="3" s="1"/>
  <c r="AZ293" i="3"/>
  <c r="AZ301" i="3"/>
  <c r="BL113" i="3"/>
  <c r="AZ113" i="3" s="1"/>
  <c r="BL115" i="3"/>
  <c r="AZ115" i="3" s="1"/>
  <c r="BA145" i="3"/>
  <c r="AZ145" i="3" s="1"/>
  <c r="BA149" i="3"/>
  <c r="AZ153" i="3"/>
  <c r="BL162" i="3"/>
  <c r="AZ177" i="3"/>
  <c r="AZ205" i="3"/>
  <c r="BA21" i="3"/>
  <c r="AZ21" i="3" s="1"/>
  <c r="BA36" i="3"/>
  <c r="AZ36" i="3" s="1"/>
  <c r="BA51" i="3"/>
  <c r="G60" i="3"/>
  <c r="AZ70" i="3"/>
  <c r="Y28" i="71"/>
  <c r="Z28" i="71" s="1"/>
  <c r="Y27" i="71"/>
  <c r="Z27" i="71" s="1"/>
  <c r="Y17" i="71"/>
  <c r="Z17" i="71" s="1"/>
  <c r="BA307" i="3"/>
  <c r="AZ307" i="3" s="1"/>
  <c r="BL317" i="3"/>
  <c r="AZ317" i="3" s="1"/>
  <c r="BA332" i="3"/>
  <c r="AZ332" i="3" s="1"/>
  <c r="G347" i="3"/>
  <c r="BL354" i="3"/>
  <c r="AZ354" i="3" s="1"/>
  <c r="BA368" i="3"/>
  <c r="AZ368" i="3" s="1"/>
  <c r="G392" i="3"/>
  <c r="BA397" i="3"/>
  <c r="AZ397" i="3" s="1"/>
  <c r="G211" i="3"/>
  <c r="G216" i="3"/>
  <c r="BL221" i="3"/>
  <c r="BA229" i="3"/>
  <c r="AZ229" i="3" s="1"/>
  <c r="BA234" i="3"/>
  <c r="AZ234" i="3" s="1"/>
  <c r="G238" i="3"/>
  <c r="BL243" i="3"/>
  <c r="AZ243" i="3" s="1"/>
  <c r="BA245" i="3"/>
  <c r="AZ245" i="3" s="1"/>
  <c r="BA249" i="3"/>
  <c r="AZ249" i="3" s="1"/>
  <c r="BL251" i="3"/>
  <c r="AZ251" i="3" s="1"/>
  <c r="BA262" i="3"/>
  <c r="AZ262" i="3" s="1"/>
  <c r="BL264" i="3"/>
  <c r="AZ264" i="3" s="1"/>
  <c r="BA268" i="3"/>
  <c r="AZ268" i="3" s="1"/>
  <c r="BA269" i="3"/>
  <c r="AZ269" i="3" s="1"/>
  <c r="G275" i="3"/>
  <c r="BL279" i="3"/>
  <c r="AZ279" i="3" s="1"/>
  <c r="BA290" i="3"/>
  <c r="AZ290" i="3" s="1"/>
  <c r="BA298" i="3"/>
  <c r="BL134" i="3"/>
  <c r="BA148" i="3"/>
  <c r="AZ148" i="3" s="1"/>
  <c r="BL154" i="3"/>
  <c r="AZ154" i="3" s="1"/>
  <c r="BA162" i="3"/>
  <c r="AZ162" i="3" s="1"/>
  <c r="G174" i="3"/>
  <c r="BL198" i="3"/>
  <c r="AZ198" i="3" s="1"/>
  <c r="G207" i="3"/>
  <c r="BA31" i="3"/>
  <c r="BA33" i="3"/>
  <c r="AZ33" i="3" s="1"/>
  <c r="BA34" i="3"/>
  <c r="AZ34" i="3" s="1"/>
  <c r="G42" i="3"/>
  <c r="BL45" i="3"/>
  <c r="AZ45" i="3" s="1"/>
  <c r="BA77" i="3"/>
  <c r="AZ77" i="3" s="1"/>
  <c r="AZ260" i="3"/>
  <c r="AZ284" i="3"/>
  <c r="AZ193" i="3"/>
  <c r="AZ201" i="3"/>
  <c r="AZ54" i="3"/>
  <c r="AZ81" i="3"/>
  <c r="N52" i="43"/>
  <c r="D52" i="43"/>
  <c r="N71" i="43"/>
  <c r="D71" i="43"/>
  <c r="BL290" i="3"/>
  <c r="BL298" i="3"/>
  <c r="BA114" i="3"/>
  <c r="AZ114" i="3" s="1"/>
  <c r="BL122" i="3"/>
  <c r="AZ122" i="3" s="1"/>
  <c r="BA126" i="3"/>
  <c r="AZ126" i="3" s="1"/>
  <c r="BL135" i="3"/>
  <c r="AZ135" i="3" s="1"/>
  <c r="BL149" i="3"/>
  <c r="BA157" i="3"/>
  <c r="AZ157" i="3" s="1"/>
  <c r="BL163" i="3"/>
  <c r="AZ163" i="3" s="1"/>
  <c r="BA166" i="3"/>
  <c r="AZ166" i="3" s="1"/>
  <c r="BL183" i="3"/>
  <c r="AZ183" i="3" s="1"/>
  <c r="BA196" i="3"/>
  <c r="AZ196" i="3" s="1"/>
  <c r="BA207" i="3"/>
  <c r="AZ207" i="3" s="1"/>
  <c r="BA18" i="3"/>
  <c r="BA5" i="3" s="1"/>
  <c r="BA19" i="3"/>
  <c r="AZ19" i="3" s="1"/>
  <c r="AZ23" i="3"/>
  <c r="BA28" i="3"/>
  <c r="AZ28" i="3" s="1"/>
  <c r="BL37" i="3"/>
  <c r="AZ37" i="3" s="1"/>
  <c r="AZ44" i="3"/>
  <c r="AZ46" i="3"/>
  <c r="BA48" i="3"/>
  <c r="AZ48" i="3" s="1"/>
  <c r="BA61" i="3"/>
  <c r="AZ61" i="3" s="1"/>
  <c r="BA74" i="3"/>
  <c r="AZ74" i="3" s="1"/>
  <c r="S21" i="21"/>
  <c r="AA21" i="21"/>
  <c r="Y20" i="71"/>
  <c r="Z20" i="71" s="1"/>
  <c r="Y10" i="71"/>
  <c r="Z10" i="71" s="1"/>
  <c r="G243" i="3"/>
  <c r="BL247" i="3"/>
  <c r="AZ247" i="3" s="1"/>
  <c r="G253" i="3"/>
  <c r="BA259" i="3"/>
  <c r="AZ259" i="3" s="1"/>
  <c r="G263" i="3"/>
  <c r="BA267" i="3"/>
  <c r="AZ267" i="3" s="1"/>
  <c r="BL271" i="3"/>
  <c r="AZ271" i="3" s="1"/>
  <c r="BL274" i="3"/>
  <c r="G279" i="3"/>
  <c r="BL282" i="3"/>
  <c r="AZ282" i="3" s="1"/>
  <c r="BA294" i="3"/>
  <c r="AZ294" i="3" s="1"/>
  <c r="BA302" i="3"/>
  <c r="AZ302" i="3" s="1"/>
  <c r="BL125" i="3"/>
  <c r="AZ125" i="3" s="1"/>
  <c r="BA129" i="3"/>
  <c r="AZ129" i="3" s="1"/>
  <c r="G135" i="3"/>
  <c r="BA142" i="3"/>
  <c r="AZ142" i="3" s="1"/>
  <c r="G146" i="3"/>
  <c r="BA156" i="3"/>
  <c r="AZ156" i="3" s="1"/>
  <c r="G163" i="3"/>
  <c r="BA169" i="3"/>
  <c r="AZ169" i="3" s="1"/>
  <c r="BA176" i="3"/>
  <c r="AZ176" i="3" s="1"/>
  <c r="G187" i="3"/>
  <c r="BL190" i="3"/>
  <c r="AZ190" i="3" s="1"/>
  <c r="G194" i="3"/>
  <c r="G199" i="3"/>
  <c r="G202" i="3"/>
  <c r="G25" i="3"/>
  <c r="BL34" i="3"/>
  <c r="BL39" i="3"/>
  <c r="AZ39" i="3" s="1"/>
  <c r="G55" i="3"/>
  <c r="BL56" i="3"/>
  <c r="AZ56" i="3" s="1"/>
  <c r="BL57" i="3"/>
  <c r="BL64" i="3"/>
  <c r="AZ64" i="3" s="1"/>
  <c r="BL66" i="3"/>
  <c r="AZ66" i="3" s="1"/>
  <c r="BL67" i="3"/>
  <c r="AZ67" i="3" s="1"/>
  <c r="BL69" i="3"/>
  <c r="AZ69" i="3" s="1"/>
  <c r="BL70" i="3"/>
  <c r="BA85" i="3"/>
  <c r="AZ85" i="3" s="1"/>
  <c r="BA88" i="3"/>
  <c r="AZ88" i="3" s="1"/>
  <c r="BA90" i="3"/>
  <c r="AZ90" i="3" s="1"/>
  <c r="BA91" i="3"/>
  <c r="AZ99" i="3"/>
  <c r="BL103" i="3"/>
  <c r="AZ103" i="3" s="1"/>
  <c r="AA21" i="34"/>
  <c r="S21" i="34"/>
  <c r="C40" i="71"/>
  <c r="D40" i="71" s="1"/>
  <c r="D39" i="71"/>
  <c r="AB5" i="71"/>
  <c r="O59" i="71"/>
  <c r="D59" i="71"/>
  <c r="D60" i="71"/>
  <c r="O60" i="71"/>
  <c r="C33" i="71"/>
  <c r="D32" i="71"/>
  <c r="F72" i="71"/>
  <c r="F71" i="71" s="1"/>
  <c r="V73" i="71"/>
  <c r="AB19" i="71"/>
  <c r="AB20" i="71"/>
  <c r="Y18" i="71"/>
  <c r="Z18" i="71" s="1"/>
  <c r="Y19" i="71"/>
  <c r="Z19" i="71" s="1"/>
  <c r="AB18" i="71"/>
  <c r="AB17" i="71"/>
  <c r="G167" i="3"/>
  <c r="BL173" i="3"/>
  <c r="AZ173" i="3" s="1"/>
  <c r="BA181" i="3"/>
  <c r="AZ181" i="3" s="1"/>
  <c r="BL187" i="3"/>
  <c r="AZ187" i="3" s="1"/>
  <c r="BL193" i="3"/>
  <c r="BL199" i="3"/>
  <c r="AZ199" i="3" s="1"/>
  <c r="BL206" i="3"/>
  <c r="AZ206" i="3" s="1"/>
  <c r="G22" i="3"/>
  <c r="BA27" i="3"/>
  <c r="AZ27" i="3" s="1"/>
  <c r="BL31" i="3"/>
  <c r="BL41" i="3"/>
  <c r="AZ41" i="3" s="1"/>
  <c r="BL51" i="3"/>
  <c r="BL54" i="3"/>
  <c r="BA60" i="3"/>
  <c r="AZ60" i="3" s="1"/>
  <c r="G69" i="3"/>
  <c r="BA73" i="3"/>
  <c r="AZ73" i="3" s="1"/>
  <c r="BL77" i="3"/>
  <c r="G81" i="3"/>
  <c r="BA87" i="3"/>
  <c r="AZ87" i="3" s="1"/>
  <c r="BL91" i="3"/>
  <c r="AZ95" i="3"/>
  <c r="J72" i="43"/>
  <c r="D72" i="43"/>
  <c r="D100" i="43"/>
  <c r="C31" i="66"/>
  <c r="E26" i="66" s="1"/>
  <c r="C32" i="66"/>
  <c r="AA18" i="36"/>
  <c r="AA29" i="39"/>
  <c r="C79" i="71"/>
  <c r="D79" i="71" s="1"/>
  <c r="D80" i="71"/>
  <c r="D21" i="71"/>
  <c r="U21" i="71" s="1"/>
  <c r="C20" i="71"/>
  <c r="AB23" i="71"/>
  <c r="AB22" i="71"/>
  <c r="AB24" i="71"/>
  <c r="AB25" i="71"/>
  <c r="AB26" i="71"/>
  <c r="C57" i="71"/>
  <c r="D56" i="71"/>
  <c r="N60" i="71"/>
  <c r="B59" i="71"/>
  <c r="C76" i="71"/>
  <c r="D77" i="71"/>
  <c r="E20" i="71"/>
  <c r="E19" i="71" s="1"/>
  <c r="AA20" i="71"/>
  <c r="AA19" i="71"/>
  <c r="AA17" i="71"/>
  <c r="AA3" i="71"/>
  <c r="X15" i="71"/>
  <c r="X14" i="71"/>
  <c r="X11" i="71"/>
  <c r="AA14" i="71"/>
  <c r="AB14" i="71"/>
  <c r="BL26" i="3"/>
  <c r="AZ26" i="3" s="1"/>
  <c r="G30" i="3"/>
  <c r="G35" i="3"/>
  <c r="G40" i="3"/>
  <c r="G45" i="3"/>
  <c r="BL49" i="3"/>
  <c r="AZ49" i="3" s="1"/>
  <c r="BL59" i="3"/>
  <c r="AZ59" i="3" s="1"/>
  <c r="BL62" i="3"/>
  <c r="AZ62" i="3" s="1"/>
  <c r="BA68" i="3"/>
  <c r="AZ68" i="3" s="1"/>
  <c r="BL72" i="3"/>
  <c r="AZ72" i="3" s="1"/>
  <c r="G76" i="3"/>
  <c r="BA80" i="3"/>
  <c r="AZ80" i="3" s="1"/>
  <c r="BL86" i="3"/>
  <c r="AZ86" i="3" s="1"/>
  <c r="G93" i="3"/>
  <c r="BA98" i="3"/>
  <c r="AZ98" i="3" s="1"/>
  <c r="BA105" i="3"/>
  <c r="W21" i="34"/>
  <c r="AC21" i="34"/>
  <c r="W25" i="40"/>
  <c r="B75" i="43"/>
  <c r="C29" i="39"/>
  <c r="B66" i="43"/>
  <c r="B55" i="43"/>
  <c r="O58" i="71"/>
  <c r="X23" i="71"/>
  <c r="B24" i="71"/>
  <c r="B25" i="71" s="1"/>
  <c r="S25" i="71" s="1"/>
  <c r="X22" i="71"/>
  <c r="X21" i="71"/>
  <c r="F28" i="71"/>
  <c r="F29" i="71" s="1"/>
  <c r="V29" i="71" s="1"/>
  <c r="V69" i="71"/>
  <c r="F68" i="71"/>
  <c r="F67" i="71" s="1"/>
  <c r="AB8" i="71"/>
  <c r="AB6" i="71"/>
  <c r="AB7" i="71"/>
  <c r="Y5" i="71"/>
  <c r="Z5" i="71" s="1"/>
  <c r="Y6" i="71"/>
  <c r="Z6" i="71" s="1"/>
  <c r="G18" i="3"/>
  <c r="G19" i="3"/>
  <c r="BA94" i="3"/>
  <c r="AZ94" i="3" s="1"/>
  <c r="G104" i="3"/>
  <c r="AA24" i="71"/>
  <c r="D35" i="71"/>
  <c r="C36" i="71"/>
  <c r="S73" i="71"/>
  <c r="B72" i="71"/>
  <c r="B71" i="71" s="1"/>
  <c r="Y15" i="71"/>
  <c r="Z15" i="71" s="1"/>
  <c r="Y16" i="71"/>
  <c r="Z16" i="71" s="1"/>
  <c r="Y14" i="71"/>
  <c r="Z14" i="71" s="1"/>
  <c r="AB16" i="71"/>
  <c r="AB10" i="71"/>
  <c r="BL100" i="3"/>
  <c r="AZ100" i="3" s="1"/>
  <c r="BL105" i="3"/>
  <c r="BL108" i="3"/>
  <c r="F3" i="35"/>
  <c r="J76" i="43"/>
  <c r="D76" i="43"/>
  <c r="N78" i="43"/>
  <c r="D78" i="43"/>
  <c r="I20" i="66"/>
  <c r="D1" i="66" s="1"/>
  <c r="E10" i="66" s="1"/>
  <c r="Y21" i="71"/>
  <c r="Z21" i="71" s="1"/>
  <c r="E23" i="71"/>
  <c r="E24" i="71" s="1"/>
  <c r="E25" i="71" s="1"/>
  <c r="U25" i="71" s="1"/>
  <c r="AA21" i="71"/>
  <c r="Y22" i="71"/>
  <c r="Z22" i="71" s="1"/>
  <c r="B27" i="71"/>
  <c r="B28" i="71" s="1"/>
  <c r="B29" i="71" s="1"/>
  <c r="S29" i="71" s="1"/>
  <c r="X24" i="71"/>
  <c r="X26" i="71"/>
  <c r="C48" i="71"/>
  <c r="D47" i="71"/>
  <c r="T69" i="71"/>
  <c r="C68" i="71"/>
  <c r="D69" i="71"/>
  <c r="Y11" i="71"/>
  <c r="Z11" i="71" s="1"/>
  <c r="Y23" i="71"/>
  <c r="Z23" i="71" s="1"/>
  <c r="X25" i="71"/>
  <c r="Y26" i="71"/>
  <c r="Z26" i="71" s="1"/>
  <c r="Y25" i="71"/>
  <c r="Z25" i="71" s="1"/>
  <c r="C27" i="71"/>
  <c r="Y29" i="71"/>
  <c r="Z29" i="71" s="1"/>
  <c r="B31" i="71"/>
  <c r="B32" i="71" s="1"/>
  <c r="B33" i="71" s="1"/>
  <c r="S33" i="71" s="1"/>
  <c r="X30" i="71"/>
  <c r="B40" i="71"/>
  <c r="B41" i="71" s="1"/>
  <c r="S41" i="71" s="1"/>
  <c r="C44" i="71"/>
  <c r="AC10" i="43"/>
  <c r="AE12" i="43"/>
  <c r="AI12" i="43"/>
  <c r="X17" i="71"/>
  <c r="X18" i="71"/>
  <c r="AA16" i="71"/>
  <c r="AA18" i="71"/>
  <c r="AB11" i="71"/>
  <c r="X8" i="71"/>
  <c r="X6" i="71"/>
  <c r="X5" i="71"/>
  <c r="B20" i="71"/>
  <c r="B19" i="71" s="1"/>
  <c r="S21" i="71"/>
  <c r="AA23" i="71"/>
  <c r="Y24" i="71"/>
  <c r="Z24" i="71" s="1"/>
  <c r="X27" i="71"/>
  <c r="AA27" i="71"/>
  <c r="AA29" i="71"/>
  <c r="T65" i="71"/>
  <c r="C64" i="71"/>
  <c r="F16" i="71"/>
  <c r="F15" i="71" s="1"/>
  <c r="F14" i="71" s="1"/>
  <c r="F13" i="71" s="1"/>
  <c r="F12" i="71" s="1"/>
  <c r="F11" i="71" s="1"/>
  <c r="F10" i="71" s="1"/>
  <c r="F9" i="71" s="1"/>
  <c r="F8" i="71" s="1"/>
  <c r="F7" i="71" s="1"/>
  <c r="F6" i="71" s="1"/>
  <c r="F5" i="71" s="1"/>
  <c r="X10" i="71"/>
  <c r="AA11" i="71"/>
  <c r="AA7" i="71"/>
  <c r="AA10" i="71"/>
  <c r="AA5" i="71"/>
  <c r="X7" i="71"/>
  <c r="E28" i="71"/>
  <c r="E29" i="71" s="1"/>
  <c r="U29" i="71" s="1"/>
  <c r="X20" i="71"/>
  <c r="AB30" i="71"/>
  <c r="AB31" i="71"/>
  <c r="AA15" i="71"/>
  <c r="Y7" i="71"/>
  <c r="Z7" i="71" s="1"/>
  <c r="AA8" i="71"/>
  <c r="AA6" i="71"/>
  <c r="I20" i="43"/>
  <c r="W27" i="39"/>
  <c r="H5" i="3"/>
  <c r="BR5" i="3"/>
  <c r="G28" i="6" s="1"/>
  <c r="AZ13" i="3"/>
  <c r="T11" i="1"/>
  <c r="E19" i="6"/>
  <c r="K6" i="1" s="1"/>
  <c r="Q16" i="1" s="1"/>
  <c r="J21" i="39"/>
  <c r="F95" i="39"/>
  <c r="F91" i="39"/>
  <c r="J17" i="39"/>
  <c r="AC17" i="39" s="1"/>
  <c r="I101" i="43"/>
  <c r="I109" i="43" s="1"/>
  <c r="S17" i="39"/>
  <c r="F81" i="39"/>
  <c r="G81" i="39" s="1"/>
  <c r="H81" i="39" s="1"/>
  <c r="H11" i="39"/>
  <c r="F11" i="39"/>
  <c r="AA11" i="39" s="1"/>
  <c r="S9" i="39"/>
  <c r="W9" i="39"/>
  <c r="U9" i="39"/>
  <c r="E10" i="6"/>
  <c r="AR11" i="1"/>
  <c r="AJ11" i="43"/>
  <c r="AJ13" i="43" s="1"/>
  <c r="AQ12" i="1"/>
  <c r="E101" i="43"/>
  <c r="E103" i="43" s="1"/>
  <c r="M101" i="43"/>
  <c r="M102" i="43" s="1"/>
  <c r="G13" i="3"/>
  <c r="AR8" i="1"/>
  <c r="D12" i="52"/>
  <c r="D127" i="9"/>
  <c r="D13" i="52" s="1"/>
  <c r="AB28" i="33"/>
  <c r="S26" i="33"/>
  <c r="T8" i="1"/>
  <c r="T9" i="1"/>
  <c r="AQ9" i="1"/>
  <c r="T10" i="1"/>
  <c r="T12" i="1"/>
  <c r="AB26" i="33"/>
  <c r="AB27" i="33"/>
  <c r="AC27" i="33"/>
  <c r="AA36" i="33"/>
  <c r="U8" i="33"/>
  <c r="S8" i="33"/>
  <c r="D49" i="43"/>
  <c r="J51" i="15"/>
  <c r="AP6" i="1"/>
  <c r="H33" i="43"/>
  <c r="D29" i="43"/>
  <c r="D51" i="43"/>
  <c r="D53" i="43"/>
  <c r="D48" i="43"/>
  <c r="D50" i="43"/>
  <c r="D54" i="43"/>
  <c r="C6" i="43"/>
  <c r="H52" i="43"/>
  <c r="H53" i="43"/>
  <c r="H56" i="43"/>
  <c r="H49" i="43"/>
  <c r="H48" i="43"/>
  <c r="H55" i="43"/>
  <c r="H51" i="43"/>
  <c r="H54" i="43"/>
  <c r="C40" i="69"/>
  <c r="AZ18" i="3"/>
  <c r="C13" i="12"/>
  <c r="C21" i="69"/>
  <c r="C19" i="43"/>
  <c r="F28" i="6"/>
  <c r="G30" i="6"/>
  <c r="G31" i="6" s="1"/>
  <c r="E14" i="6"/>
  <c r="E64" i="39" s="1"/>
  <c r="D9" i="69"/>
  <c r="C9" i="69" s="1"/>
  <c r="AR7" i="1"/>
  <c r="T35" i="4"/>
  <c r="A19" i="51" s="1"/>
  <c r="B14" i="72" s="1"/>
  <c r="D68" i="39"/>
  <c r="C70" i="39"/>
  <c r="H73" i="43"/>
  <c r="H77" i="43"/>
  <c r="H70" i="43"/>
  <c r="H74" i="43"/>
  <c r="H76" i="43"/>
  <c r="H78"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AZ14" i="3"/>
  <c r="T7" i="1"/>
  <c r="F27" i="6"/>
  <c r="E51" i="40"/>
  <c r="E56" i="39"/>
  <c r="D19" i="12"/>
  <c r="C19" i="12" s="1"/>
  <c r="M7" i="1"/>
  <c r="H16" i="1"/>
  <c r="I103" i="43"/>
  <c r="E104" i="43"/>
  <c r="E105" i="43"/>
  <c r="M105" i="43"/>
  <c r="F22" i="43"/>
  <c r="F101" i="43"/>
  <c r="E22" i="43"/>
  <c r="B113" i="43"/>
  <c r="K101" i="43"/>
  <c r="N101" i="43"/>
  <c r="G101" i="43"/>
  <c r="C101" i="43"/>
  <c r="J101" i="43"/>
  <c r="N104" i="46"/>
  <c r="H22" i="43"/>
  <c r="H101" i="43"/>
  <c r="G2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3" i="1"/>
  <c r="O11" i="1"/>
  <c r="P11" i="1" s="1"/>
  <c r="O9" i="1"/>
  <c r="P9" i="1" s="1"/>
  <c r="O8" i="1"/>
  <c r="P8"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Y9" i="71"/>
  <c r="Z9" i="71" s="1"/>
  <c r="Y8" i="71"/>
  <c r="AA9" i="71"/>
  <c r="AB3" i="71"/>
  <c r="B9" i="71"/>
  <c r="X9" i="71"/>
  <c r="AB9" i="71"/>
  <c r="Z8" i="71"/>
  <c r="Y3" i="71"/>
  <c r="Z3" i="71" s="1"/>
  <c r="AF3" i="71"/>
  <c r="P22" i="43" s="1"/>
  <c r="B10" i="70"/>
  <c r="Q71" i="15"/>
  <c r="K1" i="73"/>
  <c r="B20" i="31"/>
  <c r="B21" i="31" s="1"/>
  <c r="I1" i="73"/>
  <c r="B39" i="1" s="1"/>
  <c r="J20" i="67"/>
  <c r="B12" i="70"/>
  <c r="B7" i="70"/>
  <c r="F69" i="67"/>
  <c r="E20" i="43"/>
  <c r="B11" i="70"/>
  <c r="B8" i="70"/>
  <c r="F66" i="15"/>
  <c r="Q71" i="67"/>
  <c r="C27" i="67"/>
  <c r="C27" i="15"/>
  <c r="B9" i="70"/>
  <c r="N59" i="67"/>
  <c r="L59" i="67"/>
  <c r="B13" i="70"/>
  <c r="D9" i="68"/>
  <c r="F9" i="15"/>
  <c r="M22" i="15"/>
  <c r="F8" i="15"/>
  <c r="F35" i="67"/>
  <c r="M27" i="15"/>
  <c r="M6" i="67"/>
  <c r="F7" i="67"/>
  <c r="F42" i="67"/>
  <c r="F40" i="15"/>
  <c r="F43" i="15"/>
  <c r="L48" i="15"/>
  <c r="F37" i="15"/>
  <c r="F40" i="67"/>
  <c r="F13" i="67"/>
  <c r="G1" i="73"/>
  <c r="M8" i="15"/>
  <c r="L48" i="67"/>
  <c r="F42" i="15"/>
  <c r="F36" i="15"/>
  <c r="F9" i="67"/>
  <c r="F8" i="67"/>
  <c r="D6" i="73"/>
  <c r="M28" i="67"/>
  <c r="M23" i="15"/>
  <c r="D7" i="73"/>
  <c r="F7" i="15"/>
  <c r="M24" i="67"/>
  <c r="F38" i="67"/>
  <c r="M9" i="67"/>
  <c r="M22" i="67"/>
  <c r="M29" i="15"/>
  <c r="D3" i="73"/>
  <c r="F6" i="15"/>
  <c r="L47" i="15"/>
  <c r="F37" i="67"/>
  <c r="M8" i="67"/>
  <c r="M23" i="67"/>
  <c r="F36" i="67"/>
  <c r="F43" i="67"/>
  <c r="D20" i="53" l="1"/>
  <c r="B40" i="72" s="1"/>
  <c r="B38" i="72"/>
  <c r="F64" i="67"/>
  <c r="F50" i="67"/>
  <c r="M7" i="67"/>
  <c r="J6" i="67" s="1"/>
  <c r="J18" i="67" s="1"/>
  <c r="F65" i="15"/>
  <c r="F65" i="67"/>
  <c r="C6" i="67"/>
  <c r="C32" i="67" s="1"/>
  <c r="F51" i="67"/>
  <c r="F71" i="67"/>
  <c r="F68" i="15"/>
  <c r="N59" i="15"/>
  <c r="L58" i="15"/>
  <c r="Q73" i="15" s="1"/>
  <c r="F66" i="67"/>
  <c r="C34" i="67"/>
  <c r="F63" i="67"/>
  <c r="C62" i="67" s="1"/>
  <c r="I54" i="15"/>
  <c r="J57" i="15"/>
  <c r="J55" i="15" s="1"/>
  <c r="J58" i="15" s="1"/>
  <c r="Q50" i="15" s="1"/>
  <c r="F70" i="67"/>
  <c r="F68" i="67"/>
  <c r="J57" i="67"/>
  <c r="J55" i="67" s="1"/>
  <c r="J58" i="67" s="1"/>
  <c r="Q50" i="67" s="1"/>
  <c r="I54" i="67"/>
  <c r="L58" i="67"/>
  <c r="Q60" i="67" s="1"/>
  <c r="L56" i="67"/>
  <c r="F51" i="15"/>
  <c r="F64" i="15"/>
  <c r="F30" i="6"/>
  <c r="E29" i="6"/>
  <c r="E30" i="6" s="1"/>
  <c r="AC34" i="35"/>
  <c r="W34" i="35"/>
  <c r="W45" i="39"/>
  <c r="AC45" i="39"/>
  <c r="S23" i="35"/>
  <c r="AA23" i="35"/>
  <c r="U11" i="35"/>
  <c r="AB11" i="35"/>
  <c r="S30" i="34"/>
  <c r="AA30" i="34"/>
  <c r="W31" i="33"/>
  <c r="AC31" i="33"/>
  <c r="U27" i="39"/>
  <c r="AB27" i="39"/>
  <c r="U45" i="34"/>
  <c r="AB45" i="34"/>
  <c r="U12" i="37"/>
  <c r="AB12" i="37"/>
  <c r="D121" i="9"/>
  <c r="D7" i="52" s="1"/>
  <c r="D6" i="52"/>
  <c r="E15" i="6"/>
  <c r="E65" i="39" s="1"/>
  <c r="D5" i="43"/>
  <c r="E28" i="6"/>
  <c r="D27" i="71"/>
  <c r="C28" i="71"/>
  <c r="C75" i="71"/>
  <c r="D75" i="71" s="1"/>
  <c r="D76" i="71"/>
  <c r="T57" i="71"/>
  <c r="D57" i="71"/>
  <c r="AZ51" i="3"/>
  <c r="AZ462" i="3"/>
  <c r="AZ223" i="3"/>
  <c r="U45" i="39"/>
  <c r="AB45" i="39"/>
  <c r="U23" i="35"/>
  <c r="AB23" i="35"/>
  <c r="U43" i="39"/>
  <c r="AB43" i="39"/>
  <c r="S34" i="36"/>
  <c r="AA34" i="36"/>
  <c r="S11" i="35"/>
  <c r="AA11" i="35"/>
  <c r="AB30" i="34"/>
  <c r="U30" i="34"/>
  <c r="S31" i="33"/>
  <c r="AA31" i="33"/>
  <c r="S9" i="21"/>
  <c r="AA9" i="21"/>
  <c r="W45" i="21"/>
  <c r="AC45" i="21"/>
  <c r="AC31" i="21"/>
  <c r="W31" i="21"/>
  <c r="AC40" i="40"/>
  <c r="W40" i="40"/>
  <c r="AB13" i="35"/>
  <c r="U13" i="35"/>
  <c r="AB30" i="33"/>
  <c r="U30" i="33"/>
  <c r="AZ536" i="3"/>
  <c r="AC12" i="21"/>
  <c r="W12" i="21"/>
  <c r="AZ15" i="3"/>
  <c r="C49" i="71"/>
  <c r="D48" i="71"/>
  <c r="D20" i="71"/>
  <c r="C19" i="71"/>
  <c r="D19" i="71" s="1"/>
  <c r="D22" i="43"/>
  <c r="G5" i="3"/>
  <c r="B3" i="3" s="1"/>
  <c r="E69" i="3" s="1"/>
  <c r="D64" i="71"/>
  <c r="C63" i="71"/>
  <c r="D63" i="71" s="1"/>
  <c r="C45" i="71"/>
  <c r="D44" i="71"/>
  <c r="D68" i="71"/>
  <c r="C67" i="71"/>
  <c r="D67" i="71" s="1"/>
  <c r="M19" i="43"/>
  <c r="D33" i="71"/>
  <c r="T33" i="71"/>
  <c r="AZ91" i="3"/>
  <c r="AZ5" i="3" s="1"/>
  <c r="AZ149" i="3"/>
  <c r="AZ463" i="3"/>
  <c r="AA12" i="39"/>
  <c r="S12" i="39"/>
  <c r="W34" i="36"/>
  <c r="AC34" i="36"/>
  <c r="AB9" i="21"/>
  <c r="U9" i="21"/>
  <c r="U45" i="21"/>
  <c r="AB45" i="21"/>
  <c r="W35" i="39"/>
  <c r="AC35" i="39"/>
  <c r="AB33" i="36"/>
  <c r="U33" i="36"/>
  <c r="S30" i="33"/>
  <c r="AA30" i="33"/>
  <c r="K120" i="9"/>
  <c r="A18" i="62" s="1"/>
  <c r="B64" i="72" s="1"/>
  <c r="J7" i="36"/>
  <c r="AC7" i="36" s="1"/>
  <c r="V36" i="36" s="1"/>
  <c r="I36" i="36" s="1"/>
  <c r="E12" i="6"/>
  <c r="I105" i="43"/>
  <c r="B8" i="71"/>
  <c r="B7" i="71" s="1"/>
  <c r="B6" i="71" s="1"/>
  <c r="B5" i="71" s="1"/>
  <c r="S9" i="71"/>
  <c r="AZ105" i="3"/>
  <c r="N59" i="71"/>
  <c r="N58" i="71"/>
  <c r="E70" i="43"/>
  <c r="B68" i="43" s="1"/>
  <c r="AZ31" i="3"/>
  <c r="AZ298" i="3"/>
  <c r="AZ489" i="3"/>
  <c r="AZ452" i="3"/>
  <c r="L101" i="43"/>
  <c r="D101" i="43"/>
  <c r="AZ348" i="3"/>
  <c r="AZ448" i="3"/>
  <c r="AB12" i="36"/>
  <c r="U12" i="36"/>
  <c r="W14" i="37"/>
  <c r="AC14" i="37"/>
  <c r="W25" i="37"/>
  <c r="AC25" i="37"/>
  <c r="AA46" i="34"/>
  <c r="S46" i="34"/>
  <c r="S12" i="34"/>
  <c r="AA12" i="34"/>
  <c r="AB13" i="33"/>
  <c r="U13" i="33"/>
  <c r="AC9" i="33"/>
  <c r="W9" i="33"/>
  <c r="U12" i="21"/>
  <c r="AB12" i="21"/>
  <c r="E11" i="6"/>
  <c r="U40" i="40"/>
  <c r="AB40" i="40"/>
  <c r="S13" i="35"/>
  <c r="AA13" i="35"/>
  <c r="AB12" i="33"/>
  <c r="U12" i="33"/>
  <c r="AZ496" i="3"/>
  <c r="S12" i="21"/>
  <c r="AA12" i="21"/>
  <c r="AA12" i="37"/>
  <c r="S12" i="37"/>
  <c r="C37" i="71"/>
  <c r="D36" i="71"/>
  <c r="AA34" i="35"/>
  <c r="S34" i="35"/>
  <c r="AC12" i="36"/>
  <c r="W12" i="36"/>
  <c r="AA25" i="37"/>
  <c r="S25" i="37"/>
  <c r="AC46" i="34"/>
  <c r="W46" i="34"/>
  <c r="AB12" i="34"/>
  <c r="U12" i="34"/>
  <c r="W13" i="33"/>
  <c r="AC13" i="33"/>
  <c r="AB9" i="33"/>
  <c r="U9" i="33"/>
  <c r="AB35" i="39"/>
  <c r="U35" i="39"/>
  <c r="AA27" i="39"/>
  <c r="S27" i="39"/>
  <c r="AA45" i="34"/>
  <c r="S45" i="34"/>
  <c r="AC30" i="33"/>
  <c r="W30" i="33"/>
  <c r="AC12" i="33"/>
  <c r="W12" i="33"/>
  <c r="C10" i="71"/>
  <c r="D11" i="71"/>
  <c r="W12" i="37"/>
  <c r="AC12" i="37"/>
  <c r="E8" i="71"/>
  <c r="E7" i="71" s="1"/>
  <c r="E6" i="71" s="1"/>
  <c r="E5" i="71" s="1"/>
  <c r="V9" i="71"/>
  <c r="W17" i="39"/>
  <c r="K14" i="1"/>
  <c r="M14" i="1" s="1"/>
  <c r="O14" i="1" s="1"/>
  <c r="P14" i="1" s="1"/>
  <c r="E109" i="43"/>
  <c r="E107" i="43"/>
  <c r="M104" i="43"/>
  <c r="I102" i="43"/>
  <c r="M106" i="43"/>
  <c r="G16" i="1"/>
  <c r="F10" i="40" s="1"/>
  <c r="M107" i="43"/>
  <c r="M109" i="43"/>
  <c r="I106" i="43"/>
  <c r="M103" i="43"/>
  <c r="M6" i="1"/>
  <c r="M16" i="1" s="1"/>
  <c r="N16" i="1" s="1"/>
  <c r="M7" i="15"/>
  <c r="J6" i="15" s="1"/>
  <c r="J18" i="15" s="1"/>
  <c r="F50" i="15"/>
  <c r="C6" i="15"/>
  <c r="C32" i="15" s="1"/>
  <c r="F71" i="15"/>
  <c r="F28" i="12"/>
  <c r="F27" i="69"/>
  <c r="C47" i="69" s="1"/>
  <c r="D45" i="69" s="1"/>
  <c r="F27" i="68"/>
  <c r="C47" i="68" s="1"/>
  <c r="D45" i="68" s="1"/>
  <c r="F27" i="11"/>
  <c r="G95" i="39"/>
  <c r="H21" i="39"/>
  <c r="AC21" i="39"/>
  <c r="W21" i="39"/>
  <c r="H17" i="39"/>
  <c r="G91" i="39"/>
  <c r="I104" i="43"/>
  <c r="I107" i="43"/>
  <c r="S11" i="39"/>
  <c r="U11" i="39"/>
  <c r="AB11" i="39"/>
  <c r="J11" i="39"/>
  <c r="I81" i="39"/>
  <c r="J81" i="39" s="1"/>
  <c r="K81" i="39" s="1"/>
  <c r="L81" i="39" s="1"/>
  <c r="M81" i="39" s="1"/>
  <c r="E175" i="3"/>
  <c r="E343" i="3"/>
  <c r="E508" i="3"/>
  <c r="E304" i="3"/>
  <c r="E213" i="3"/>
  <c r="E302" i="3"/>
  <c r="E574" i="3"/>
  <c r="E285" i="3"/>
  <c r="E314" i="3"/>
  <c r="E16" i="3"/>
  <c r="E434" i="3"/>
  <c r="E296" i="3"/>
  <c r="E136" i="3"/>
  <c r="AA6" i="3"/>
  <c r="E311" i="3"/>
  <c r="AB6" i="3"/>
  <c r="E189" i="3"/>
  <c r="E122" i="3"/>
  <c r="E271" i="3"/>
  <c r="E107" i="3"/>
  <c r="E493" i="3"/>
  <c r="E106" i="43"/>
  <c r="E102" i="43"/>
  <c r="C5" i="43"/>
  <c r="E16" i="6"/>
  <c r="D1" i="43"/>
  <c r="E48" i="43"/>
  <c r="B46" i="43" s="1"/>
  <c r="C24" i="43" s="1"/>
  <c r="E545" i="3"/>
  <c r="S6" i="3"/>
  <c r="E338" i="3"/>
  <c r="E61" i="3"/>
  <c r="E120" i="3"/>
  <c r="E177" i="3"/>
  <c r="E312" i="3"/>
  <c r="E542" i="3"/>
  <c r="E421" i="3"/>
  <c r="E487" i="3"/>
  <c r="E408" i="3"/>
  <c r="E451" i="3"/>
  <c r="E360" i="3"/>
  <c r="E556" i="3"/>
  <c r="E497" i="3"/>
  <c r="E13" i="3"/>
  <c r="E205" i="3"/>
  <c r="E561" i="3"/>
  <c r="E231" i="3"/>
  <c r="E290" i="3"/>
  <c r="E85" i="3"/>
  <c r="E116" i="3"/>
  <c r="E379" i="3"/>
  <c r="U6" i="3"/>
  <c r="E411" i="3"/>
  <c r="E548" i="3"/>
  <c r="E416" i="3"/>
  <c r="E459" i="3"/>
  <c r="E374" i="3"/>
  <c r="E566" i="3"/>
  <c r="E500" i="3"/>
  <c r="E582" i="3"/>
  <c r="E413" i="3"/>
  <c r="E460" i="3"/>
  <c r="E520" i="3"/>
  <c r="E436" i="3"/>
  <c r="E537" i="3"/>
  <c r="E471" i="3"/>
  <c r="E475" i="3"/>
  <c r="E88" i="3"/>
  <c r="E70" i="3"/>
  <c r="E121" i="3"/>
  <c r="E182" i="3"/>
  <c r="E166" i="3"/>
  <c r="E211" i="3"/>
  <c r="E295" i="3"/>
  <c r="E273" i="3"/>
  <c r="E316" i="3"/>
  <c r="E377" i="3"/>
  <c r="E334" i="3"/>
  <c r="E572" i="3"/>
  <c r="E30" i="3"/>
  <c r="E109" i="3"/>
  <c r="E480" i="3"/>
  <c r="E484" i="3"/>
  <c r="E467" i="3"/>
  <c r="E46" i="3"/>
  <c r="E160" i="3"/>
  <c r="E452" i="3"/>
  <c r="E420" i="3"/>
  <c r="E40" i="3"/>
  <c r="E25" i="3"/>
  <c r="E108" i="3"/>
  <c r="E178" i="3"/>
  <c r="E119" i="3"/>
  <c r="E202" i="3"/>
  <c r="E242" i="3"/>
  <c r="E226" i="3"/>
  <c r="E276" i="3"/>
  <c r="E346" i="3"/>
  <c r="E333" i="3"/>
  <c r="E372" i="3"/>
  <c r="L6" i="3"/>
  <c r="E60" i="3"/>
  <c r="E43" i="3"/>
  <c r="E428" i="3"/>
  <c r="E412" i="3"/>
  <c r="E96" i="3"/>
  <c r="E129" i="3"/>
  <c r="E174" i="3"/>
  <c r="E200" i="3"/>
  <c r="E235" i="3"/>
  <c r="E383" i="3"/>
  <c r="E522" i="3"/>
  <c r="E86" i="3"/>
  <c r="E49" i="3"/>
  <c r="E232" i="3"/>
  <c r="E370" i="3"/>
  <c r="E102" i="3"/>
  <c r="E113" i="3"/>
  <c r="E287" i="3"/>
  <c r="E326" i="3"/>
  <c r="E83" i="3"/>
  <c r="E267" i="3"/>
  <c r="E300" i="3"/>
  <c r="E310" i="3"/>
  <c r="E23" i="3"/>
  <c r="E67" i="3"/>
  <c r="E144" i="3"/>
  <c r="E233" i="3"/>
  <c r="E381" i="3"/>
  <c r="E63" i="3"/>
  <c r="E118" i="3"/>
  <c r="E283" i="3"/>
  <c r="E513" i="3"/>
  <c r="F7" i="36"/>
  <c r="F31" i="6"/>
  <c r="E59" i="40"/>
  <c r="E58" i="40"/>
  <c r="E63" i="39"/>
  <c r="E60" i="40"/>
  <c r="D70" i="39"/>
  <c r="E68" i="39"/>
  <c r="C9" i="68"/>
  <c r="F59" i="67"/>
  <c r="F48" i="68"/>
  <c r="C48" i="68"/>
  <c r="C30" i="68"/>
  <c r="C48" i="11"/>
  <c r="C30" i="11"/>
  <c r="F48" i="69"/>
  <c r="C30" i="69"/>
  <c r="C48" i="69"/>
  <c r="F10" i="39"/>
  <c r="AA10" i="39" s="1"/>
  <c r="D3" i="33"/>
  <c r="M18" i="9"/>
  <c r="B118" i="9" s="1"/>
  <c r="B14" i="74" s="1"/>
  <c r="B1" i="74" s="1"/>
  <c r="C47" i="11"/>
  <c r="D45" i="11" s="1"/>
  <c r="E57" i="40"/>
  <c r="E62" i="39"/>
  <c r="E27" i="6"/>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5" i="43"/>
  <c r="G102" i="43"/>
  <c r="G107" i="43"/>
  <c r="G104" i="43"/>
  <c r="G109" i="43"/>
  <c r="G106" i="43"/>
  <c r="G103" i="43"/>
  <c r="K103" i="43"/>
  <c r="K102" i="43"/>
  <c r="K106" i="43"/>
  <c r="K109" i="43"/>
  <c r="K104" i="43"/>
  <c r="K107" i="43"/>
  <c r="K105" i="43"/>
  <c r="O7" i="1"/>
  <c r="J10" i="39"/>
  <c r="AC10" i="39" s="1"/>
  <c r="H10" i="40"/>
  <c r="U10" i="40" s="1"/>
  <c r="H10" i="39"/>
  <c r="U10" i="39" s="1"/>
  <c r="J10" i="40"/>
  <c r="W10" i="40" s="1"/>
  <c r="J7" i="34"/>
  <c r="J7" i="37"/>
  <c r="AC7" i="37" s="1"/>
  <c r="V42" i="37" s="1"/>
  <c r="I42" i="37" s="1"/>
  <c r="H7" i="36"/>
  <c r="AB7" i="36" s="1"/>
  <c r="T36" i="36" s="1"/>
  <c r="G36" i="36" s="1"/>
  <c r="H7" i="34"/>
  <c r="F7" i="34"/>
  <c r="AA7" i="34" s="1"/>
  <c r="R49" i="34" s="1"/>
  <c r="H7" i="37"/>
  <c r="AB7" i="37" s="1"/>
  <c r="T42" i="37" s="1"/>
  <c r="G42" i="37" s="1"/>
  <c r="B40" i="1"/>
  <c r="H7" i="33"/>
  <c r="J7" i="33"/>
  <c r="D65" i="40"/>
  <c r="E63" i="40"/>
  <c r="F48" i="35"/>
  <c r="S7" i="36"/>
  <c r="AA7" i="36"/>
  <c r="R36" i="36" s="1"/>
  <c r="AB7" i="34"/>
  <c r="T49" i="34" s="1"/>
  <c r="G49" i="34" s="1"/>
  <c r="U7" i="34"/>
  <c r="AA10" i="40"/>
  <c r="S10" i="40"/>
  <c r="F7" i="33"/>
  <c r="E58" i="2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Q61" i="67"/>
  <c r="Q74" i="67"/>
  <c r="C16" i="15"/>
  <c r="C17" i="67"/>
  <c r="C14" i="67"/>
  <c r="C16" i="67"/>
  <c r="C49" i="67" l="1"/>
  <c r="J5" i="67"/>
  <c r="J24" i="67" s="1"/>
  <c r="C29" i="69"/>
  <c r="D27" i="69" s="1"/>
  <c r="Q60" i="15"/>
  <c r="C49" i="15"/>
  <c r="C18" i="67"/>
  <c r="C15" i="67"/>
  <c r="E3" i="6"/>
  <c r="AY6" i="3"/>
  <c r="AY339" i="3" s="1"/>
  <c r="U7" i="36"/>
  <c r="E154" i="3"/>
  <c r="E341" i="3"/>
  <c r="E24" i="3"/>
  <c r="E266" i="3"/>
  <c r="E365" i="3"/>
  <c r="E50" i="3"/>
  <c r="E112" i="3"/>
  <c r="E339" i="3"/>
  <c r="E137" i="3"/>
  <c r="E79" i="3"/>
  <c r="E32" i="3"/>
  <c r="E362" i="3"/>
  <c r="E274" i="3"/>
  <c r="E171" i="3"/>
  <c r="E146" i="3"/>
  <c r="E55" i="3"/>
  <c r="E138" i="3"/>
  <c r="E462" i="3"/>
  <c r="E544" i="3"/>
  <c r="E349" i="3"/>
  <c r="E241" i="3"/>
  <c r="E132" i="3"/>
  <c r="E37" i="3"/>
  <c r="E468" i="3"/>
  <c r="E489" i="3"/>
  <c r="E581" i="3"/>
  <c r="E345" i="3"/>
  <c r="E400" i="3"/>
  <c r="E327" i="3"/>
  <c r="E135" i="3"/>
  <c r="E571" i="3"/>
  <c r="E288" i="3"/>
  <c r="E430" i="3"/>
  <c r="E499" i="3"/>
  <c r="E180" i="3"/>
  <c r="E418" i="3"/>
  <c r="E539" i="3"/>
  <c r="E525" i="3"/>
  <c r="E269" i="3"/>
  <c r="E347" i="3"/>
  <c r="E549" i="3"/>
  <c r="E337" i="3"/>
  <c r="E503" i="3"/>
  <c r="E261" i="3"/>
  <c r="E501" i="3"/>
  <c r="E53" i="3"/>
  <c r="E230" i="3"/>
  <c r="Q73" i="67"/>
  <c r="E21" i="3"/>
  <c r="E309" i="3"/>
  <c r="E264" i="3"/>
  <c r="E81" i="3"/>
  <c r="E68" i="3"/>
  <c r="E355" i="3"/>
  <c r="E184" i="3"/>
  <c r="E33" i="3"/>
  <c r="E84" i="3"/>
  <c r="E492" i="3"/>
  <c r="E371" i="3"/>
  <c r="E249" i="3"/>
  <c r="E163" i="3"/>
  <c r="E22" i="3"/>
  <c r="E308" i="3"/>
  <c r="E158" i="3"/>
  <c r="E80" i="3"/>
  <c r="AF6" i="3"/>
  <c r="E251" i="3"/>
  <c r="E206" i="3"/>
  <c r="E34" i="3"/>
  <c r="E35" i="3"/>
  <c r="E342" i="3"/>
  <c r="E324" i="3"/>
  <c r="E275" i="3"/>
  <c r="E220" i="3"/>
  <c r="E190" i="3"/>
  <c r="E78" i="3"/>
  <c r="E18" i="3"/>
  <c r="E482" i="3"/>
  <c r="E488" i="3"/>
  <c r="E94" i="3"/>
  <c r="E42" i="3"/>
  <c r="AL6" i="3"/>
  <c r="E356" i="3"/>
  <c r="E391" i="3"/>
  <c r="E332" i="3"/>
  <c r="E243" i="3"/>
  <c r="E281" i="3"/>
  <c r="E225" i="3"/>
  <c r="E139" i="3"/>
  <c r="E198" i="3"/>
  <c r="E115" i="3"/>
  <c r="E41" i="3"/>
  <c r="E104" i="3"/>
  <c r="E26" i="3"/>
  <c r="E470" i="3"/>
  <c r="E494" i="3"/>
  <c r="E103" i="3"/>
  <c r="E64" i="3"/>
  <c r="E425" i="3"/>
  <c r="E441" i="3"/>
  <c r="E29" i="3"/>
  <c r="E44" i="3"/>
  <c r="AM6" i="3"/>
  <c r="E384" i="3"/>
  <c r="E317" i="3"/>
  <c r="E331" i="3"/>
  <c r="E291" i="3"/>
  <c r="E210" i="3"/>
  <c r="E272" i="3"/>
  <c r="E186" i="3"/>
  <c r="E126" i="3"/>
  <c r="E162" i="3"/>
  <c r="E92" i="3"/>
  <c r="E27" i="3"/>
  <c r="E71" i="3"/>
  <c r="E433" i="3"/>
  <c r="E450" i="3"/>
  <c r="E479" i="3"/>
  <c r="E417" i="3"/>
  <c r="E491" i="3"/>
  <c r="E435" i="3"/>
  <c r="E517" i="3"/>
  <c r="E554" i="3"/>
  <c r="AP6" i="3"/>
  <c r="I3" i="6"/>
  <c r="E255" i="3"/>
  <c r="E449" i="3"/>
  <c r="E414" i="3"/>
  <c r="E478" i="3"/>
  <c r="E515" i="3"/>
  <c r="E585" i="3"/>
  <c r="E105" i="3"/>
  <c r="E238" i="3"/>
  <c r="E117" i="3"/>
  <c r="E185" i="3"/>
  <c r="E439" i="3"/>
  <c r="E533" i="3"/>
  <c r="E329" i="3"/>
  <c r="J6" i="3"/>
  <c r="AH6" i="3"/>
  <c r="E376" i="3"/>
  <c r="E490" i="3"/>
  <c r="E440" i="3"/>
  <c r="E398" i="3"/>
  <c r="E464" i="3"/>
  <c r="E552" i="3"/>
  <c r="AD6" i="3"/>
  <c r="AC6" i="3" s="1"/>
  <c r="E133" i="3"/>
  <c r="E277" i="3"/>
  <c r="E221" i="3"/>
  <c r="E298" i="3"/>
  <c r="E506" i="3"/>
  <c r="E128" i="3"/>
  <c r="E393" i="3"/>
  <c r="E145" i="3"/>
  <c r="E207" i="3"/>
  <c r="E148" i="3"/>
  <c r="E335" i="3"/>
  <c r="E570" i="3"/>
  <c r="E280" i="3"/>
  <c r="E236" i="3"/>
  <c r="E262" i="3"/>
  <c r="E306" i="3"/>
  <c r="AK6" i="3"/>
  <c r="E511" i="3"/>
  <c r="E97" i="3"/>
  <c r="E359" i="3"/>
  <c r="O6" i="3"/>
  <c r="E17" i="3"/>
  <c r="E565" i="3"/>
  <c r="E237" i="3"/>
  <c r="E305" i="3"/>
  <c r="E530" i="3"/>
  <c r="E461" i="3"/>
  <c r="D106" i="43"/>
  <c r="D102" i="43"/>
  <c r="D103" i="43"/>
  <c r="D104" i="43"/>
  <c r="D105" i="43"/>
  <c r="D107" i="43"/>
  <c r="D109" i="43"/>
  <c r="E199" i="3"/>
  <c r="E31" i="6"/>
  <c r="E373" i="3"/>
  <c r="E222" i="3"/>
  <c r="E51" i="3"/>
  <c r="E250" i="3"/>
  <c r="E87" i="3"/>
  <c r="E584" i="3"/>
  <c r="E386" i="3"/>
  <c r="E248" i="3"/>
  <c r="E101" i="3"/>
  <c r="E218" i="3"/>
  <c r="E62" i="3"/>
  <c r="E340" i="3"/>
  <c r="E147" i="3"/>
  <c r="E52" i="3"/>
  <c r="E392" i="3"/>
  <c r="E219" i="3"/>
  <c r="E142" i="3"/>
  <c r="E100" i="3"/>
  <c r="E15" i="3"/>
  <c r="E409" i="3"/>
  <c r="E74" i="3"/>
  <c r="E580" i="3"/>
  <c r="E394" i="3"/>
  <c r="E315" i="3"/>
  <c r="E214" i="3"/>
  <c r="E256" i="3"/>
  <c r="E203" i="3"/>
  <c r="E73" i="3"/>
  <c r="E106" i="3"/>
  <c r="E401" i="3"/>
  <c r="E419" i="3"/>
  <c r="E98" i="3"/>
  <c r="E446" i="3"/>
  <c r="E59" i="3"/>
  <c r="E76" i="3"/>
  <c r="E389" i="3"/>
  <c r="E363" i="3"/>
  <c r="E292" i="3"/>
  <c r="E258" i="3"/>
  <c r="E192" i="3"/>
  <c r="E152" i="3"/>
  <c r="E95" i="3"/>
  <c r="E56" i="3"/>
  <c r="E454" i="3"/>
  <c r="E28" i="3"/>
  <c r="E404" i="3"/>
  <c r="E444" i="3"/>
  <c r="E531" i="3"/>
  <c r="E557" i="3"/>
  <c r="E558" i="3"/>
  <c r="E443" i="3"/>
  <c r="E485" i="3"/>
  <c r="AO6" i="3"/>
  <c r="Z6" i="3"/>
  <c r="E197" i="3"/>
  <c r="E140" i="3"/>
  <c r="E380" i="3"/>
  <c r="AR6" i="3"/>
  <c r="E510" i="3"/>
  <c r="W6" i="3"/>
  <c r="E562" i="3"/>
  <c r="E457" i="3"/>
  <c r="E466" i="3"/>
  <c r="E502" i="3"/>
  <c r="E286" i="3"/>
  <c r="E224" i="3"/>
  <c r="E169" i="3"/>
  <c r="E390" i="3"/>
  <c r="E164" i="3"/>
  <c r="E252" i="3"/>
  <c r="E215" i="3"/>
  <c r="M6" i="3"/>
  <c r="E124" i="3"/>
  <c r="E196" i="3"/>
  <c r="E368" i="3"/>
  <c r="I6" i="3"/>
  <c r="E397" i="3"/>
  <c r="E555" i="3"/>
  <c r="E183" i="3"/>
  <c r="E426" i="3"/>
  <c r="D10" i="71"/>
  <c r="C9" i="71"/>
  <c r="D45" i="71"/>
  <c r="T45" i="71"/>
  <c r="T49" i="71"/>
  <c r="D49" i="71"/>
  <c r="W7" i="37"/>
  <c r="G20" i="43"/>
  <c r="C20" i="43" s="1"/>
  <c r="AB10" i="40"/>
  <c r="E82" i="3"/>
  <c r="E323" i="3"/>
  <c r="E179" i="3"/>
  <c r="E19" i="3"/>
  <c r="Y6" i="3"/>
  <c r="E284" i="3"/>
  <c r="E127" i="3"/>
  <c r="E48" i="3"/>
  <c r="E66" i="3"/>
  <c r="E354" i="3"/>
  <c r="E307" i="3"/>
  <c r="E209" i="3"/>
  <c r="E195" i="3"/>
  <c r="E524" i="3"/>
  <c r="E265" i="3"/>
  <c r="E176" i="3"/>
  <c r="E20" i="3"/>
  <c r="E364" i="3"/>
  <c r="E289" i="3"/>
  <c r="E123" i="3"/>
  <c r="E36" i="3"/>
  <c r="AQ6" i="3"/>
  <c r="E325" i="3"/>
  <c r="E299" i="3"/>
  <c r="E234" i="3"/>
  <c r="E194" i="3"/>
  <c r="E170" i="3"/>
  <c r="E38" i="3"/>
  <c r="E455" i="3"/>
  <c r="E473" i="3"/>
  <c r="E75" i="3"/>
  <c r="E93" i="3"/>
  <c r="E31" i="3"/>
  <c r="E14" i="3"/>
  <c r="E318" i="3"/>
  <c r="E357" i="3"/>
  <c r="E351" i="3"/>
  <c r="E257" i="3"/>
  <c r="E279" i="3"/>
  <c r="E208" i="3"/>
  <c r="E150" i="3"/>
  <c r="E168" i="3"/>
  <c r="E111" i="3"/>
  <c r="E54" i="3"/>
  <c r="E72" i="3"/>
  <c r="E463" i="3"/>
  <c r="E483" i="3"/>
  <c r="E498" i="3"/>
  <c r="E65" i="3"/>
  <c r="E47" i="3"/>
  <c r="E521" i="3"/>
  <c r="E540" i="3"/>
  <c r="E110" i="3"/>
  <c r="E58" i="3"/>
  <c r="E504" i="3"/>
  <c r="E375" i="3"/>
  <c r="E378" i="3"/>
  <c r="E348" i="3"/>
  <c r="E259" i="3"/>
  <c r="E297" i="3"/>
  <c r="E240" i="3"/>
  <c r="E155" i="3"/>
  <c r="E187" i="3"/>
  <c r="E131" i="3"/>
  <c r="E57" i="3"/>
  <c r="E90" i="3"/>
  <c r="E39" i="3"/>
  <c r="E496" i="3"/>
  <c r="E429" i="3"/>
  <c r="E447" i="3"/>
  <c r="E546" i="3"/>
  <c r="E476" i="3"/>
  <c r="E403" i="3"/>
  <c r="AS6" i="3"/>
  <c r="E547" i="3"/>
  <c r="E505" i="3"/>
  <c r="E367" i="3"/>
  <c r="E477" i="3"/>
  <c r="E432" i="3"/>
  <c r="P6" i="3"/>
  <c r="E448" i="3"/>
  <c r="AG6" i="3"/>
  <c r="E576" i="3"/>
  <c r="E173" i="3"/>
  <c r="E223" i="3"/>
  <c r="E161" i="3"/>
  <c r="E216" i="3"/>
  <c r="E538" i="3"/>
  <c r="E270" i="3"/>
  <c r="E577" i="3"/>
  <c r="AE6" i="3"/>
  <c r="E587" i="3"/>
  <c r="E344" i="3"/>
  <c r="E465" i="3"/>
  <c r="E424" i="3"/>
  <c r="E541" i="3"/>
  <c r="E442" i="3"/>
  <c r="R6" i="3"/>
  <c r="E575" i="3"/>
  <c r="E193" i="3"/>
  <c r="E45" i="3"/>
  <c r="E91" i="3"/>
  <c r="E321" i="3"/>
  <c r="E523" i="3"/>
  <c r="E352" i="3"/>
  <c r="E369" i="3"/>
  <c r="E204" i="3"/>
  <c r="E89" i="3"/>
  <c r="E134" i="3"/>
  <c r="E387" i="3"/>
  <c r="E514" i="3"/>
  <c r="E399" i="3"/>
  <c r="E156" i="3"/>
  <c r="E244" i="3"/>
  <c r="E453" i="3"/>
  <c r="E536" i="3"/>
  <c r="E568" i="3"/>
  <c r="E143" i="3"/>
  <c r="E410" i="3"/>
  <c r="E388" i="3"/>
  <c r="E361" i="3"/>
  <c r="E528" i="3"/>
  <c r="E328" i="3"/>
  <c r="E153" i="3"/>
  <c r="E319" i="3"/>
  <c r="E165" i="3"/>
  <c r="T37" i="71"/>
  <c r="D37" i="71"/>
  <c r="E61" i="39"/>
  <c r="E56" i="40"/>
  <c r="L107" i="43"/>
  <c r="L103" i="43"/>
  <c r="L106" i="43"/>
  <c r="L105" i="43"/>
  <c r="L104" i="43"/>
  <c r="L109" i="43"/>
  <c r="L102" i="43"/>
  <c r="E268" i="3"/>
  <c r="E569" i="3"/>
  <c r="E423" i="3"/>
  <c r="E407" i="3"/>
  <c r="E532" i="3"/>
  <c r="E474" i="3"/>
  <c r="E366" i="3"/>
  <c r="E282" i="3"/>
  <c r="E563" i="3"/>
  <c r="E445" i="3"/>
  <c r="E509" i="3"/>
  <c r="E431" i="3"/>
  <c r="E201" i="3"/>
  <c r="E495" i="3"/>
  <c r="E586" i="3"/>
  <c r="E350" i="3"/>
  <c r="E301" i="3"/>
  <c r="E99" i="3"/>
  <c r="E336" i="3"/>
  <c r="E559" i="3"/>
  <c r="E320" i="3"/>
  <c r="E254" i="3"/>
  <c r="E149" i="3"/>
  <c r="E167" i="3"/>
  <c r="E330" i="3"/>
  <c r="E534" i="3"/>
  <c r="T6" i="3"/>
  <c r="E405" i="3"/>
  <c r="E456" i="3"/>
  <c r="E469" i="3"/>
  <c r="E512" i="3"/>
  <c r="E114" i="3"/>
  <c r="E550" i="3"/>
  <c r="E396" i="3"/>
  <c r="E151" i="3"/>
  <c r="E578" i="3"/>
  <c r="E382" i="3"/>
  <c r="E188" i="3"/>
  <c r="E246" i="3"/>
  <c r="E294" i="3"/>
  <c r="E228" i="3"/>
  <c r="E519" i="3"/>
  <c r="Q6" i="3"/>
  <c r="E437" i="3"/>
  <c r="E472" i="3"/>
  <c r="E406" i="3"/>
  <c r="E125" i="3"/>
  <c r="E553" i="3"/>
  <c r="E278" i="3"/>
  <c r="E172" i="3"/>
  <c r="E579" i="3"/>
  <c r="E247" i="3"/>
  <c r="AN6" i="3"/>
  <c r="E402" i="3"/>
  <c r="E159" i="3"/>
  <c r="E583" i="3"/>
  <c r="V6" i="3"/>
  <c r="E181" i="3"/>
  <c r="E141" i="3"/>
  <c r="K6" i="3"/>
  <c r="E564" i="3"/>
  <c r="E427" i="3"/>
  <c r="E486" i="3"/>
  <c r="E422" i="3"/>
  <c r="E217" i="3"/>
  <c r="E415" i="3"/>
  <c r="E239" i="3"/>
  <c r="E229" i="3"/>
  <c r="AI6" i="3"/>
  <c r="E263" i="3"/>
  <c r="X6" i="3"/>
  <c r="E358" i="3"/>
  <c r="E157" i="3"/>
  <c r="E253" i="3"/>
  <c r="E573" i="3"/>
  <c r="E458" i="3"/>
  <c r="E527" i="3"/>
  <c r="E526" i="3"/>
  <c r="E322" i="3"/>
  <c r="E395" i="3"/>
  <c r="E516" i="3"/>
  <c r="E518" i="3"/>
  <c r="E245" i="3"/>
  <c r="E551" i="3"/>
  <c r="E77" i="3"/>
  <c r="E560" i="3"/>
  <c r="E481" i="3"/>
  <c r="E227" i="3"/>
  <c r="N6" i="3"/>
  <c r="E535" i="3"/>
  <c r="E353" i="3"/>
  <c r="E303" i="3"/>
  <c r="E293" i="3"/>
  <c r="E212" i="3"/>
  <c r="E543" i="3"/>
  <c r="E507" i="3"/>
  <c r="E567" i="3"/>
  <c r="AJ6" i="3"/>
  <c r="E260" i="3"/>
  <c r="E385" i="3"/>
  <c r="E191" i="3"/>
  <c r="E130" i="3"/>
  <c r="E313" i="3"/>
  <c r="E529" i="3"/>
  <c r="E438" i="3"/>
  <c r="D28" i="71"/>
  <c r="C29" i="71"/>
  <c r="L19" i="6"/>
  <c r="L27" i="6" s="1"/>
  <c r="K15" i="1"/>
  <c r="K16" i="1" s="1"/>
  <c r="AY583" i="3"/>
  <c r="AY208" i="3"/>
  <c r="AY517" i="3"/>
  <c r="BA6" i="3"/>
  <c r="AY345" i="3"/>
  <c r="AY324" i="3"/>
  <c r="AY550" i="3"/>
  <c r="AY273" i="3"/>
  <c r="AY469" i="3"/>
  <c r="AY565" i="3"/>
  <c r="AY251" i="3"/>
  <c r="AY121" i="3"/>
  <c r="AY198" i="3"/>
  <c r="AY379" i="3"/>
  <c r="AY421" i="3"/>
  <c r="AY548" i="3"/>
  <c r="AY385" i="3"/>
  <c r="AY89" i="3"/>
  <c r="AY154" i="3"/>
  <c r="AY303" i="3"/>
  <c r="AY133" i="3"/>
  <c r="AY166" i="3"/>
  <c r="BQ6" i="3"/>
  <c r="AY95" i="3"/>
  <c r="AY53" i="3"/>
  <c r="AY389" i="3"/>
  <c r="AY340" i="3"/>
  <c r="AY577" i="3"/>
  <c r="AY361" i="3"/>
  <c r="AY479" i="3"/>
  <c r="AY402" i="3"/>
  <c r="AY522" i="3"/>
  <c r="BP6" i="3"/>
  <c r="AY19" i="3"/>
  <c r="AY265" i="3"/>
  <c r="AY315" i="3"/>
  <c r="AY500" i="3"/>
  <c r="AY71" i="3"/>
  <c r="AY42" i="3"/>
  <c r="AY412" i="3"/>
  <c r="AY566" i="3"/>
  <c r="AY477" i="3"/>
  <c r="AY240" i="3"/>
  <c r="AY164" i="3"/>
  <c r="AY405" i="3"/>
  <c r="AY280" i="3"/>
  <c r="AY531" i="3"/>
  <c r="AY410" i="3"/>
  <c r="AY369" i="3"/>
  <c r="AY532" i="3"/>
  <c r="AY341" i="3"/>
  <c r="AY227" i="3"/>
  <c r="AY429" i="3"/>
  <c r="AY354" i="3"/>
  <c r="AY277" i="3"/>
  <c r="AY55" i="3"/>
  <c r="AY346" i="3"/>
  <c r="AY192" i="3"/>
  <c r="AY524" i="3"/>
  <c r="AY471" i="3"/>
  <c r="AY287" i="3"/>
  <c r="AY503" i="3"/>
  <c r="AY181" i="3"/>
  <c r="AY286" i="3"/>
  <c r="AY20" i="3"/>
  <c r="AY573" i="3"/>
  <c r="AY212" i="3"/>
  <c r="AY51" i="3"/>
  <c r="AY440" i="3"/>
  <c r="AY120" i="3"/>
  <c r="AY530" i="3"/>
  <c r="AY450" i="3"/>
  <c r="AY235" i="3"/>
  <c r="AY279" i="3"/>
  <c r="AY535" i="3"/>
  <c r="AY475" i="3"/>
  <c r="AY92" i="3"/>
  <c r="AY267" i="3"/>
  <c r="AY112" i="3"/>
  <c r="AY516" i="3"/>
  <c r="AY308" i="3"/>
  <c r="AY130" i="3"/>
  <c r="AY365" i="3"/>
  <c r="AY117" i="3"/>
  <c r="AY68" i="3"/>
  <c r="AY447" i="3"/>
  <c r="AY111" i="3"/>
  <c r="AY101" i="3"/>
  <c r="AY585" i="3"/>
  <c r="AY316" i="3"/>
  <c r="AY145" i="3"/>
  <c r="AY374" i="3"/>
  <c r="AY125" i="3"/>
  <c r="BE6" i="3"/>
  <c r="AY460" i="3"/>
  <c r="AY562" i="3"/>
  <c r="AY244" i="3"/>
  <c r="AY350" i="3"/>
  <c r="AY87" i="3"/>
  <c r="AY80" i="3"/>
  <c r="AY584" i="3"/>
  <c r="BF6" i="3"/>
  <c r="AY427" i="3"/>
  <c r="AY488" i="3"/>
  <c r="AY349" i="3"/>
  <c r="AY290" i="3"/>
  <c r="AY24" i="3"/>
  <c r="AY554" i="3"/>
  <c r="AY214" i="3"/>
  <c r="AY294" i="3"/>
  <c r="AY138" i="3"/>
  <c r="AY61" i="3"/>
  <c r="AY420" i="3"/>
  <c r="AY26" i="3"/>
  <c r="AY297" i="3"/>
  <c r="AY252" i="3"/>
  <c r="C34" i="69"/>
  <c r="C35" i="69" s="1"/>
  <c r="F45" i="68"/>
  <c r="J10" i="15"/>
  <c r="J5" i="15" s="1"/>
  <c r="J26" i="15" s="1"/>
  <c r="F45" i="69"/>
  <c r="O6" i="1"/>
  <c r="P6" i="1" s="1"/>
  <c r="AB21" i="39"/>
  <c r="U21" i="39"/>
  <c r="AB17" i="39"/>
  <c r="U17" i="39"/>
  <c r="W11" i="39"/>
  <c r="AC11" i="39"/>
  <c r="AY28" i="3"/>
  <c r="AY108" i="3"/>
  <c r="BK6" i="3"/>
  <c r="AY465" i="3"/>
  <c r="AY228" i="3"/>
  <c r="AY409" i="3"/>
  <c r="AY335" i="3"/>
  <c r="AY131" i="3"/>
  <c r="AY83" i="3"/>
  <c r="E66" i="39"/>
  <c r="AY160" i="3"/>
  <c r="AY284" i="3"/>
  <c r="S5" i="43"/>
  <c r="S6" i="43"/>
  <c r="S7" i="43"/>
  <c r="S2" i="43"/>
  <c r="S4" i="43"/>
  <c r="C23" i="43"/>
  <c r="C21" i="43" s="1"/>
  <c r="S3" i="43"/>
  <c r="S10" i="39"/>
  <c r="U7" i="37"/>
  <c r="AY31" i="3"/>
  <c r="AY163" i="3"/>
  <c r="AY237" i="3"/>
  <c r="AY75" i="3"/>
  <c r="AY387" i="3"/>
  <c r="AC10" i="40"/>
  <c r="W10" i="39"/>
  <c r="S7" i="34"/>
  <c r="F68" i="39"/>
  <c r="E70" i="39"/>
  <c r="P7" i="1"/>
  <c r="P16" i="1" s="1"/>
  <c r="C11" i="12" s="1"/>
  <c r="C12" i="12" s="1"/>
  <c r="C7" i="74"/>
  <c r="C8" i="74"/>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C53" i="67"/>
  <c r="C10" i="67"/>
  <c r="C5" i="67" s="1"/>
  <c r="C53" i="15"/>
  <c r="C10" i="15"/>
  <c r="C5" i="15" s="1"/>
  <c r="F25" i="12"/>
  <c r="F22" i="69"/>
  <c r="F41" i="69" s="1"/>
  <c r="F24" i="67"/>
  <c r="C24" i="67" s="1"/>
  <c r="F22" i="11"/>
  <c r="F22" i="68"/>
  <c r="F24" i="15"/>
  <c r="C24" i="15" s="1"/>
  <c r="C17" i="15"/>
  <c r="C48" i="67" l="1"/>
  <c r="C66" i="67" s="1"/>
  <c r="C19" i="67"/>
  <c r="C20" i="67" s="1"/>
  <c r="C26" i="67" s="1"/>
  <c r="E41" i="43"/>
  <c r="C41" i="43" s="1"/>
  <c r="C38" i="43" s="1"/>
  <c r="C48" i="15"/>
  <c r="C60" i="15" s="1"/>
  <c r="AY90" i="3"/>
  <c r="AY171" i="3"/>
  <c r="AY191" i="3"/>
  <c r="AY50" i="3"/>
  <c r="AY106" i="3"/>
  <c r="AY77" i="3"/>
  <c r="AY366" i="3"/>
  <c r="AY44" i="3"/>
  <c r="AY263" i="3"/>
  <c r="AY392" i="3"/>
  <c r="AY197" i="3"/>
  <c r="AY274" i="3"/>
  <c r="AY317" i="3"/>
  <c r="AY457" i="3"/>
  <c r="AY581" i="3"/>
  <c r="AY546" i="3"/>
  <c r="AY514" i="3"/>
  <c r="AY37" i="3"/>
  <c r="AY144" i="3"/>
  <c r="AY486" i="3"/>
  <c r="AY355" i="3"/>
  <c r="AY123" i="3"/>
  <c r="AY76" i="3"/>
  <c r="AY278" i="3"/>
  <c r="BH6" i="3"/>
  <c r="AY259" i="3"/>
  <c r="AY472" i="3"/>
  <c r="AY571" i="3"/>
  <c r="AY48" i="3"/>
  <c r="AY334" i="3"/>
  <c r="AY574" i="3"/>
  <c r="AY25" i="3"/>
  <c r="AY271" i="3"/>
  <c r="BI6" i="3"/>
  <c r="AY243" i="3"/>
  <c r="AY464" i="3"/>
  <c r="AY527" i="3"/>
  <c r="AY32" i="3"/>
  <c r="AY250" i="3"/>
  <c r="AY283" i="3"/>
  <c r="AY534" i="3"/>
  <c r="AY36" i="3"/>
  <c r="AY467" i="3"/>
  <c r="AY352" i="3"/>
  <c r="AY431" i="3"/>
  <c r="AY563" i="3"/>
  <c r="AY233" i="3"/>
  <c r="AY13" i="3"/>
  <c r="AY281" i="3"/>
  <c r="AY343" i="3"/>
  <c r="AY539" i="3"/>
  <c r="AY193" i="3"/>
  <c r="AY270" i="3"/>
  <c r="AY258" i="3"/>
  <c r="AY520" i="3"/>
  <c r="AY234" i="3"/>
  <c r="AY458" i="3"/>
  <c r="AY542" i="3"/>
  <c r="AY135" i="3"/>
  <c r="AY456" i="3"/>
  <c r="AY184" i="3"/>
  <c r="AY241" i="3"/>
  <c r="AY338" i="3"/>
  <c r="BD6" i="3"/>
  <c r="AY507" i="3"/>
  <c r="AY480" i="3"/>
  <c r="AY64" i="3"/>
  <c r="AY313" i="3"/>
  <c r="AY579" i="3"/>
  <c r="AY94" i="3"/>
  <c r="AY221" i="3"/>
  <c r="AY512" i="3"/>
  <c r="AY143" i="3"/>
  <c r="AY386" i="3"/>
  <c r="AY443" i="3"/>
  <c r="BT6" i="3"/>
  <c r="AY489" i="3"/>
  <c r="AY207" i="3"/>
  <c r="AY107" i="3"/>
  <c r="AY408" i="3"/>
  <c r="AY359" i="3"/>
  <c r="AY301" i="3"/>
  <c r="AY62" i="3"/>
  <c r="AY545" i="3"/>
  <c r="AY538" i="3"/>
  <c r="AY434" i="3"/>
  <c r="AY320" i="3"/>
  <c r="AY218" i="3"/>
  <c r="AY518" i="3"/>
  <c r="AY226" i="3"/>
  <c r="AY239" i="3"/>
  <c r="BO6" i="3"/>
  <c r="AY194" i="3"/>
  <c r="AY462" i="3"/>
  <c r="AY109" i="3"/>
  <c r="AY33" i="3"/>
  <c r="AY66" i="3"/>
  <c r="AY56" i="3"/>
  <c r="AY222" i="3"/>
  <c r="AY304" i="3"/>
  <c r="AY30" i="3"/>
  <c r="AY102" i="3"/>
  <c r="AY436" i="3"/>
  <c r="AY141" i="3"/>
  <c r="AY483" i="3"/>
  <c r="AY329" i="3"/>
  <c r="AY99" i="3"/>
  <c r="AY560" i="3"/>
  <c r="AY213" i="3"/>
  <c r="AY504" i="3"/>
  <c r="AY580" i="3"/>
  <c r="AY484" i="3"/>
  <c r="AY187" i="3"/>
  <c r="AY70" i="3"/>
  <c r="C8" i="68"/>
  <c r="B29" i="1"/>
  <c r="E6" i="6"/>
  <c r="C17" i="4"/>
  <c r="B4" i="52" s="1"/>
  <c r="B43" i="72" s="1"/>
  <c r="D19" i="11"/>
  <c r="C19" i="11" s="1"/>
  <c r="D14" i="12"/>
  <c r="D17" i="12" s="1"/>
  <c r="C17" i="12" s="1"/>
  <c r="D3" i="34"/>
  <c r="D3" i="21"/>
  <c r="D3" i="37"/>
  <c r="D37" i="11"/>
  <c r="AY463" i="3"/>
  <c r="AY153" i="3"/>
  <c r="AY223" i="3"/>
  <c r="AY230" i="3"/>
  <c r="AY146" i="3"/>
  <c r="AY321" i="3"/>
  <c r="AY110" i="3"/>
  <c r="AY528" i="3"/>
  <c r="AY326" i="3"/>
  <c r="AY162" i="3"/>
  <c r="AY370" i="3"/>
  <c r="AY380" i="3"/>
  <c r="AY570" i="3"/>
  <c r="AY437" i="3"/>
  <c r="AY256" i="3"/>
  <c r="BC6" i="3"/>
  <c r="AY438" i="3"/>
  <c r="AY328" i="3"/>
  <c r="AY78" i="3"/>
  <c r="AY587" i="3"/>
  <c r="AY375" i="3"/>
  <c r="AY567" i="3"/>
  <c r="AY105" i="3"/>
  <c r="AY285" i="3"/>
  <c r="AY88" i="3"/>
  <c r="AY499" i="3"/>
  <c r="AY136" i="3"/>
  <c r="AY276" i="3"/>
  <c r="AY269" i="3"/>
  <c r="AY122" i="3"/>
  <c r="AY537" i="3"/>
  <c r="AY482" i="3"/>
  <c r="AY116" i="3"/>
  <c r="AY52" i="3"/>
  <c r="AY72" i="3"/>
  <c r="AY14" i="3"/>
  <c r="AY362" i="3"/>
  <c r="AY416" i="3"/>
  <c r="AY215" i="3"/>
  <c r="BR6" i="3"/>
  <c r="AY424" i="3"/>
  <c r="AY15" i="3"/>
  <c r="AY292" i="3"/>
  <c r="AY353" i="3"/>
  <c r="AY40" i="3"/>
  <c r="AY461" i="3"/>
  <c r="AY140" i="3"/>
  <c r="AY22" i="3"/>
  <c r="AY557" i="3"/>
  <c r="AY291" i="3"/>
  <c r="AY406" i="3"/>
  <c r="AY312" i="3"/>
  <c r="AY46" i="3"/>
  <c r="AY91" i="3"/>
  <c r="AY367" i="3"/>
  <c r="AY498" i="3"/>
  <c r="AY552" i="3"/>
  <c r="AY442" i="3"/>
  <c r="AY127" i="3"/>
  <c r="AY195" i="3"/>
  <c r="AY322" i="3"/>
  <c r="AY501" i="3"/>
  <c r="AY435" i="3"/>
  <c r="AY399" i="3"/>
  <c r="AY216" i="3"/>
  <c r="AY236" i="3"/>
  <c r="AY238" i="3"/>
  <c r="AY543" i="3"/>
  <c r="AY426" i="3"/>
  <c r="AY179" i="3"/>
  <c r="AY306" i="3"/>
  <c r="AY174" i="3"/>
  <c r="AY376" i="3"/>
  <c r="AY432" i="3"/>
  <c r="AY119" i="3"/>
  <c r="AY272" i="3"/>
  <c r="AY220" i="3"/>
  <c r="AY261" i="3"/>
  <c r="AY204" i="3"/>
  <c r="AY23" i="3"/>
  <c r="AY58" i="3"/>
  <c r="AY318" i="3"/>
  <c r="AY395" i="3"/>
  <c r="AY452" i="3"/>
  <c r="AY569" i="3"/>
  <c r="AY206" i="3"/>
  <c r="AY139" i="3"/>
  <c r="AY260" i="3"/>
  <c r="AY549" i="3"/>
  <c r="AY149" i="3"/>
  <c r="BJ6" i="3"/>
  <c r="AY300" i="3"/>
  <c r="AY18" i="3"/>
  <c r="AY98" i="3"/>
  <c r="AY132" i="3"/>
  <c r="AY183" i="3"/>
  <c r="AY82" i="3"/>
  <c r="AY74" i="3"/>
  <c r="AY155" i="3"/>
  <c r="AY268" i="3"/>
  <c r="AY470" i="3"/>
  <c r="AY180" i="3"/>
  <c r="AY358" i="3"/>
  <c r="AY433" i="3"/>
  <c r="AY541" i="3"/>
  <c r="AY45" i="3"/>
  <c r="AY201" i="3"/>
  <c r="AY176" i="3"/>
  <c r="AY473" i="3"/>
  <c r="AY372" i="3"/>
  <c r="AY533" i="3"/>
  <c r="AY190" i="3"/>
  <c r="AY118" i="3"/>
  <c r="AY231" i="3"/>
  <c r="AY381" i="3"/>
  <c r="AY104" i="3"/>
  <c r="AY177" i="3"/>
  <c r="AY210" i="3"/>
  <c r="AY332" i="3"/>
  <c r="AY446" i="3"/>
  <c r="BM6" i="3"/>
  <c r="AY510" i="3"/>
  <c r="AY519" i="3"/>
  <c r="AY189" i="3"/>
  <c r="AY152" i="3"/>
  <c r="AY425" i="3"/>
  <c r="AY481" i="3"/>
  <c r="AY115" i="3"/>
  <c r="AY327" i="3"/>
  <c r="AY185" i="3"/>
  <c r="AY262" i="3"/>
  <c r="AY73" i="3"/>
  <c r="AY388" i="3"/>
  <c r="AY430" i="3"/>
  <c r="BG6" i="3"/>
  <c r="AY158" i="3"/>
  <c r="AY526" i="3"/>
  <c r="AY555" i="3"/>
  <c r="AY178" i="3"/>
  <c r="AY254" i="3"/>
  <c r="AY57" i="3"/>
  <c r="AY393" i="3"/>
  <c r="AY422" i="3"/>
  <c r="AY559" i="3"/>
  <c r="AY142" i="3"/>
  <c r="AY396" i="3"/>
  <c r="AY360" i="3"/>
  <c r="AY65" i="3"/>
  <c r="AY302" i="3"/>
  <c r="BN6" i="3"/>
  <c r="AY336" i="3"/>
  <c r="AY17" i="3"/>
  <c r="AY47" i="3"/>
  <c r="AY383" i="3"/>
  <c r="AY576" i="3"/>
  <c r="AY319" i="3"/>
  <c r="AY478" i="3"/>
  <c r="AY100" i="3"/>
  <c r="AY173" i="3"/>
  <c r="AY384" i="3"/>
  <c r="AY309" i="3"/>
  <c r="AY496" i="3"/>
  <c r="AY364" i="3"/>
  <c r="AY439" i="3"/>
  <c r="AY578" i="3"/>
  <c r="AY249" i="3"/>
  <c r="AY558" i="3"/>
  <c r="AY148" i="3"/>
  <c r="AY224" i="3"/>
  <c r="AY490" i="3"/>
  <c r="AY511" i="3"/>
  <c r="AY29" i="3"/>
  <c r="AY419" i="3"/>
  <c r="AY129" i="3"/>
  <c r="AY487" i="3"/>
  <c r="D3" i="6"/>
  <c r="D5" i="6" s="1"/>
  <c r="AY35" i="3"/>
  <c r="AY331" i="3"/>
  <c r="AY86" i="3"/>
  <c r="AY293" i="3"/>
  <c r="AY351" i="3"/>
  <c r="AY400" i="3"/>
  <c r="AY229" i="3"/>
  <c r="AY363" i="3"/>
  <c r="AY200" i="3"/>
  <c r="AY568" i="3"/>
  <c r="AY451" i="3"/>
  <c r="AY394" i="3"/>
  <c r="AY151" i="3"/>
  <c r="AY79" i="3"/>
  <c r="AY551" i="3"/>
  <c r="AY505" i="3"/>
  <c r="AY445" i="3"/>
  <c r="AY305" i="3"/>
  <c r="AY298" i="3"/>
  <c r="AY525" i="3"/>
  <c r="AY150" i="3"/>
  <c r="AY126" i="3"/>
  <c r="AY311" i="3"/>
  <c r="AY582" i="3"/>
  <c r="AY348" i="3"/>
  <c r="AY397" i="3"/>
  <c r="AY544" i="3"/>
  <c r="AY67" i="3"/>
  <c r="AY398" i="3"/>
  <c r="AY356" i="3"/>
  <c r="AY418" i="3"/>
  <c r="AY296" i="3"/>
  <c r="AY124" i="3"/>
  <c r="AY540" i="3"/>
  <c r="AY255" i="3"/>
  <c r="AY572" i="3"/>
  <c r="AY468" i="3"/>
  <c r="AY156" i="3"/>
  <c r="AY38" i="3"/>
  <c r="AY323" i="3"/>
  <c r="AY373" i="3"/>
  <c r="AY523" i="3"/>
  <c r="AY423" i="3"/>
  <c r="AY264" i="3"/>
  <c r="AY175" i="3"/>
  <c r="AY474" i="3"/>
  <c r="H6" i="3"/>
  <c r="E6" i="3" s="1"/>
  <c r="C8" i="71"/>
  <c r="T9" i="71"/>
  <c r="D9" i="71"/>
  <c r="U9" i="71" s="1"/>
  <c r="AY103" i="3"/>
  <c r="AY209" i="3"/>
  <c r="AY289" i="3"/>
  <c r="AY196" i="3"/>
  <c r="AY59" i="3"/>
  <c r="AY371" i="3"/>
  <c r="AY428" i="3"/>
  <c r="AY245" i="3"/>
  <c r="AY342" i="3"/>
  <c r="AY513" i="3"/>
  <c r="AY553" i="3"/>
  <c r="AY60" i="3"/>
  <c r="AY188" i="3"/>
  <c r="AY441" i="3"/>
  <c r="AY310" i="3"/>
  <c r="AY97" i="3"/>
  <c r="AY170" i="3"/>
  <c r="AY299" i="3"/>
  <c r="AY246" i="3"/>
  <c r="AY357" i="3"/>
  <c r="AY41" i="3"/>
  <c r="AY114" i="3"/>
  <c r="AY377" i="3"/>
  <c r="AY491" i="3"/>
  <c r="AY414" i="3"/>
  <c r="AY561" i="3"/>
  <c r="AY16" i="3"/>
  <c r="AY96" i="3"/>
  <c r="AY169" i="3"/>
  <c r="AY253" i="3"/>
  <c r="AY199" i="3"/>
  <c r="AY404" i="3"/>
  <c r="AY225" i="3"/>
  <c r="AY401" i="3"/>
  <c r="AY165" i="3"/>
  <c r="AY219" i="3"/>
  <c r="AY202" i="3"/>
  <c r="AY333" i="3"/>
  <c r="AY411" i="3"/>
  <c r="AY494" i="3"/>
  <c r="AY34" i="3"/>
  <c r="AY390" i="3"/>
  <c r="AY85" i="3"/>
  <c r="AY157" i="3"/>
  <c r="AY211" i="3"/>
  <c r="AY186" i="3"/>
  <c r="AY325" i="3"/>
  <c r="AY403" i="3"/>
  <c r="AY556" i="3"/>
  <c r="AY113" i="3"/>
  <c r="AY529" i="3"/>
  <c r="AY295" i="3"/>
  <c r="AY382" i="3"/>
  <c r="BS6" i="3"/>
  <c r="AY49" i="3"/>
  <c r="AY492" i="3"/>
  <c r="AY575" i="3"/>
  <c r="AY203" i="3"/>
  <c r="AY330" i="3"/>
  <c r="AY39" i="3"/>
  <c r="AY497" i="3"/>
  <c r="AY417" i="3"/>
  <c r="AY84" i="3"/>
  <c r="AY134" i="3"/>
  <c r="BB6" i="3"/>
  <c r="AY449" i="3"/>
  <c r="AY21" i="3"/>
  <c r="AY344" i="3"/>
  <c r="AY506" i="3"/>
  <c r="AY63" i="3"/>
  <c r="AY378" i="3"/>
  <c r="BL6" i="3"/>
  <c r="AY128" i="3"/>
  <c r="AY391" i="3"/>
  <c r="AY448" i="3"/>
  <c r="AY586" i="3"/>
  <c r="AY275" i="3"/>
  <c r="AY536" i="3"/>
  <c r="AY266" i="3"/>
  <c r="AY453" i="3"/>
  <c r="AY509" i="3"/>
  <c r="AY167" i="3"/>
  <c r="AY466" i="3"/>
  <c r="AY27" i="3"/>
  <c r="AY257" i="3"/>
  <c r="AY307" i="3"/>
  <c r="AY521" i="3"/>
  <c r="AY43" i="3"/>
  <c r="AY168" i="3"/>
  <c r="AY54" i="3"/>
  <c r="AY547" i="3"/>
  <c r="AY485" i="3"/>
  <c r="AY248" i="3"/>
  <c r="AY172" i="3"/>
  <c r="AY493" i="3"/>
  <c r="AY515" i="3"/>
  <c r="AY415" i="3"/>
  <c r="AY476" i="3"/>
  <c r="AY337" i="3"/>
  <c r="AY205" i="3"/>
  <c r="AY454" i="3"/>
  <c r="AY93" i="3"/>
  <c r="AY182" i="3"/>
  <c r="AY444" i="3"/>
  <c r="AY495" i="3"/>
  <c r="AY242" i="3"/>
  <c r="AY247" i="3"/>
  <c r="AY217" i="3"/>
  <c r="AY147" i="3"/>
  <c r="AY137" i="3"/>
  <c r="AY508" i="3"/>
  <c r="AY564" i="3"/>
  <c r="AY347" i="3"/>
  <c r="AY455" i="3"/>
  <c r="AY69" i="3"/>
  <c r="AY368" i="3"/>
  <c r="AY81" i="3"/>
  <c r="AY407" i="3"/>
  <c r="AY232" i="3"/>
  <c r="AY159" i="3"/>
  <c r="AY459" i="3"/>
  <c r="AY161" i="3"/>
  <c r="AY282" i="3"/>
  <c r="AY502" i="3"/>
  <c r="AY314" i="3"/>
  <c r="AY288" i="3"/>
  <c r="AY413" i="3"/>
  <c r="T29" i="71"/>
  <c r="D29" i="71"/>
  <c r="J24" i="15"/>
  <c r="D9" i="6"/>
  <c r="C18" i="4"/>
  <c r="A7" i="51" s="1"/>
  <c r="B7" i="72" s="1"/>
  <c r="D28" i="6"/>
  <c r="D15" i="6"/>
  <c r="D6" i="6"/>
  <c r="D10" i="6"/>
  <c r="D8" i="6"/>
  <c r="D26" i="6"/>
  <c r="E61" i="40"/>
  <c r="D12" i="6"/>
  <c r="D24" i="6"/>
  <c r="D22" i="6"/>
  <c r="C38" i="69"/>
  <c r="O16" i="1"/>
  <c r="C29" i="68"/>
  <c r="D27" i="68" s="1"/>
  <c r="C29" i="11"/>
  <c r="D27" i="11" s="1"/>
  <c r="B23" i="1"/>
  <c r="C26" i="68" s="1"/>
  <c r="D22" i="68" s="1"/>
  <c r="B24" i="1"/>
  <c r="F50" i="68" s="1"/>
  <c r="E6" i="70"/>
  <c r="E2" i="70" s="1"/>
  <c r="C15" i="12"/>
  <c r="F70" i="39"/>
  <c r="G68" i="39"/>
  <c r="T12" i="43"/>
  <c r="V12" i="43" s="1"/>
  <c r="C36" i="43"/>
  <c r="T15" i="43"/>
  <c r="V15" i="43" s="1"/>
  <c r="C34" i="43"/>
  <c r="T7" i="43"/>
  <c r="V7" i="43" s="1"/>
  <c r="T16" i="43"/>
  <c r="V16" i="43" s="1"/>
  <c r="T8" i="43"/>
  <c r="V8" i="43" s="1"/>
  <c r="T14" i="43"/>
  <c r="V14" i="43" s="1"/>
  <c r="T11" i="43"/>
  <c r="V11" i="43" s="1"/>
  <c r="C35" i="43"/>
  <c r="T9" i="43"/>
  <c r="V9" i="43" s="1"/>
  <c r="C37" i="43"/>
  <c r="T4" i="43"/>
  <c r="V4" i="43" s="1"/>
  <c r="T13" i="43"/>
  <c r="V13" i="43" s="1"/>
  <c r="T3" i="43"/>
  <c r="V3" i="43" s="1"/>
  <c r="T6" i="43"/>
  <c r="V6" i="43" s="1"/>
  <c r="T10" i="43"/>
  <c r="V10" i="43" s="1"/>
  <c r="C33" i="43"/>
  <c r="T2" i="43"/>
  <c r="V2" i="43" s="1"/>
  <c r="T5" i="43"/>
  <c r="V5" i="43" s="1"/>
  <c r="C29" i="43"/>
  <c r="T6" i="1"/>
  <c r="AQ6" i="1"/>
  <c r="S16" i="1"/>
  <c r="AR6" i="1"/>
  <c r="H26" i="6"/>
  <c r="S26" i="6"/>
  <c r="H20" i="6"/>
  <c r="S20" i="6"/>
  <c r="H21" i="6"/>
  <c r="S21" i="6"/>
  <c r="H24" i="6"/>
  <c r="S24" i="6"/>
  <c r="S22" i="6"/>
  <c r="H22" i="6"/>
  <c r="R22" i="6" s="1"/>
  <c r="H25" i="6"/>
  <c r="S25" i="6"/>
  <c r="K27" i="6"/>
  <c r="M19" i="6"/>
  <c r="H23" i="6"/>
  <c r="S23" i="6"/>
  <c r="A10" i="51"/>
  <c r="B9" i="7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44" i="11"/>
  <c r="D41" i="11" s="1"/>
  <c r="C23" i="11"/>
  <c r="C26" i="11"/>
  <c r="D22" i="11" s="1"/>
  <c r="C38" i="67"/>
  <c r="C38" i="15"/>
  <c r="C14" i="15"/>
  <c r="C60" i="67" l="1"/>
  <c r="C23" i="67"/>
  <c r="C29" i="67" s="1"/>
  <c r="C13" i="67" s="1"/>
  <c r="C39" i="43"/>
  <c r="E39" i="43" s="1"/>
  <c r="C66" i="15"/>
  <c r="C20" i="11"/>
  <c r="C25" i="11" s="1"/>
  <c r="C28" i="11"/>
  <c r="C27" i="11" s="1"/>
  <c r="R25" i="6"/>
  <c r="C4" i="52"/>
  <c r="B45" i="72" s="1"/>
  <c r="D13" i="6"/>
  <c r="D14" i="6"/>
  <c r="D16" i="6" s="1"/>
  <c r="D20" i="6"/>
  <c r="R20" i="6" s="1"/>
  <c r="D20" i="12"/>
  <c r="C20" i="12" s="1"/>
  <c r="C18" i="12" s="1"/>
  <c r="D10" i="11"/>
  <c r="C10" i="11" s="1"/>
  <c r="D10" i="68"/>
  <c r="D10" i="69"/>
  <c r="C24" i="11"/>
  <c r="C7" i="71"/>
  <c r="D8" i="71"/>
  <c r="D25" i="6"/>
  <c r="C38" i="39"/>
  <c r="D21" i="6"/>
  <c r="R21" i="6" s="1"/>
  <c r="D29" i="6"/>
  <c r="D30" i="6" s="1"/>
  <c r="D11" i="6"/>
  <c r="D23" i="6"/>
  <c r="R23" i="6" s="1"/>
  <c r="D19" i="6"/>
  <c r="M19" i="9" s="1"/>
  <c r="C118" i="9" s="1"/>
  <c r="C14" i="74" s="1"/>
  <c r="B2" i="74" s="1"/>
  <c r="R24" i="6"/>
  <c r="R26" i="6"/>
  <c r="C19" i="68"/>
  <c r="C24" i="68" s="1"/>
  <c r="C29" i="12"/>
  <c r="D28" i="12" s="1"/>
  <c r="J53" i="15"/>
  <c r="Q52" i="15" s="1"/>
  <c r="M59" i="15"/>
  <c r="L59" i="15" s="1"/>
  <c r="Q74" i="15" s="1"/>
  <c r="F11" i="12"/>
  <c r="C14" i="12" s="1"/>
  <c r="C16" i="12" s="1"/>
  <c r="C21" i="12" s="1"/>
  <c r="C22" i="12" s="1"/>
  <c r="F34" i="68"/>
  <c r="C26" i="12"/>
  <c r="D25" i="12" s="1"/>
  <c r="M59" i="67"/>
  <c r="J53" i="67"/>
  <c r="F1" i="67" s="1"/>
  <c r="F34" i="11"/>
  <c r="C37" i="11" s="1"/>
  <c r="F50" i="69"/>
  <c r="F50" i="11"/>
  <c r="C18" i="15"/>
  <c r="C15" i="15"/>
  <c r="T16" i="1"/>
  <c r="H68" i="39"/>
  <c r="G70" i="39"/>
  <c r="C36" i="11"/>
  <c r="G33" i="43"/>
  <c r="I33" i="43" s="1"/>
  <c r="E33" i="43"/>
  <c r="E37" i="43"/>
  <c r="G37" i="43"/>
  <c r="I37" i="43" s="1"/>
  <c r="E35" i="43"/>
  <c r="G35" i="43"/>
  <c r="I35" i="43" s="1"/>
  <c r="G34" i="43"/>
  <c r="I34" i="43" s="1"/>
  <c r="E34" i="43"/>
  <c r="E36" i="43"/>
  <c r="G36" i="43"/>
  <c r="I36" i="43" s="1"/>
  <c r="E38" i="43"/>
  <c r="G38" i="43"/>
  <c r="I38" i="43" s="1"/>
  <c r="C30" i="43"/>
  <c r="E30" i="43" s="1"/>
  <c r="E29" i="43"/>
  <c r="M27" i="6"/>
  <c r="I19" i="6"/>
  <c r="L18" i="9"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Q49" i="67" l="1"/>
  <c r="C57" i="67"/>
  <c r="C61" i="67" s="1"/>
  <c r="C59" i="67" s="1"/>
  <c r="C36" i="67"/>
  <c r="J14" i="67"/>
  <c r="J13" i="67" s="1"/>
  <c r="J23" i="67" s="1"/>
  <c r="J59" i="67"/>
  <c r="J60" i="67" s="1"/>
  <c r="L46" i="67" s="1"/>
  <c r="C33" i="67"/>
  <c r="C31" i="67" s="1"/>
  <c r="J19" i="67"/>
  <c r="J17" i="67" s="1"/>
  <c r="G39" i="43"/>
  <c r="I39" i="43" s="1"/>
  <c r="C22" i="11"/>
  <c r="C31" i="11" s="1"/>
  <c r="F38" i="39"/>
  <c r="J38" i="39"/>
  <c r="H38" i="39"/>
  <c r="D7" i="74"/>
  <c r="D8" i="74"/>
  <c r="C6" i="71"/>
  <c r="D7" i="71"/>
  <c r="D19" i="68"/>
  <c r="D37" i="68" s="1"/>
  <c r="C37" i="68" s="1"/>
  <c r="C10" i="68"/>
  <c r="D27" i="6"/>
  <c r="D31" i="6" s="1"/>
  <c r="I6" i="6" s="1"/>
  <c r="C10" i="69"/>
  <c r="C8" i="69" s="1"/>
  <c r="C5" i="69" s="1"/>
  <c r="C23" i="69" s="1"/>
  <c r="D19" i="69"/>
  <c r="I5" i="6"/>
  <c r="Q52" i="67"/>
  <c r="Q61" i="15"/>
  <c r="C19" i="15"/>
  <c r="C20" i="15" s="1"/>
  <c r="C26" i="15" s="1"/>
  <c r="C34" i="68"/>
  <c r="C35" i="68" s="1"/>
  <c r="F1" i="15"/>
  <c r="C34" i="11"/>
  <c r="C38" i="11" s="1"/>
  <c r="L56" i="15"/>
  <c r="C36" i="68"/>
  <c r="I68" i="39"/>
  <c r="H70" i="39"/>
  <c r="C26" i="43"/>
  <c r="B2" i="43" s="1"/>
  <c r="C27" i="43"/>
  <c r="I27" i="6"/>
  <c r="S19" i="6"/>
  <c r="S27" i="6" s="1"/>
  <c r="H19" i="6"/>
  <c r="L19" i="9" s="1"/>
  <c r="I63" i="40"/>
  <c r="H65" i="40"/>
  <c r="I58" i="21"/>
  <c r="J58" i="21" s="1"/>
  <c r="K58" i="21" s="1"/>
  <c r="L58" i="21" s="1"/>
  <c r="M58" i="21" s="1"/>
  <c r="N58" i="21" s="1"/>
  <c r="O58" i="21" s="1"/>
  <c r="H7" i="21" s="1"/>
  <c r="J48" i="35"/>
  <c r="C64" i="67"/>
  <c r="C56" i="67"/>
  <c r="C65" i="67" s="1"/>
  <c r="C75" i="67"/>
  <c r="Q70" i="67"/>
  <c r="C37" i="67"/>
  <c r="B6" i="76"/>
  <c r="AE6" i="1"/>
  <c r="E6" i="76"/>
  <c r="C30" i="67" l="1"/>
  <c r="C39" i="67" s="1"/>
  <c r="Q69" i="67" s="1"/>
  <c r="Q68" i="67" s="1"/>
  <c r="J22" i="67"/>
  <c r="J16" i="67" s="1"/>
  <c r="J25" i="67" s="1"/>
  <c r="C19" i="69"/>
  <c r="C24" i="69" s="1"/>
  <c r="D37" i="69"/>
  <c r="C37" i="69" s="1"/>
  <c r="C33" i="69" s="1"/>
  <c r="AB38" i="39"/>
  <c r="U38" i="39"/>
  <c r="D6" i="71"/>
  <c r="C5" i="71"/>
  <c r="W38" i="39"/>
  <c r="AC38" i="39"/>
  <c r="AA38" i="39"/>
  <c r="S38" i="39"/>
  <c r="C35" i="11"/>
  <c r="C33" i="11" s="1"/>
  <c r="C42" i="11" s="1"/>
  <c r="C38" i="68"/>
  <c r="C33" i="68" s="1"/>
  <c r="Q48" i="67"/>
  <c r="C23" i="15"/>
  <c r="C29" i="15" s="1"/>
  <c r="F7" i="21"/>
  <c r="S7" i="21" s="1"/>
  <c r="I70" i="39"/>
  <c r="J68" i="39"/>
  <c r="E2" i="76"/>
  <c r="B2" i="76"/>
  <c r="B3" i="43"/>
  <c r="H27" i="6"/>
  <c r="R19" i="6"/>
  <c r="J7" i="21"/>
  <c r="AC7" i="21" s="1"/>
  <c r="V48" i="21" s="1"/>
  <c r="I48" i="21" s="1"/>
  <c r="U7" i="21"/>
  <c r="AB7" i="21"/>
  <c r="T48" i="21" s="1"/>
  <c r="G48" i="21" s="1"/>
  <c r="J63" i="40"/>
  <c r="I65" i="40"/>
  <c r="K48" i="35"/>
  <c r="L48" i="35" s="1"/>
  <c r="M48" i="35" s="1"/>
  <c r="N48" i="35" s="1"/>
  <c r="O48" i="35" s="1"/>
  <c r="H7" i="35" s="1"/>
  <c r="C58" i="67"/>
  <c r="C67" i="67" s="1"/>
  <c r="C68" i="67" s="1"/>
  <c r="F41" i="15"/>
  <c r="L51" i="67"/>
  <c r="C80" i="67" l="1"/>
  <c r="C79" i="67" s="1"/>
  <c r="C40" i="67"/>
  <c r="C43" i="67" s="1"/>
  <c r="C20" i="69"/>
  <c r="C28" i="69" s="1"/>
  <c r="C27" i="69" s="1"/>
  <c r="D5" i="71"/>
  <c r="M20" i="43"/>
  <c r="C39" i="69"/>
  <c r="C42" i="69"/>
  <c r="AA7" i="21"/>
  <c r="R48" i="21" s="1"/>
  <c r="E48" i="21" s="1"/>
  <c r="C57" i="15"/>
  <c r="C61" i="15" s="1"/>
  <c r="J59" i="15"/>
  <c r="J60" i="15" s="1"/>
  <c r="J7" i="35"/>
  <c r="W7" i="35" s="1"/>
  <c r="F69" i="15"/>
  <c r="J29" i="15"/>
  <c r="C13" i="15"/>
  <c r="Q70" i="15" s="1"/>
  <c r="Q49" i="15"/>
  <c r="J14" i="15"/>
  <c r="J13" i="15" s="1"/>
  <c r="J23" i="15" s="1"/>
  <c r="J19" i="15"/>
  <c r="C36" i="15"/>
  <c r="J70" i="39"/>
  <c r="K68" i="39"/>
  <c r="C39" i="11"/>
  <c r="C46" i="11" s="1"/>
  <c r="C45" i="11" s="1"/>
  <c r="C39" i="68"/>
  <c r="C43" i="68" s="1"/>
  <c r="C42" i="68"/>
  <c r="B3" i="76"/>
  <c r="R27" i="6"/>
  <c r="R6" i="1"/>
  <c r="W7" i="21"/>
  <c r="J65" i="40"/>
  <c r="K63" i="40"/>
  <c r="I52" i="21"/>
  <c r="J52" i="21" s="1"/>
  <c r="U7" i="35"/>
  <c r="AB7" i="35"/>
  <c r="T38" i="35" s="1"/>
  <c r="G38" i="35" s="1"/>
  <c r="R49" i="21"/>
  <c r="G52" i="21"/>
  <c r="H52" i="21" s="1"/>
  <c r="G53" i="21"/>
  <c r="H53" i="21" s="1"/>
  <c r="F7" i="35"/>
  <c r="Q67" i="67"/>
  <c r="L57" i="67"/>
  <c r="L60" i="67" s="1"/>
  <c r="C71" i="67"/>
  <c r="C83" i="67"/>
  <c r="C82" i="67" s="1"/>
  <c r="M21" i="15"/>
  <c r="F35" i="15"/>
  <c r="Q56" i="67" l="1"/>
  <c r="C45" i="67"/>
  <c r="C46" i="67" s="1"/>
  <c r="Q47" i="67"/>
  <c r="Q53" i="67" s="1"/>
  <c r="D2" i="67"/>
  <c r="B2" i="67" s="1"/>
  <c r="Q65" i="67"/>
  <c r="C25" i="69"/>
  <c r="C22" i="69" s="1"/>
  <c r="C31" i="69" s="1"/>
  <c r="C43" i="69"/>
  <c r="C41" i="69" s="1"/>
  <c r="C46" i="69"/>
  <c r="C45" i="69" s="1"/>
  <c r="C64" i="15"/>
  <c r="Q48" i="15"/>
  <c r="AC7" i="35"/>
  <c r="V38" i="35" s="1"/>
  <c r="I38"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l="1"/>
  <c r="B3" i="67"/>
  <c r="C49" i="69"/>
  <c r="C51" i="69" s="1"/>
  <c r="C52" i="69" s="1"/>
  <c r="B2" i="69" s="1"/>
  <c r="B3" i="69" s="1"/>
  <c r="C58" i="15"/>
  <c r="C67" i="15" s="1"/>
  <c r="C68" i="15" s="1"/>
  <c r="C71" i="15" s="1"/>
  <c r="C30" i="15"/>
  <c r="C39" i="15" s="1"/>
  <c r="Q69" i="15" s="1"/>
  <c r="Q68" i="15" s="1"/>
  <c r="J16" i="15"/>
  <c r="J25" i="15" s="1"/>
  <c r="M68" i="39"/>
  <c r="L70" i="39"/>
  <c r="C49" i="68"/>
  <c r="C51" i="68" s="1"/>
  <c r="C56" i="11"/>
  <c r="C57" i="11" s="1"/>
  <c r="R39" i="35"/>
  <c r="E38" i="35"/>
  <c r="M63" i="40"/>
  <c r="L65" i="40"/>
  <c r="C57" i="69" l="1"/>
  <c r="C56" i="69" s="1"/>
  <c r="C40" i="15"/>
  <c r="C8" i="12" s="1"/>
  <c r="C4" i="12" s="1"/>
  <c r="C31" i="12" s="1"/>
  <c r="L57" i="15"/>
  <c r="L60" i="15" s="1"/>
  <c r="C80" i="15"/>
  <c r="C79" i="15" s="1"/>
  <c r="M70" i="39"/>
  <c r="C39" i="35"/>
  <c r="B2" i="35" s="1"/>
  <c r="B3" i="35" s="1"/>
  <c r="C38" i="35"/>
  <c r="N63" i="40"/>
  <c r="M65" i="40"/>
  <c r="E43" i="35"/>
  <c r="F43" i="35" s="1"/>
  <c r="E42" i="35"/>
  <c r="F42" i="35" s="1"/>
  <c r="I43" i="35"/>
  <c r="J43" i="35" s="1"/>
  <c r="L51" i="15"/>
  <c r="C43" i="15" l="1"/>
  <c r="C6" i="12" s="1"/>
  <c r="C23" i="12"/>
  <c r="C30" i="12" s="1"/>
  <c r="C28" i="12" s="1"/>
  <c r="Q56" i="15"/>
  <c r="C46" i="15"/>
  <c r="Q47" i="15"/>
  <c r="Q53" i="15" s="1"/>
  <c r="C83" i="15"/>
  <c r="C82" i="15" s="1"/>
  <c r="Q65" i="15"/>
  <c r="Q67" i="15"/>
  <c r="Q66" i="15"/>
  <c r="L46" i="15"/>
  <c r="B2" i="15" s="1"/>
  <c r="Q57" i="15"/>
  <c r="O70" i="39"/>
  <c r="N70" i="39"/>
  <c r="F7" i="39" s="1"/>
  <c r="J7" i="39"/>
  <c r="O63" i="40"/>
  <c r="O65" i="40" s="1"/>
  <c r="N65" i="40"/>
  <c r="AO6" i="1"/>
  <c r="Q62" i="15" l="1"/>
  <c r="C27" i="12"/>
  <c r="C25" i="12" s="1"/>
  <c r="C32" i="12" s="1"/>
  <c r="B2" i="12" s="1"/>
  <c r="Q75" i="15"/>
  <c r="B3" i="15"/>
  <c r="B6" i="70"/>
  <c r="B2" i="70" s="1"/>
  <c r="B3" i="70" s="1"/>
  <c r="H7" i="39"/>
  <c r="AB7" i="39" s="1"/>
  <c r="T47" i="39" s="1"/>
  <c r="G47" i="39" s="1"/>
  <c r="AC7" i="39"/>
  <c r="V47" i="39" s="1"/>
  <c r="I47" i="39" s="1"/>
  <c r="W7" i="39"/>
  <c r="AA7" i="39"/>
  <c r="R47" i="39" s="1"/>
  <c r="S7" i="39"/>
  <c r="J7" i="40"/>
  <c r="F7" i="40"/>
  <c r="H7" i="40"/>
  <c r="U7" i="39" l="1"/>
  <c r="G51" i="39"/>
  <c r="H51" i="39" s="1"/>
  <c r="G52" i="39"/>
  <c r="H52" i="39" s="1"/>
  <c r="R48" i="39"/>
  <c r="E47" i="39"/>
  <c r="I52" i="39" s="1"/>
  <c r="J52" i="39" s="1"/>
  <c r="I51" i="39"/>
  <c r="J51" i="39" s="1"/>
  <c r="B3" i="12"/>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C6" i="68" s="1"/>
  <c r="C7" i="68" s="1"/>
  <c r="C5" i="68" s="1"/>
  <c r="B64" i="39"/>
  <c r="F64" i="39" s="1"/>
  <c r="B65" i="39"/>
  <c r="F65" i="39" s="1"/>
  <c r="B61" i="39"/>
  <c r="F61" i="39" s="1"/>
  <c r="B60" i="39"/>
  <c r="F60" i="39" s="1"/>
  <c r="C42" i="40"/>
  <c r="C43" i="40"/>
  <c r="E47" i="40"/>
  <c r="F47" i="40" s="1"/>
  <c r="E46" i="40"/>
  <c r="F46" i="40" s="1"/>
  <c r="I47" i="40"/>
  <c r="J47" i="40" s="1"/>
  <c r="C23" i="68" l="1"/>
  <c r="C20" i="68"/>
  <c r="C25" i="68" s="1"/>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s="1"/>
  <c r="C19" i="9"/>
  <c r="D19" i="9"/>
  <c r="C102" i="9" l="1"/>
  <c r="C21" i="9"/>
  <c r="C57" i="68"/>
  <c r="C56" i="68" s="1"/>
  <c r="G19" i="9"/>
  <c r="G21" i="9" s="1"/>
  <c r="D102" i="9"/>
  <c r="D22" i="9"/>
  <c r="D21" i="9"/>
  <c r="B3" i="68"/>
  <c r="D59" i="9"/>
  <c r="M55" i="9" s="1"/>
  <c r="B6" i="74"/>
  <c r="C20" i="9"/>
  <c r="D34" i="9"/>
  <c r="D20" i="9"/>
  <c r="D35" i="9"/>
  <c r="C103" i="9" l="1"/>
  <c r="G20" i="9"/>
  <c r="B20" i="3" s="1"/>
  <c r="D103" i="9"/>
  <c r="C6" i="74"/>
  <c r="D6" i="74"/>
  <c r="C32" i="9" l="1"/>
  <c r="C35" i="9" s="1"/>
  <c r="AW20" i="3"/>
  <c r="H118" i="9" l="1"/>
  <c r="D14" i="74" s="1"/>
  <c r="C34" i="9"/>
  <c r="D118" i="9" s="1"/>
  <c r="F118" i="9"/>
  <c r="H101" i="9" l="1"/>
  <c r="D5" i="53" s="1"/>
  <c r="I118" i="9"/>
  <c r="I4" i="52" s="1"/>
  <c r="C104" i="9"/>
  <c r="H4" i="52"/>
  <c r="H119" i="9"/>
  <c r="H5" i="52" s="1"/>
  <c r="G118" i="9"/>
  <c r="G4" i="52" s="1"/>
  <c r="B52" i="72" s="1"/>
  <c r="F119" i="9"/>
  <c r="F5" i="52" s="1"/>
  <c r="B53" i="72" s="1"/>
  <c r="F4" i="52"/>
  <c r="B51" i="72" s="1"/>
  <c r="D119" i="9"/>
  <c r="D5" i="52" s="1"/>
  <c r="B49" i="72" s="1"/>
  <c r="D4" i="52"/>
  <c r="B47" i="72" s="1"/>
  <c r="E14" i="74"/>
  <c r="F14" i="74"/>
  <c r="D45" i="9"/>
  <c r="H107" i="9" l="1"/>
  <c r="D122" i="9" s="1"/>
  <c r="M48" i="9"/>
  <c r="C105" i="9"/>
  <c r="H102" i="9"/>
  <c r="D7" i="53" s="1"/>
  <c r="B21" i="72" s="1"/>
  <c r="E118" i="9"/>
  <c r="E4" i="52" s="1"/>
  <c r="B48" i="72" s="1"/>
  <c r="C64" i="9"/>
  <c r="C63" i="9" s="1"/>
  <c r="C67" i="9" s="1"/>
  <c r="C68" i="9" s="1"/>
  <c r="D54" i="9" s="1"/>
  <c r="D48" i="9" s="1"/>
  <c r="M52" i="9" s="1"/>
  <c r="C78" i="9"/>
  <c r="C73" i="9" s="1"/>
  <c r="D53" i="9"/>
  <c r="D55" i="9"/>
  <c r="M53" i="9" s="1"/>
  <c r="D52" i="9"/>
  <c r="C85" i="9"/>
  <c r="C72" i="9"/>
  <c r="C93" i="9"/>
  <c r="C86" i="9" s="1"/>
  <c r="B20" i="72"/>
  <c r="D6" i="53"/>
  <c r="B22" i="72" s="1"/>
  <c r="F15" i="74"/>
  <c r="E15" i="74"/>
  <c r="M49" i="9" l="1"/>
  <c r="L67" i="9" s="1"/>
  <c r="M67" i="9" s="1"/>
  <c r="H108" i="9"/>
  <c r="D15" i="53" s="1"/>
  <c r="B31" i="72" s="1"/>
  <c r="D13" i="53"/>
  <c r="B30" i="72" s="1"/>
  <c r="C79" i="9"/>
  <c r="C80" i="9" s="1"/>
  <c r="E80" i="9" s="1"/>
  <c r="E81" i="9" s="1"/>
  <c r="C95" i="9"/>
  <c r="C96" i="9" s="1"/>
  <c r="E96" i="9" s="1"/>
  <c r="E97" i="9" s="1"/>
  <c r="D8" i="52"/>
  <c r="D123" i="9"/>
  <c r="D9" i="52" s="1"/>
  <c r="D14" i="53" l="1"/>
  <c r="B32" i="72" s="1"/>
  <c r="L66" i="9"/>
  <c r="M66" i="9" s="1"/>
  <c r="L63" i="9"/>
  <c r="M63" i="9" s="1"/>
  <c r="L64" i="9"/>
  <c r="M64" i="9" s="1"/>
  <c r="L68" i="9"/>
  <c r="M68" i="9" s="1"/>
  <c r="L65" i="9"/>
  <c r="M65" i="9" s="1"/>
  <c r="C81" i="9"/>
  <c r="D58" i="9" s="1"/>
  <c r="D56" i="9" s="1"/>
  <c r="M54" i="9" s="1"/>
  <c r="N57" i="9" s="1"/>
  <c r="C97" i="9"/>
  <c r="F16" i="74"/>
  <c r="E16" i="74"/>
  <c r="M69" i="9" l="1"/>
  <c r="N69" i="9" s="1"/>
  <c r="N59" i="9"/>
  <c r="P57" i="9"/>
  <c r="N58" i="9"/>
  <c r="N60" i="9" l="1"/>
  <c r="N61" i="9"/>
  <c r="F17" i="74"/>
  <c r="E17" i="74"/>
  <c r="F18" i="74" l="1"/>
  <c r="E18" i="74"/>
  <c r="B5" i="74"/>
  <c r="F6" i="74" s="1"/>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<sst xmlns="http://schemas.openxmlformats.org/spreadsheetml/2006/main" count="7923" uniqueCount="3327">
  <si>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</si>
  <si>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</si>
  <si>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</si>
  <si>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</si>
  <si>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</si>
  <si>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</si>
  <si>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</si>
  <si>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</si>
  <si>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</si>
  <si>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</si>
  <si>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</si>
  <si>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</si>
  <si>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</si>
  <si>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</si>
  <si>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</si>
  <si>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</si>
  <si>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</si>
  <si>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</si>
  <si>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</si>
  <si>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</si>
  <si>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</si>
  <si>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</si>
  <si>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</si>
  <si>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</si>
  <si>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</si>
  <si>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</si>
  <si>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</si>
  <si>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</si>
  <si>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</si>
  <si>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</si>
  <si>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</si>
  <si>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</si>
  <si>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</si>
  <si>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</si>
  <si>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</si>
  <si>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</si>
  <si>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</si>
  <si>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</si>
  <si>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</si>
  <si>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</si>
  <si>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</si>
  <si>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</si>
  <si>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</si>
  <si>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</si>
  <si>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</si>
  <si>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</si>
  <si>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</si>
  <si>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</si>
  <si>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</si>
  <si>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</si>
  <si>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</si>
  <si>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</si>
  <si>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</si>
  <si>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</si>
  <si>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</si>
  <si>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</si>
  <si>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</si>
  <si>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</si>
  <si>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</si>
  <si>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</si>
  <si>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</si>
  <si>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</si>
  <si>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</si>
  <si>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</si>
  <si>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</si>
  <si>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</si>
  <si>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</si>
  <si>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</si>
  <si>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</si>
  <si>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</si>
  <si>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</si>
  <si>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</si>
  <si>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</si>
  <si>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</si>
  <si>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</si>
  <si>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</si>
  <si>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</si>
  <si>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</si>
  <si>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</si>
  <si>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</si>
  <si>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</si>
  <si>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</si>
  <si>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</si>
  <si>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</si>
  <si>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</si>
  <si>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</si>
  <si>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</si>
  <si>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</si>
  <si>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</si>
  <si>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</si>
  <si>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</si>
  <si>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</si>
  <si>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</si>
  <si>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</si>
  <si>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</si>
  <si>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</si>
  <si>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</si>
  <si>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</si>
  <si>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</si>
  <si>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</si>
  <si>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</si>
  <si>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</si>
  <si>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</si>
  <si>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</si>
  <si>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</si>
  <si>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</si>
  <si>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</si>
  <si>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</si>
  <si>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</si>
  <si>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</si>
  <si>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</si>
  <si>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</si>
  <si>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</si>
  <si>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</si>
  <si>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</si>
  <si>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</si>
  <si>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</si>
  <si>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</si>
  <si>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</si>
  <si>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</si>
  <si>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</si>
  <si>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</si>
  <si>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</si>
  <si>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</si>
  <si>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</si>
  <si>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</si>
  <si>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</si>
  <si>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</si>
  <si>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</si>
  <si>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</si>
  <si>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</si>
  <si>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</si>
  <si>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</si>
  <si>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</si>
  <si>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</si>
  <si>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</si>
  <si>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</si>
  <si>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</si>
  <si>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</si>
  <si>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</si>
  <si>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</si>
  <si>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</si>
  <si>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</si>
  <si>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</si>
  <si>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</si>
  <si>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</si>
  <si>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</si>
  <si>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</si>
  <si>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</si>
  <si>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</si>
  <si>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</si>
  <si>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</si>
  <si>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</si>
  <si>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</si>
  <si>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</si>
  <si>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</si>
  <si>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</si>
  <si>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</si>
  <si>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</si>
  <si>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</si>
  <si>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</si>
  <si>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</si>
  <si>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</si>
  <si>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</si>
  <si>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</si>
  <si>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</si>
  <si>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</si>
  <si>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</si>
  <si>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</si>
  <si>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</si>
  <si>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</si>
  <si>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</si>
  <si>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</si>
  <si>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</si>
  <si>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</si>
  <si>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</si>
  <si>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</si>
  <si>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</si>
  <si>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</si>
  <si>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</si>
  <si>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</si>
  <si>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</si>
  <si>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</si>
  <si>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</si>
  <si>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</si>
  <si>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</si>
  <si>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</si>
  <si>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</si>
  <si>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</si>
  <si>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</si>
  <si>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</si>
  <si>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</si>
  <si>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</si>
  <si>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</si>
  <si>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</si>
  <si>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</si>
  <si>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</si>
  <si>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</si>
  <si>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</si>
  <si>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</si>
  <si>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</si>
  <si>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</si>
  <si>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</si>
  <si>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</si>
  <si>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</si>
  <si>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</si>
  <si>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</si>
  <si>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</si>
  <si>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</si>
  <si>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</si>
  <si>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</si>
  <si>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</si>
  <si>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</si>
  <si>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</si>
  <si>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</si>
  <si>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</si>
  <si>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</si>
  <si>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</si>
  <si>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</si>
  <si>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</si>
  <si>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</si>
  <si>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</si>
  <si>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</si>
  <si>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</si>
  <si>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</si>
  <si>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</si>
  <si>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</si>
  <si>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</si>
  <si>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</si>
  <si>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</si>
  <si>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</si>
  <si>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</si>
  <si>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</si>
  <si>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</si>
  <si>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</si>
  <si>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</si>
  <si>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</si>
  <si>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</si>
  <si>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</si>
  <si>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</si>
  <si>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</si>
  <si>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</si>
  <si>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</si>
  <si>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</si>
  <si>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</si>
  <si>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</si>
  <si>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</si>
  <si>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</si>
  <si>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</si>
  <si>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</si>
  <si>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</si>
  <si>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</si>
  <si>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</si>
  <si>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</si>
  <si>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</si>
  <si>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</si>
  <si>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</si>
  <si>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</si>
  <si>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</si>
  <si>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</si>
  <si>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</si>
  <si>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</si>
  <si>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</si>
  <si>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</si>
  <si>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</si>
  <si>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</si>
  <si>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</si>
  <si>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</si>
  <si>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</si>
  <si>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</si>
  <si>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</si>
  <si>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</si>
  <si>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</si>
  <si>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</si>
  <si>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</si>
  <si>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</si>
  <si>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</si>
  <si>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</si>
  <si>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</si>
  <si>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</si>
  <si>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</si>
  <si>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</si>
  <si>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</si>
  <si>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</si>
  <si>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</si>
  <si>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</si>
  <si>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</si>
  <si>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</si>
  <si>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</si>
  <si>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</si>
  <si>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</si>
  <si>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</si>
  <si>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</si>
  <si>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</si>
  <si>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</si>
  <si>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</si>
  <si>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</si>
  <si>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</si>
  <si>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</si>
  <si>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</si>
  <si>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</si>
  <si>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</si>
  <si>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</si>
  <si>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</si>
  <si>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</si>
  <si>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</si>
  <si>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</si>
  <si>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</si>
  <si>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</si>
  <si>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</si>
  <si>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</si>
  <si>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</si>
  <si>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</si>
  <si>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</si>
  <si>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</si>
  <si>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</si>
  <si>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</si>
  <si>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</si>
  <si>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</si>
  <si>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</si>
  <si>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</si>
  <si>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</si>
  <si>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</si>
  <si>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</si>
  <si>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</si>
  <si>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</si>
  <si>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</si>
  <si>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</si>
  <si>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</si>
  <si>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</si>
  <si>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</si>
  <si>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</si>
  <si>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</si>
  <si>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</si>
  <si>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</si>
  <si>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</si>
  <si>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</si>
  <si>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</si>
  <si>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</si>
  <si>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</si>
  <si>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</si>
  <si>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</si>
  <si>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</si>
  <si>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</si>
  <si>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</si>
  <si>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</si>
  <si>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</si>
  <si>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</si>
  <si>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</si>
  <si>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</si>
  <si>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</si>
  <si>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</si>
  <si>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</si>
  <si>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</si>
  <si>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</si>
  <si>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</si>
  <si>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</si>
  <si>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</si>
  <si>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</si>
  <si>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</si>
  <si>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</si>
  <si>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</si>
  <si>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</si>
  <si>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</si>
  <si>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</si>
  <si>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</si>
  <si>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</si>
  <si>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</si>
  <si>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</si>
  <si>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</si>
  <si>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</si>
  <si>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</si>
  <si>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</si>
  <si>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</si>
  <si>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</si>
  <si>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</si>
  <si>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</si>
  <si>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</si>
  <si>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</si>
  <si>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</si>
  <si>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</si>
  <si>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</si>
  <si>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</si>
  <si>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</si>
  <si>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</si>
  <si>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</si>
  <si>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</si>
  <si>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</si>
  <si>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</si>
  <si>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</si>
  <si>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</si>
  <si>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</si>
  <si>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</si>
  <si>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</si>
  <si>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</si>
  <si>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</si>
  <si>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</si>
  <si>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</si>
  <si>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</si>
  <si>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</si>
  <si>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</si>
  <si>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</si>
  <si>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</si>
  <si>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</si>
  <si>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</si>
  <si>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</si>
  <si>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</si>
  <si>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</si>
  <si>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</si>
  <si>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</si>
  <si>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</si>
  <si>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</si>
  <si>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</si>
  <si>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</si>
  <si>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</si>
  <si>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</si>
  <si>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</si>
  <si>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</si>
  <si>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</si>
  <si>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</si>
  <si>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</si>
  <si>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</si>
  <si>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</si>
  <si>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</si>
  <si>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</si>
  <si>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</si>
  <si>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</si>
  <si>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</si>
  <si>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</si>
  <si>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</si>
  <si>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</si>
  <si>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</si>
  <si>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</si>
  <si>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</si>
  <si>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</si>
  <si>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</si>
  <si>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</si>
  <si>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</si>
  <si>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</si>
  <si>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</si>
  <si>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</si>
  <si>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</si>
  <si>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</si>
  <si>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</si>
  <si>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</si>
  <si>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</si>
  <si>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</si>
  <si>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</si>
  <si>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</si>
  <si>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</si>
  <si>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</si>
  <si>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</si>
  <si>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</si>
  <si>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</si>
  <si>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</si>
  <si>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</si>
  <si>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</si>
  <si>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</si>
  <si>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</si>
  <si>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</si>
  <si>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</si>
  <si>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</si>
  <si>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</si>
  <si>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</si>
  <si>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</si>
  <si>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</si>
  <si>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</si>
  <si>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</si>
  <si>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</si>
  <si>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</si>
  <si>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</si>
  <si>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</si>
  <si>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</si>
  <si>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</si>
  <si>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</si>
  <si>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</si>
  <si>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</si>
  <si>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</si>
  <si>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</si>
  <si>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</si>
  <si>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</si>
  <si>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</si>
  <si>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</si>
  <si>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</si>
  <si>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</si>
  <si>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</si>
  <si>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</si>
  <si>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</si>
  <si>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</si>
  <si>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</si>
  <si>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</si>
  <si>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</si>
  <si>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</si>
  <si>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</si>
  <si>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</si>
  <si>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</si>
  <si>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</si>
  <si>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</si>
  <si>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</si>
  <si>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</si>
  <si>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</si>
  <si>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</si>
  <si>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</si>
  <si>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</si>
  <si>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</si>
  <si>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</si>
  <si>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</si>
  <si>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</si>
  <si>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</si>
  <si>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</si>
  <si>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</si>
  <si>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</si>
  <si>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</si>
  <si>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</si>
  <si>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</si>
  <si>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</si>
  <si>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</si>
  <si>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</si>
  <si>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</si>
  <si>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</si>
  <si>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</si>
  <si>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</si>
  <si>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</si>
  <si>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</si>
  <si>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</si>
  <si>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</si>
  <si>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</si>
  <si>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</si>
  <si>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</si>
  <si>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</si>
  <si>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</si>
  <si>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</si>
  <si>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</si>
  <si>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</si>
  <si>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</si>
  <si>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</si>
  <si>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</si>
  <si>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</si>
  <si>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</si>
  <si>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</si>
  <si>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</si>
  <si>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</si>
  <si>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</si>
  <si>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</si>
  <si>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</si>
  <si>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</si>
  <si>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</si>
  <si>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</si>
  <si>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</si>
  <si>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</si>
  <si>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</si>
  <si>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</si>
  <si>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</si>
  <si>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</si>
  <si>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</si>
  <si>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</si>
  <si>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</si>
  <si>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</si>
  <si>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</si>
  <si>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</si>
  <si>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</si>
  <si>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</si>
  <si>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</si>
  <si>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</si>
  <si>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</si>
  <si>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</si>
  <si>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</si>
  <si>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</si>
  <si>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</si>
  <si>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</si>
  <si>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</si>
  <si>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</si>
  <si>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</si>
  <si>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</si>
  <si>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</si>
  <si>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</si>
  <si>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</si>
  <si>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</si>
  <si>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</si>
  <si>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</si>
  <si>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</si>
  <si>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</si>
  <si>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</si>
  <si>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</si>
  <si>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</si>
  <si>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</si>
  <si>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</si>
  <si>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</si>
  <si>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</si>
  <si>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</si>
  <si>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</si>
  <si>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</si>
  <si>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</si>
  <si>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</si>
  <si>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</si>
  <si>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</si>
  <si>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</si>
  <si>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</si>
  <si>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</si>
  <si>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</si>
  <si>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</si>
  <si>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</si>
  <si>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</si>
  <si>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</si>
  <si>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</si>
  <si>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</si>
  <si>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</si>
  <si>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</si>
  <si>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</si>
  <si>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</si>
  <si>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</si>
  <si>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</si>
  <si>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</si>
  <si>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</si>
  <si>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</si>
  <si>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</si>
  <si>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</si>
  <si>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</si>
  <si>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</si>
  <si>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</si>
  <si>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</si>
  <si>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</si>
  <si>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</si>
  <si>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</si>
  <si>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</si>
  <si>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</si>
  <si>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</si>
  <si>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</si>
  <si>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</si>
  <si>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</si>
  <si>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</si>
  <si>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</si>
  <si>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</si>
  <si>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</si>
  <si>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</si>
  <si>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</si>
  <si>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</si>
  <si>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</si>
  <si>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</si>
  <si>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</si>
  <si>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</si>
  <si>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</si>
  <si>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</si>
  <si>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</si>
  <si>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</si>
  <si>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</si>
  <si>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</si>
  <si>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</si>
  <si>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</si>
  <si>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</si>
  <si>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</si>
  <si>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</si>
  <si>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</si>
  <si>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</si>
  <si>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</si>
  <si>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</si>
  <si>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</si>
  <si>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</si>
  <si>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</si>
  <si>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</si>
  <si>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</si>
  <si>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</si>
  <si>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</si>
  <si>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</si>
  <si>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</si>
  <si>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</si>
  <si>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</si>
  <si>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</si>
  <si>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</si>
  <si>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</si>
  <si>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</si>
  <si>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</si>
  <si>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</si>
  <si>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</si>
  <si>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</si>
  <si>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</si>
  <si>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</si>
  <si>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</si>
  <si>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</si>
  <si>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</si>
  <si>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</si>
  <si>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</si>
  <si>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</si>
  <si>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</si>
  <si>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</si>
  <si>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</si>
  <si>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</si>
  <si>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</si>
  <si>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</si>
  <si>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</si>
  <si>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</si>
  <si>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</si>
  <si>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</si>
  <si>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</si>
  <si>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</si>
  <si>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</si>
  <si>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</si>
  <si>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</si>
  <si>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</si>
  <si>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</si>
  <si>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</si>
  <si>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</si>
  <si>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</si>
  <si>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</si>
  <si>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</si>
  <si>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</si>
  <si>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</si>
  <si>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</si>
  <si>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</si>
  <si>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</si>
  <si>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</si>
  <si>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</si>
  <si>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</si>
  <si>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</si>
  <si>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</si>
  <si>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</si>
  <si>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</si>
  <si>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</si>
  <si>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</si>
  <si>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</si>
  <si>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</si>
  <si>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</si>
  <si>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</si>
  <si>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</si>
  <si>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</si>
  <si>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</si>
  <si>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</si>
  <si>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</si>
  <si>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</si>
  <si>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</si>
  <si>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</si>
  <si>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</si>
  <si>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</si>
  <si>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</si>
  <si>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</si>
  <si>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</si>
  <si>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</si>
  <si>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</si>
  <si>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</si>
  <si>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</si>
  <si>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</si>
  <si>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</si>
  <si>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</si>
  <si>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</si>
  <si>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</si>
  <si>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</si>
  <si>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</si>
  <si>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</si>
  <si>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</si>
  <si>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</si>
  <si>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</si>
  <si>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</si>
  <si>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</si>
  <si>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</si>
  <si>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</si>
  <si>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</si>
  <si>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</si>
  <si>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</si>
  <si>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</si>
  <si>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</si>
  <si>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</si>
  <si>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</si>
  <si>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</si>
  <si>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</si>
  <si>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</si>
  <si>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</si>
  <si>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</si>
  <si>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</si>
  <si>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</si>
  <si>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</si>
  <si>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</si>
  <si>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</si>
  <si>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</si>
  <si>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</si>
  <si>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</si>
  <si>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</si>
  <si>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</si>
  <si>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</si>
  <si>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</si>
  <si>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</si>
  <si>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</si>
  <si>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</si>
  <si>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</si>
  <si>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</si>
  <si>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</si>
  <si>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</si>
  <si>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</si>
  <si>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</si>
  <si>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</si>
  <si>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</si>
  <si>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</si>
  <si>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</si>
  <si>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</si>
  <si>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</si>
  <si>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</si>
  <si>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</si>
  <si>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</si>
  <si>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</si>
  <si>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</si>
  <si>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</si>
  <si>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</si>
  <si>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</si>
  <si>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</si>
  <si>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</si>
  <si>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</si>
  <si>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</si>
  <si>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</si>
  <si>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</si>
  <si>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</si>
  <si>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</si>
  <si>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</si>
  <si>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</si>
  <si>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</si>
  <si>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</si>
  <si>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</si>
  <si>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</si>
  <si>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</si>
  <si>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</si>
  <si>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</si>
  <si>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</si>
  <si>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</si>
  <si>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</si>
  <si>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</si>
  <si>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</si>
  <si>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</si>
  <si>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</si>
  <si>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</si>
  <si>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</si>
  <si>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</si>
  <si>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</si>
  <si>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</si>
  <si>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</si>
  <si>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</si>
  <si>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</si>
  <si>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</si>
  <si>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</si>
  <si>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</si>
  <si>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</si>
  <si>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</si>
  <si>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</si>
  <si>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</si>
  <si>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</si>
  <si>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</si>
  <si>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</si>
  <si>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</si>
  <si>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</si>
  <si>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</si>
  <si>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</si>
  <si>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</si>
  <si>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</si>
  <si>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</si>
  <si>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</si>
  <si>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</si>
  <si>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</si>
  <si>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</si>
  <si>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</si>
  <si>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</si>
  <si>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</si>
  <si>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</si>
  <si>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</si>
  <si>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</si>
  <si>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</si>
  <si>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</si>
  <si>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</si>
  <si>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</si>
  <si>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</si>
  <si>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</si>
  <si>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</si>
  <si>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</si>
  <si>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</si>
  <si>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</si>
  <si>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</si>
  <si>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</si>
  <si>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</si>
  <si>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</si>
  <si>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</si>
  <si>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</si>
  <si>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</si>
  <si>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</si>
  <si>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</si>
  <si>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</si>
  <si>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</si>
  <si>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</si>
  <si>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</si>
  <si>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</si>
  <si>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</si>
  <si>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</si>
  <si>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</si>
  <si>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</si>
  <si>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</si>
  <si>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</si>
  <si>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</si>
  <si>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</si>
  <si>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</si>
  <si>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</si>
  <si>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</si>
  <si>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</si>
  <si>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</si>
  <si>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</si>
  <si>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</si>
  <si>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</si>
  <si>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</si>
  <si>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</si>
  <si>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</si>
  <si>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</si>
  <si>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</si>
  <si>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</si>
  <si>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</si>
  <si>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</si>
  <si>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</si>
  <si>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</si>
  <si>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</si>
  <si>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</si>
  <si>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</si>
  <si>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</si>
  <si>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</si>
  <si>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</si>
  <si>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</si>
  <si>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</si>
  <si>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</si>
  <si>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</si>
  <si>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</si>
  <si>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</si>
  <si>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</si>
  <si>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</si>
  <si>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</si>
  <si>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</si>
  <si>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</si>
  <si>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</si>
  <si>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</si>
  <si>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</si>
  <si>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</si>
  <si>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</si>
  <si>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</si>
  <si>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</si>
  <si>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</si>
  <si>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</si>
  <si>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</si>
  <si>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</si>
  <si>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</si>
  <si>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</si>
  <si>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</si>
  <si>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</si>
  <si>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</si>
  <si>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</si>
  <si>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</si>
  <si>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</si>
  <si>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</si>
  <si>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</si>
  <si>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</si>
  <si>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</si>
  <si>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</si>
  <si>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</si>
  <si>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</si>
  <si>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</si>
  <si>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</si>
  <si>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</si>
  <si>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</si>
  <si>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</si>
  <si>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</si>
  <si>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</si>
  <si>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</si>
  <si>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</si>
  <si>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</si>
  <si>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</si>
  <si>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</si>
  <si>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</si>
  <si>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</si>
  <si>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</si>
  <si>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</si>
  <si>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</si>
  <si>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</si>
  <si>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</si>
  <si>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</si>
  <si>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</si>
  <si>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</si>
  <si>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</si>
  <si>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</si>
  <si>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</si>
  <si>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</si>
  <si>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</si>
  <si>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</si>
  <si>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</si>
  <si>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</si>
  <si>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</si>
  <si>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</si>
  <si>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</si>
  <si>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</si>
  <si>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</si>
  <si>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</si>
  <si>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</si>
  <si>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</si>
  <si>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</si>
  <si>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</si>
  <si>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</si>
  <si>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</si>
  <si>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</si>
  <si>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</si>
  <si>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</si>
  <si>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</si>
  <si>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</si>
  <si>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</si>
  <si>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</si>
  <si>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</si>
  <si>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</si>
  <si>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</si>
  <si>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</si>
  <si>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</si>
  <si>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</si>
  <si>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</si>
  <si>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</si>
  <si>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</si>
  <si>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</si>
  <si>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</si>
  <si>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</si>
  <si>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</si>
  <si>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</si>
  <si>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</si>
  <si>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</si>
  <si>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</si>
  <si>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</si>
  <si>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</si>
  <si>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</si>
  <si>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</si>
  <si>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</si>
  <si>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</si>
  <si>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</si>
  <si>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</si>
  <si>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</si>
  <si>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</si>
  <si>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</si>
  <si>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</si>
  <si>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</si>
  <si>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</si>
  <si>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</si>
  <si>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</si>
  <si>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</si>
  <si>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</si>
  <si>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</si>
  <si>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</si>
  <si>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</si>
  <si>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</si>
  <si>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</si>
  <si>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</si>
  <si>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</si>
  <si>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</si>
  <si>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</si>
  <si>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</si>
  <si>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</si>
  <si>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</si>
  <si>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</si>
  <si>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</si>
  <si>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</si>
  <si>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</si>
  <si>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</si>
  <si>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</si>
  <si>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</si>
  <si>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</si>
  <si>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</si>
  <si>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</si>
  <si>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</si>
  <si>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</si>
  <si>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</si>
  <si>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</si>
  <si>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</si>
  <si>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</si>
  <si>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</si>
  <si>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</si>
  <si>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</si>
  <si>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</si>
  <si>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</si>
  <si>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</si>
  <si>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</si>
  <si>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</si>
  <si>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</si>
  <si>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</si>
  <si>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</si>
  <si>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</si>
  <si>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</si>
  <si>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</si>
  <si>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</si>
  <si>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</si>
  <si>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</si>
  <si>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</si>
  <si>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</si>
  <si>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</si>
  <si>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</si>
  <si>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</si>
  <si>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</si>
  <si>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</si>
  <si>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</si>
  <si>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</si>
  <si>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</si>
  <si>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</si>
  <si>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</si>
  <si>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</si>
  <si>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</si>
  <si>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</si>
  <si>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</si>
  <si>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</si>
  <si>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</si>
  <si>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</si>
  <si>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</si>
  <si>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</si>
  <si>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</si>
  <si>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</si>
  <si>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</si>
  <si>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</si>
  <si>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</si>
  <si>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</si>
  <si>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</si>
  <si>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</si>
  <si>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</si>
  <si>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</si>
  <si>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</si>
  <si>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</si>
  <si>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</si>
  <si>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</si>
  <si>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</si>
  <si>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</si>
  <si>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</si>
  <si>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</si>
  <si>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</si>
  <si>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</si>
  <si>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</si>
  <si>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</si>
  <si>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</si>
  <si>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</si>
  <si>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</si>
  <si>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</si>
  <si>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</si>
  <si>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</si>
  <si>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</si>
  <si>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</si>
  <si>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</si>
  <si>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</si>
  <si>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</si>
  <si>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</si>
  <si>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</si>
  <si>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</si>
  <si>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</si>
  <si>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</si>
  <si>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</si>
  <si>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</si>
  <si>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</si>
  <si>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</si>
  <si>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</si>
  <si>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</si>
  <si>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</si>
  <si>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</si>
  <si>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</si>
  <si>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</si>
  <si>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</si>
  <si>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</si>
  <si>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</si>
  <si>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</si>
  <si>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</si>
  <si>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</si>
  <si>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</si>
  <si>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</si>
  <si>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</si>
  <si>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</si>
  <si>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</si>
  <si>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</si>
  <si>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</si>
  <si>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</si>
  <si>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</si>
  <si>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</si>
  <si>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</si>
  <si>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</si>
  <si>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</si>
  <si>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</si>
  <si>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</si>
  <si>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</si>
  <si>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</si>
  <si>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</si>
  <si>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</si>
  <si>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</si>
  <si>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</si>
  <si>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</si>
  <si>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</si>
  <si>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</si>
  <si>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</si>
  <si>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</si>
  <si>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</si>
  <si>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</si>
  <si>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</si>
  <si>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</si>
  <si>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</si>
  <si>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</si>
  <si>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</si>
  <si>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</si>
  <si>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</si>
  <si>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</si>
  <si>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</si>
  <si>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</si>
  <si>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</si>
  <si>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</si>
  <si>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</si>
  <si>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</si>
  <si>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</si>
  <si>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</si>
  <si>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</si>
  <si>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</si>
  <si>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</si>
  <si>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</si>
  <si>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</si>
  <si>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</si>
  <si>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</si>
  <si>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</si>
  <si>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</si>
  <si>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</si>
  <si>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</si>
  <si>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</si>
  <si>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</si>
  <si>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</si>
  <si>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</si>
  <si>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</si>
  <si>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</si>
  <si>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</si>
  <si>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</si>
  <si>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</si>
  <si>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</si>
  <si>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</si>
  <si>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</si>
  <si>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</si>
  <si>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</si>
  <si>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</si>
  <si>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</si>
  <si>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</si>
  <si>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</si>
  <si>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</si>
  <si>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</si>
  <si>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</si>
  <si>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</si>
  <si>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</si>
  <si>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</si>
  <si>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</si>
  <si>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</si>
  <si>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</si>
  <si>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</si>
  <si>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</si>
  <si>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</si>
  <si>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</si>
  <si>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</si>
  <si>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</si>
  <si>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</si>
  <si>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</si>
  <si>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</si>
  <si>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</si>
  <si>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</si>
  <si>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</si>
  <si>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</si>
  <si>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</si>
  <si>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</si>
  <si>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</si>
  <si>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</si>
  <si>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</si>
  <si>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</si>
  <si>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</si>
  <si>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</si>
  <si>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</si>
  <si>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</si>
  <si>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</si>
  <si>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</si>
  <si>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</si>
  <si>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</si>
  <si>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</si>
  <si>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</si>
  <si>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</si>
  <si>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</si>
  <si>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</si>
  <si>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</si>
  <si>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</si>
  <si>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</si>
  <si>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</si>
  <si>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</si>
  <si>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</si>
  <si>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</si>
  <si>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</si>
  <si>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</si>
  <si>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</si>
  <si>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</si>
  <si>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</si>
  <si>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</si>
  <si>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</si>
  <si>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</si>
  <si>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</si>
  <si>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</si>
  <si>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</si>
  <si>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</si>
  <si>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</si>
  <si>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</si>
  <si>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</si>
  <si>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</si>
  <si>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</si>
  <si>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</si>
  <si>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</si>
  <si>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</si>
  <si>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</si>
  <si>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</si>
  <si>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</si>
  <si>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</si>
  <si>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</si>
  <si>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</si>
  <si>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</si>
  <si>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</si>
  <si>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</si>
  <si>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</si>
  <si>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</si>
  <si>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</si>
  <si>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</si>
  <si>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</si>
  <si>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</si>
  <si>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</si>
  <si>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</si>
  <si>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</si>
  <si>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</si>
  <si>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</si>
  <si>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</si>
  <si>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</si>
  <si>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</si>
  <si>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</si>
  <si>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</si>
  <si>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</si>
  <si>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</si>
  <si>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</si>
  <si>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</si>
  <si>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</si>
  <si>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</si>
  <si>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</si>
  <si>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</si>
  <si>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</si>
  <si>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</si>
  <si>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</si>
  <si>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</si>
  <si>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</si>
  <si>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</si>
  <si>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</si>
  <si>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</si>
  <si>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</si>
  <si>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</si>
  <si>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</si>
  <si>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</si>
  <si>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</si>
  <si>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</si>
  <si>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</si>
  <si>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</si>
  <si>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</si>
  <si>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</si>
  <si>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</si>
  <si>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</si>
  <si>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</si>
  <si>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</si>
  <si>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</si>
  <si>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</si>
  <si>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</si>
  <si>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</si>
  <si>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</si>
  <si>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</si>
  <si>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</si>
  <si>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</si>
  <si>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</si>
  <si>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</si>
  <si>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</si>
  <si>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</si>
  <si>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</si>
  <si>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</si>
  <si>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</si>
  <si>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</si>
  <si>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</si>
  <si>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</si>
  <si>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</si>
  <si>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</si>
  <si>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</si>
  <si>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</si>
  <si>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</si>
  <si>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</si>
  <si>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</si>
  <si>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</si>
  <si>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</si>
  <si>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</si>
  <si>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</si>
  <si>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</si>
  <si>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</si>
  <si>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</si>
  <si>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</si>
  <si>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</si>
  <si>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</si>
  <si>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</si>
  <si>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</si>
  <si>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</si>
  <si>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</si>
  <si>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</si>
  <si>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</si>
  <si>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</si>
  <si>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</si>
  <si>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</si>
  <si>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</si>
  <si>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</si>
  <si>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</si>
  <si>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</si>
  <si>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</si>
  <si>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</si>
  <si>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</si>
  <si>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</si>
  <si>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</si>
  <si>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</si>
  <si>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</si>
  <si>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</si>
  <si>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</si>
  <si>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</si>
  <si>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</si>
  <si>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</si>
  <si>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</si>
  <si>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</si>
  <si>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</si>
  <si>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</si>
  <si>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</si>
  <si>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</si>
  <si>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</si>
  <si>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</si>
  <si>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</si>
  <si>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</si>
  <si>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</si>
  <si>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</si>
  <si>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</si>
  <si>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</si>
  <si>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</si>
  <si>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</si>
  <si>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</si>
  <si>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</si>
  <si>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</si>
  <si>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</si>
  <si>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</si>
  <si>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</si>
  <si>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</si>
  <si>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</si>
  <si>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</si>
  <si>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</si>
  <si>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</si>
  <si>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</si>
  <si>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</si>
  <si>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</si>
  <si>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</si>
  <si>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</si>
  <si>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</si>
  <si>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</si>
  <si>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</si>
  <si>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</si>
  <si>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</si>
  <si>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</si>
  <si>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</si>
  <si>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</si>
  <si>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</si>
  <si>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</si>
  <si>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</si>
  <si>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</si>
  <si>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</si>
  <si>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</si>
  <si>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</si>
  <si>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</si>
  <si>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</si>
  <si>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</si>
  <si>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</si>
  <si>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</si>
  <si>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</si>
  <si>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</si>
  <si>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</si>
  <si>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</si>
  <si>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</si>
  <si>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</si>
  <si>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</si>
  <si>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</si>
  <si>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</si>
  <si>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</si>
  <si>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</si>
  <si>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</si>
  <si>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</si>
  <si>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</si>
  <si>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</si>
  <si>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</si>
  <si>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</si>
  <si>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</si>
  <si>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</si>
  <si>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</si>
  <si>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</si>
  <si>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</si>
  <si>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</si>
  <si>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</si>
  <si>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</si>
  <si>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</si>
  <si>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</si>
  <si>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</si>
  <si>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</si>
  <si>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</si>
  <si>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</si>
  <si>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</si>
  <si>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</si>
  <si>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</si>
  <si>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</si>
  <si>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</si>
  <si>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</si>
  <si>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</si>
  <si>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</si>
  <si>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</si>
  <si>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</si>
  <si>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</si>
  <si>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</si>
  <si>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</si>
  <si>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</si>
  <si>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</si>
  <si>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</si>
  <si>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</si>
  <si>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</si>
  <si>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</si>
  <si>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</si>
  <si>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</si>
  <si>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</si>
  <si>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</si>
  <si>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</si>
  <si>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</si>
  <si>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</si>
  <si>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</si>
  <si>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</si>
  <si>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</si>
  <si>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</si>
  <si>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</si>
  <si>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</si>
  <si>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</si>
  <si>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</si>
  <si>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</si>
  <si>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</si>
  <si>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</si>
  <si>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</si>
  <si>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</si>
  <si>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</si>
  <si>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</si>
  <si>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</si>
  <si>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</si>
  <si>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</si>
  <si>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</si>
  <si>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</si>
  <si>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</si>
  <si>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</si>
  <si>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</si>
  <si>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</si>
  <si>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</si>
  <si>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</si>
  <si>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</si>
  <si>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</si>
  <si>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</si>
  <si>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</si>
  <si>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</si>
  <si>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</si>
  <si>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</si>
  <si>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</si>
  <si>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</si>
  <si>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</si>
  <si>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</si>
  <si>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</si>
  <si>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</si>
  <si>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</si>
  <si>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</si>
  <si>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</si>
  <si>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</si>
  <si>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</si>
  <si>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</si>
  <si>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</si>
  <si>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</si>
  <si>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</si>
  <si>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</si>
  <si>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</si>
  <si>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</si>
  <si>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</si>
  <si>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</si>
  <si>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</si>
  <si>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</si>
  <si>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</si>
  <si>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</si>
  <si>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</si>
  <si>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</si>
  <si>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</si>
  <si>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</si>
  <si>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</si>
  <si>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</si>
  <si>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</si>
  <si>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</si>
  <si>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</si>
  <si>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</si>
  <si>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</si>
  <si>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</si>
  <si>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</si>
  <si>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</si>
  <si>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</si>
  <si>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</si>
  <si>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</si>
  <si>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</si>
  <si>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</si>
  <si>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</si>
  <si>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</si>
  <si>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</si>
  <si>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</si>
  <si>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</si>
  <si>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</si>
  <si>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</si>
  <si>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</si>
  <si>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</si>
  <si>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</si>
  <si>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</si>
  <si>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</si>
  <si>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</si>
  <si>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</si>
  <si>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</si>
  <si>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</si>
  <si>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</si>
  <si>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</si>
  <si>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</si>
  <si>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</si>
  <si>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</si>
  <si>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</si>
  <si>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</si>
  <si>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</si>
  <si>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</si>
  <si>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</si>
  <si>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</si>
  <si>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</si>
  <si>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</si>
  <si>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</si>
  <si>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</si>
  <si>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</si>
  <si>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</si>
  <si>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</si>
  <si>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</si>
  <si>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</si>
  <si>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</si>
  <si>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</si>
  <si>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</si>
  <si>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</si>
  <si>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</si>
  <si>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</si>
  <si>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</si>
  <si>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</si>
  <si>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</si>
  <si>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</si>
  <si>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</si>
  <si>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</si>
  <si>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</si>
  <si>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</si>
  <si>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</si>
  <si>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</si>
  <si>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</si>
  <si>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</si>
  <si>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</si>
  <si>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</si>
  <si>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</si>
  <si>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</si>
  <si>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</si>
  <si>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</si>
  <si>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</si>
  <si>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</si>
  <si>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</si>
  <si>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</si>
  <si>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</si>
  <si>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</si>
  <si>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</si>
  <si>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</si>
  <si>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</si>
  <si>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</si>
  <si>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</si>
  <si>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</si>
  <si>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</si>
  <si>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</si>
  <si>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</si>
  <si>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</si>
  <si>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</si>
  <si>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</si>
  <si>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</si>
  <si>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</si>
  <si>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</si>
  <si>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</si>
  <si>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</si>
  <si>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</si>
  <si>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</si>
  <si>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</si>
  <si>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</si>
  <si>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</si>
  <si>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</si>
  <si>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</si>
  <si>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</si>
  <si>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</si>
  <si>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</si>
  <si>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</si>
  <si>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</si>
  <si>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</si>
  <si>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</si>
  <si>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</si>
  <si>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</si>
  <si>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</si>
  <si>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</si>
  <si>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</si>
  <si>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</si>
  <si>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</si>
  <si>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</si>
  <si>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</si>
  <si>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</si>
  <si>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</si>
  <si>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</si>
  <si>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</si>
  <si>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</si>
  <si>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</si>
  <si>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</si>
  <si>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</si>
  <si>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</si>
  <si>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</si>
  <si>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</si>
  <si>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</si>
  <si>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</si>
  <si>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</si>
  <si>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</si>
  <si>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</si>
  <si>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</si>
  <si>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</si>
  <si>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</si>
  <si>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</si>
  <si>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</si>
  <si>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</si>
  <si>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</si>
  <si>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</si>
  <si>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</si>
  <si>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</si>
  <si>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</si>
  <si>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</si>
  <si>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</si>
  <si>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</si>
  <si>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</si>
  <si>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</si>
  <si>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</si>
  <si>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</si>
  <si>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</si>
  <si>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</si>
  <si>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</si>
  <si>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</si>
  <si>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</si>
  <si>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</si>
  <si>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</si>
  <si>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</si>
  <si>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</si>
  <si>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</si>
  <si>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</si>
  <si>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</si>
  <si>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</si>
  <si>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</si>
  <si>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</si>
  <si>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</si>
  <si>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</si>
  <si>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</si>
  <si>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</si>
  <si>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</si>
  <si>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</si>
  <si>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</si>
  <si>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</si>
  <si>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</si>
  <si>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</si>
  <si>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</si>
  <si>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</si>
  <si>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</si>
  <si>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</si>
  <si>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</si>
  <si>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</si>
  <si>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</si>
  <si>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</si>
  <si>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</si>
  <si>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</si>
  <si>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</si>
  <si>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</si>
  <si>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</si>
  <si>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</si>
  <si>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</si>
  <si>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</si>
  <si>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</si>
  <si>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</si>
  <si>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</si>
  <si>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</si>
  <si>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</si>
  <si>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</si>
  <si>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</si>
  <si>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</si>
  <si>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</si>
  <si>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</si>
  <si>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</si>
  <si>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</si>
  <si>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</si>
  <si>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</si>
  <si>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</si>
  <si>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</si>
  <si>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</si>
  <si>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</si>
  <si>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</si>
  <si>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</si>
  <si>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</si>
  <si>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</si>
  <si>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</si>
  <si>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</si>
  <si>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</si>
  <si>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</si>
  <si>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</si>
  <si>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</si>
  <si>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</si>
  <si>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</si>
  <si>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</si>
  <si>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</si>
  <si>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</si>
  <si>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</si>
  <si>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</si>
  <si>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</si>
  <si>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</si>
  <si>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</si>
  <si>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</si>
  <si>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</si>
  <si>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</si>
  <si>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</si>
  <si>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</si>
  <si>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</si>
  <si>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</si>
  <si>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</si>
  <si>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</si>
  <si>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</si>
  <si>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</si>
  <si>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</si>
  <si>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</si>
  <si>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</si>
  <si>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</si>
  <si>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</si>
  <si>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</si>
  <si>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</si>
  <si>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</si>
  <si>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</si>
  <si>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</si>
  <si>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</si>
  <si>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</si>
  <si>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</si>
  <si>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</si>
  <si>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</si>
  <si>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</si>
  <si>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</si>
  <si>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</si>
  <si>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</si>
  <si>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</si>
  <si>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</si>
  <si>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</si>
  <si>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</si>
  <si>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</si>
  <si>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</si>
  <si>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</si>
  <si>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</si>
  <si>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</si>
  <si>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</si>
  <si>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</si>
  <si>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</si>
  <si>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</si>
  <si>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</si>
  <si>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</si>
  <si>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</si>
  <si>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</si>
  <si>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</si>
  <si>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</si>
  <si>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</si>
  <si>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</si>
  <si>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</si>
  <si>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</si>
  <si>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</si>
  <si>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</si>
  <si>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</si>
  <si>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</si>
  <si>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</si>
  <si>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</si>
  <si>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</si>
  <si>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</si>
  <si>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</si>
  <si>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</si>
  <si>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</si>
  <si>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</si>
  <si>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</si>
  <si>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</si>
  <si>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</si>
  <si>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</si>
  <si>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</si>
  <si>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</si>
  <si>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</si>
  <si>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</si>
  <si>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</si>
  <si>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</si>
  <si>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</si>
  <si>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</si>
  <si>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</si>
  <si>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</si>
  <si>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</si>
  <si>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</si>
  <si>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</si>
  <si>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</si>
  <si>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</si>
  <si>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</si>
  <si>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</si>
  <si>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</si>
  <si>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</si>
  <si>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</si>
  <si>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</si>
  <si>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</si>
  <si>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</si>
  <si>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</si>
  <si>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</si>
  <si>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</si>
  <si>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</si>
  <si>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</si>
  <si>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</si>
  <si>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</si>
  <si>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</si>
  <si>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</si>
  <si>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</si>
  <si>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</si>
  <si>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</si>
  <si>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</si>
  <si>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</si>
  <si>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</si>
  <si>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</si>
  <si>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</si>
  <si>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</si>
  <si>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</si>
  <si>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</si>
  <si>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</si>
  <si>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</si>
  <si>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</si>
  <si>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</si>
  <si>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</si>
  <si>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</si>
  <si>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</si>
  <si>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</si>
  <si>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</si>
  <si>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</si>
  <si>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</si>
  <si>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</si>
  <si>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</si>
  <si>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</si>
  <si>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</si>
  <si>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</si>
  <si>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</si>
  <si>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</si>
  <si>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</si>
  <si>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</si>
  <si>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</si>
  <si>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</si>
  <si>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</si>
  <si>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</si>
  <si>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</si>
  <si>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</si>
  <si>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</si>
  <si>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</si>
  <si>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</si>
  <si>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</si>
  <si>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</si>
  <si>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</si>
  <si>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</si>
  <si>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</si>
  <si>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</si>
  <si>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</si>
  <si>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</si>
  <si>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</si>
  <si>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</si>
  <si>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</si>
  <si>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</si>
  <si>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</si>
  <si>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</si>
  <si>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</si>
  <si>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</si>
  <si>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</si>
  <si>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</si>
  <si>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</si>
  <si>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</si>
  <si>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</si>
  <si>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</si>
  <si>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</si>
  <si>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</si>
  <si>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</si>
  <si>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</si>
  <si>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</si>
  <si>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</si>
  <si>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</si>
  <si>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</si>
  <si>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</si>
  <si>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</si>
  <si>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</si>
  <si>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</si>
  <si>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</si>
  <si>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</si>
  <si>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</si>
  <si>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</si>
  <si>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</si>
  <si>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</si>
  <si>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</si>
  <si>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</si>
  <si>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</si>
  <si>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</si>
  <si>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</si>
  <si>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</si>
  <si>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</si>
  <si>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</si>
  <si>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</si>
  <si>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</si>
  <si>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</si>
  <si>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</si>
  <si>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</si>
  <si>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</si>
  <si>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</si>
  <si>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</si>
  <si>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</si>
  <si>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</si>
  <si>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</si>
  <si>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</si>
  <si>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</si>
  <si>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</si>
  <si>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</si>
  <si>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</si>
  <si>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</si>
  <si>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</si>
  <si>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</si>
  <si>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</si>
  <si>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</si>
  <si>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</si>
  <si>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</si>
  <si>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</si>
  <si>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</si>
  <si>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</si>
  <si>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</si>
  <si>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</si>
  <si>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</si>
  <si>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</si>
  <si>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</si>
  <si>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</si>
  <si>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</si>
  <si>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</si>
  <si>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</si>
  <si>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</si>
  <si>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</si>
  <si>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</si>
  <si>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</si>
  <si>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</si>
  <si>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</si>
  <si>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</si>
  <si>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</si>
  <si>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</si>
  <si>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</si>
  <si>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</si>
  <si>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</si>
  <si>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</si>
  <si>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</si>
  <si>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</si>
  <si>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</si>
  <si>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</si>
  <si>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</si>
  <si>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</si>
  <si>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</si>
  <si>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</si>
  <si>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</si>
  <si>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</si>
  <si>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</si>
  <si>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</si>
  <si>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</si>
  <si>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</si>
  <si>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</si>
  <si>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</si>
  <si>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</si>
  <si>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</si>
  <si>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</si>
  <si>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</si>
  <si>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</si>
  <si>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</si>
  <si>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</si>
  <si>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</si>
  <si>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</si>
  <si>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</si>
  <si>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</si>
  <si>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</si>
  <si>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</si>
  <si>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</si>
  <si>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</si>
  <si>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</si>
  <si>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</si>
  <si>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</si>
  <si>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</si>
  <si>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</si>
  <si>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</si>
  <si>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</si>
  <si>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</si>
  <si>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</si>
  <si>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</si>
  <si>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</si>
  <si>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</si>
  <si>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</si>
  <si>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</si>
  <si>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</si>
  <si>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</si>
  <si>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</si>
  <si>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</si>
  <si>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</si>
  <si>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</si>
  <si>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</si>
  <si>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</si>
  <si>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</si>
  <si>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</si>
  <si>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</si>
  <si>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</si>
  <si>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</si>
  <si>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</si>
  <si>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</si>
  <si>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</si>
  <si>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</si>
  <si>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</si>
  <si>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</si>
  <si>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</si>
  <si>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</si>
  <si>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</si>
  <si>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</si>
  <si>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</si>
  <si>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</si>
  <si>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</si>
  <si>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</si>
  <si>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</si>
  <si>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</si>
  <si>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</si>
  <si>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</si>
  <si>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</si>
  <si>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</si>
  <si>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</si>
  <si>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</si>
  <si>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</si>
  <si>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</si>
  <si>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</si>
  <si>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</si>
  <si>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</si>
  <si>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</si>
  <si>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</si>
  <si>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</si>
  <si>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</si>
  <si>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</si>
  <si>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</si>
  <si>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</si>
  <si>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</si>
  <si>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</si>
  <si>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</si>
  <si>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</si>
  <si>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</si>
  <si>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</si>
  <si>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</si>
  <si>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</si>
  <si>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</si>
  <si>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</si>
  <si>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</si>
  <si>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</si>
  <si>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</si>
  <si>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</si>
  <si>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</si>
  <si>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</si>
  <si>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</si>
  <si>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</si>
  <si>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</si>
  <si>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</si>
  <si>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</si>
  <si>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</si>
  <si>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</si>
  <si>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</si>
  <si>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</si>
  <si>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</si>
  <si>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</si>
  <si>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</si>
  <si>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</si>
  <si>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</si>
  <si>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</si>
  <si>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</si>
  <si>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</si>
  <si>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</si>
  <si>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</si>
  <si>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</si>
  <si>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</si>
  <si>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</si>
  <si>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</si>
  <si>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</si>
  <si>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</si>
  <si>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</si>
  <si>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</si>
  <si>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</si>
  <si>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</si>
  <si>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</si>
  <si>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</si>
  <si>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</si>
  <si>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</si>
  <si>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</si>
  <si>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</si>
  <si>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</si>
  <si>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</si>
  <si>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</si>
  <si>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</si>
  <si>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</si>
  <si>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</si>
  <si>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</si>
  <si>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</si>
  <si>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</si>
  <si>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</si>
  <si>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</si>
  <si>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</si>
  <si>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</si>
  <si>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</si>
  <si>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</si>
  <si>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</si>
  <si>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</si>
  <si>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</si>
  <si>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</si>
  <si>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</si>
  <si>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</si>
  <si>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</si>
  <si>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</si>
  <si>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</si>
  <si>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</si>
  <si>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</si>
  <si>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</si>
  <si>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</si>
  <si>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</si>
  <si>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</si>
  <si>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</si>
  <si>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</si>
  <si>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</si>
  <si>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</si>
  <si>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</si>
  <si>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</si>
  <si>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</si>
  <si>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</si>
  <si>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</si>
  <si>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</si>
  <si>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</si>
  <si>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</si>
  <si>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</si>
  <si>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</si>
  <si>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</si>
  <si>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</si>
  <si>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</si>
  <si>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</si>
  <si>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</si>
  <si>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</si>
  <si>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</si>
  <si>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</si>
  <si>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</si>
  <si>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</si>
  <si>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</si>
  <si>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</si>
  <si>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</si>
  <si>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</si>
  <si>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</si>
  <si>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</si>
  <si>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</si>
  <si>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</si>
  <si>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</si>
  <si>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</si>
  <si>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</si>
  <si>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</si>
  <si>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</si>
  <si>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</si>
  <si>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</si>
  <si>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</si>
  <si>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</si>
  <si>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</si>
  <si>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</si>
  <si>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</si>
  <si>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</si>
  <si>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</si>
  <si>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</si>
  <si>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</si>
  <si>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</si>
  <si>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</si>
  <si>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</si>
  <si>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</si>
  <si>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</si>
  <si>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</si>
  <si>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</si>
  <si>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</si>
  <si>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</si>
  <si>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</si>
  <si>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</si>
  <si>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</si>
  <si>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</si>
  <si>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</si>
  <si>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</si>
  <si>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</si>
  <si>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</si>
  <si>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</si>
  <si>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</si>
  <si>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</si>
  <si>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</si>
  <si>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</si>
  <si>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</si>
  <si>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</si>
  <si>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</si>
  <si>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</si>
  <si>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</si>
  <si>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</si>
  <si>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</si>
  <si>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</si>
  <si>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</si>
  <si>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</si>
  <si>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</si>
  <si>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</si>
  <si>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</si>
  <si>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</si>
  <si>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</si>
  <si>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</si>
  <si>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</si>
  <si>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</si>
  <si>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</si>
  <si>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</si>
  <si>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</si>
  <si>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</si>
  <si>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</si>
  <si>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</si>
  <si>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</si>
  <si>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</si>
  <si>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</si>
  <si>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</si>
  <si>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</si>
  <si>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</si>
  <si>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</si>
  <si>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</si>
  <si>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</si>
  <si>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</si>
  <si>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</si>
  <si>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</si>
  <si>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</si>
  <si>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</si>
  <si>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</si>
  <si>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</si>
  <si>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</si>
  <si>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</si>
  <si>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</si>
  <si>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</si>
  <si>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</si>
  <si>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</si>
  <si>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</si>
  <si>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</si>
  <si>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</si>
  <si>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</si>
  <si>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</si>
  <si>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</si>
  <si>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</si>
  <si>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</si>
  <si>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</si>
  <si>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</si>
  <si>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</si>
  <si>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</si>
  <si>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</si>
  <si>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</si>
  <si>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</si>
  <si>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</si>
  <si>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</si>
  <si>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</si>
  <si>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</si>
  <si>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</si>
  <si>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</si>
  <si>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</si>
  <si>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</si>
  <si>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</si>
  <si>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</si>
  <si>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</si>
  <si>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</si>
  <si>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</si>
  <si>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</si>
  <si>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</si>
  <si>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</si>
  <si>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</si>
  <si>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</si>
  <si>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</si>
  <si>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</si>
  <si>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</si>
  <si>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</si>
  <si>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</si>
  <si>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</si>
  <si>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</si>
  <si>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</si>
  <si>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</si>
  <si>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</si>
  <si>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</si>
  <si>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</si>
  <si>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</si>
  <si>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</si>
  <si>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</si>
  <si>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</si>
  <si>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</si>
  <si>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</si>
  <si>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</si>
  <si>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</si>
  <si>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</si>
  <si>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</si>
  <si>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</si>
  <si>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</si>
  <si>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</si>
  <si>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</si>
  <si>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</si>
  <si>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</si>
  <si>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</si>
  <si>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</si>
  <si>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</si>
  <si>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</si>
  <si>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</si>
  <si>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</si>
  <si>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</si>
  <si>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</si>
  <si>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</si>
  <si>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</si>
  <si>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</si>
  <si>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</si>
  <si>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</si>
  <si>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</si>
  <si>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</si>
  <si>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</si>
  <si>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</si>
  <si>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</si>
  <si>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</si>
  <si>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</si>
  <si>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</si>
  <si>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</si>
  <si>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</si>
  <si>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</si>
  <si>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</si>
  <si>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</si>
  <si>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</si>
  <si>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</si>
  <si>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</si>
  <si>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</si>
  <si>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</si>
  <si>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</si>
  <si>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</si>
  <si>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</si>
  <si>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</si>
  <si>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</si>
  <si>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</si>
  <si>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</si>
  <si>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</si>
  <si>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</si>
  <si>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</si>
  <si>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</si>
  <si>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</si>
  <si>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</si>
  <si>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</si>
  <si>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</si>
  <si>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</si>
  <si>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</si>
  <si>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</si>
  <si>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</si>
  <si>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</si>
  <si>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</si>
  <si>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</si>
  <si>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</si>
  <si>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</si>
  <si>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</si>
  <si>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</si>
  <si>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</si>
  <si>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</si>
  <si>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</si>
  <si>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</si>
  <si>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</si>
  <si>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</si>
  <si>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</si>
  <si>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</si>
  <si>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</si>
  <si>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</si>
  <si>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</si>
  <si>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</si>
  <si>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</si>
  <si>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</si>
  <si>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</si>
  <si>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</si>
  <si>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</si>
  <si>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</si>
  <si>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</si>
  <si>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</si>
  <si>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</si>
  <si>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</si>
  <si>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</si>
  <si>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</si>
  <si>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</si>
  <si>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</si>
  <si>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</si>
  <si>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</si>
  <si>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</si>
  <si>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</si>
  <si>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</si>
  <si>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</si>
  <si>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</si>
  <si>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</si>
  <si>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</si>
  <si>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</si>
  <si>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</si>
  <si>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</si>
  <si>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</si>
  <si>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</si>
  <si>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</si>
  <si>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</si>
  <si>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</si>
  <si>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</si>
  <si>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</si>
  <si>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</si>
  <si>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</si>
  <si>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</si>
  <si>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</si>
  <si>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</si>
  <si>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</si>
  <si>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</si>
  <si>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</si>
  <si>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</si>
  <si>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</si>
  <si>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</si>
  <si>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</si>
  <si>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</si>
  <si>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</si>
  <si>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</si>
  <si>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</si>
  <si>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</si>
  <si>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</si>
  <si>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</si>
  <si>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</si>
  <si>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</si>
  <si>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</si>
  <si>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</si>
  <si>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</si>
  <si>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</si>
  <si>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</si>
  <si>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</si>
  <si>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</si>
  <si>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</si>
  <si>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</si>
  <si>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</si>
  <si>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</si>
  <si>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</si>
  <si>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</si>
  <si>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</si>
  <si>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</si>
  <si>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</si>
  <si>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</si>
  <si>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</si>
  <si>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</si>
  <si>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</si>
  <si>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</si>
  <si>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</si>
  <si>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</si>
  <si>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</si>
  <si>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</si>
  <si>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</si>
  <si>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</si>
  <si>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</si>
  <si>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</si>
  <si>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</si>
  <si>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</si>
  <si>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</si>
  <si>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</si>
  <si>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</si>
  <si>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</si>
  <si>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</si>
  <si>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</si>
  <si>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</si>
  <si>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</si>
  <si>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</si>
  <si>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</si>
  <si>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</si>
  <si>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</si>
  <si>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</si>
  <si>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</si>
  <si>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</si>
  <si>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</si>
  <si>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</si>
  <si>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</si>
  <si>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</si>
  <si>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</si>
  <si>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</si>
  <si>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</si>
  <si>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</si>
  <si>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</si>
  <si>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</si>
  <si>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</si>
  <si>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</si>
  <si>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</si>
  <si>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</si>
  <si>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</si>
  <si>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</si>
  <si>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</si>
  <si>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</si>
  <si>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</si>
  <si>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</si>
  <si>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</si>
  <si>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</si>
  <si>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</si>
  <si>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</si>
  <si>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</si>
  <si>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</si>
  <si>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</si>
  <si>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</si>
  <si>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</si>
  <si>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</si>
  <si>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</si>
  <si>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</si>
  <si>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</si>
  <si>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</si>
  <si>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</si>
  <si>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</si>
  <si>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</si>
  <si>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</si>
  <si>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</si>
  <si>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</si>
  <si>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</si>
  <si>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</si>
  <si>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</si>
  <si>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</si>
  <si>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</si>
  <si>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</si>
  <si>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</si>
  <si>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</si>
  <si>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</si>
  <si>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</si>
  <si>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</si>
  <si>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</si>
  <si>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</si>
  <si>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</si>
  <si>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</si>
  <si>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</si>
  <si>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</si>
  <si>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</si>
  <si>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</si>
  <si>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</si>
  <si>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</si>
  <si>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</si>
  <si>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</si>
  <si>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</si>
  <si>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</si>
  <si>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</si>
  <si>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</si>
  <si>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</si>
  <si>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</si>
  <si>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</si>
  <si>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</si>
  <si>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</si>
  <si>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</si>
  <si>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</si>
  <si>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</si>
  <si>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</si>
  <si>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</si>
  <si>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</si>
  <si>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</si>
  <si>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</si>
  <si>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</si>
  <si>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</si>
  <si>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</si>
  <si>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</si>
  <si>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</si>
  <si>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</si>
  <si>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</si>
  <si>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</si>
  <si>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</si>
  <si>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</si>
  <si>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</si>
  <si>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</si>
  <si>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</si>
  <si>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</si>
  <si>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</si>
  <si>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</si>
  <si>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</si>
  <si>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</si>
  <si>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</si>
  <si>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</si>
  <si>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</si>
  <si>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</si>
  <si>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</si>
  <si>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</si>
  <si>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</si>
  <si>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</si>
  <si>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</si>
  <si>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</si>
  <si>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</si>
  <si>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</si>
  <si>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</si>
  <si>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</si>
  <si>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</si>
  <si>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</si>
  <si>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</si>
  <si>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</si>
  <si>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</si>
  <si>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</si>
  <si>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</si>
  <si>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</si>
  <si>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</si>
  <si>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</si>
  <si>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</si>
  <si>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</si>
  <si>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</si>
  <si>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</si>
  <si>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</si>
  <si>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</si>
  <si>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</si>
  <si>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</si>
  <si>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</si>
  <si>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</si>
  <si>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</si>
  <si>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</si>
  <si>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</si>
  <si>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</si>
  <si>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</si>
  <si>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</si>
  <si>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</si>
  <si>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</si>
  <si>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</si>
  <si>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</si>
  <si>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</si>
  <si>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</si>
  <si>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</si>
  <si>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</si>
  <si>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</si>
  <si>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</si>
  <si>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</si>
  <si>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</si>
  <si>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</si>
  <si>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</si>
  <si>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</si>
  <si>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</si>
  <si>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</si>
  <si>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</si>
  <si>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</si>
  <si>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</si>
  <si>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</si>
  <si>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</si>
  <si>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</si>
  <si>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</si>
  <si>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</si>
  <si>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</si>
  <si>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</si>
  <si>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</si>
  <si>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</si>
  <si>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</si>
  <si>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</si>
  <si>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</si>
  <si>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</si>
  <si>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</si>
  <si>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</si>
  <si>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</si>
  <si>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</si>
  <si>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</si>
  <si>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</si>
  <si>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</si>
  <si>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</si>
  <si>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</si>
  <si>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</si>
  <si>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</si>
  <si>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</si>
  <si>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</si>
  <si>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</si>
  <si>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</si>
  <si>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</si>
  <si>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</si>
  <si>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</si>
  <si>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</si>
  <si>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</si>
  <si>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</si>
  <si>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</si>
  <si>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</si>
  <si>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</si>
  <si>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</si>
  <si>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</si>
  <si>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</si>
  <si>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</si>
  <si>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</si>
  <si>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</si>
  <si>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</si>
  <si>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</si>
  <si>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</si>
  <si>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</si>
  <si>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</si>
  <si>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</si>
  <si>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</si>
  <si>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</si>
  <si>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</si>
  <si>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</si>
  <si>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</si>
  <si>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</si>
  <si>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</si>
  <si>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</si>
  <si>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</si>
  <si>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</si>
  <si>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</si>
  <si>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</si>
  <si>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</si>
  <si>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</si>
  <si>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</si>
  <si>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</si>
  <si>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</si>
  <si>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</si>
  <si>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</si>
  <si>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</si>
  <si>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</si>
  <si>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</si>
  <si>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</si>
  <si>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</si>
  <si>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</si>
  <si>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</si>
  <si>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</si>
  <si>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</si>
  <si>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</si>
  <si>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</si>
  <si>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</si>
  <si>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</si>
  <si>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</si>
  <si>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</si>
  <si>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</si>
  <si>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</si>
  <si>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</si>
  <si>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</si>
  <si>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</si>
  <si>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</si>
  <si>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</si>
  <si>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</si>
  <si>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</si>
  <si>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</si>
  <si>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</si>
  <si>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</si>
  <si>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</si>
  <si>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</si>
  <si>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</si>
  <si>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</si>
  <si>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</si>
  <si>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</si>
  <si>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</si>
  <si>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</si>
  <si>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</si>
  <si>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</si>
  <si>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</si>
  <si>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</si>
  <si>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</si>
  <si>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</si>
  <si>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</si>
  <si>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</si>
  <si>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</si>
  <si>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</si>
  <si>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</si>
  <si>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</si>
  <si>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</si>
  <si>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</si>
  <si>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</si>
  <si>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</si>
  <si>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</si>
  <si>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</si>
  <si>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</si>
  <si>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</si>
  <si>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</si>
  <si>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</si>
  <si>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</si>
  <si>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</si>
  <si>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</si>
  <si>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</si>
  <si>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</si>
  <si>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</si>
  <si>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</si>
  <si>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</si>
  <si>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</si>
  <si>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</si>
  <si>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</si>
  <si>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</si>
  <si>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</si>
  <si>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</si>
  <si>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</si>
  <si>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</si>
  <si>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</si>
  <si>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</si>
  <si>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</si>
  <si>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</si>
  <si>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</si>
  <si>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</si>
  <si>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</si>
  <si>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</si>
  <si>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</si>
  <si>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</si>
  <si>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</si>
  <si>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</si>
  <si>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</si>
  <si>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</si>
  <si>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</si>
  <si>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</si>
  <si>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</si>
  <si>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</si>
  <si>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</si>
  <si>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</si>
  <si>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</si>
  <si>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</si>
  <si>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</si>
  <si>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</si>
  <si>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</si>
  <si>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</si>
  <si>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</si>
  <si>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</si>
  <si>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</si>
  <si>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</si>
  <si>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</si>
  <si>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</si>
  <si>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</si>
  <si>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</si>
  <si>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</si>
  <si>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</si>
  <si>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</si>
  <si>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</si>
  <si>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</si>
  <si>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</si>
  <si>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</si>
  <si>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</si>
  <si>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</si>
  <si>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</si>
  <si>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</si>
  <si>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</si>
  <si>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</si>
  <si>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</si>
  <si>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</si>
  <si>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</si>
  <si>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</si>
  <si>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</si>
  <si>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</si>
  <si>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</si>
  <si>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</si>
  <si>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</si>
  <si>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</si>
  <si>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</si>
  <si>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</si>
  <si>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</si>
  <si>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</si>
  <si>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</si>
  <si>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</si>
  <si>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</si>
  <si>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</si>
  <si>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</si>
  <si>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</si>
  <si>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</si>
  <si>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</si>
  <si>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</si>
  <si>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</si>
  <si>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</si>
  <si>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</si>
  <si>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</si>
  <si>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</si>
  <si>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</si>
  <si>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</si>
  <si>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</si>
  <si>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</si>
  <si>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</si>
  <si>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</si>
  <si>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</si>
  <si>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</si>
  <si>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</si>
  <si>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</si>
  <si>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</si>
  <si>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</si>
  <si>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</si>
  <si>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</si>
  <si>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</si>
  <si>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</si>
  <si>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</si>
  <si>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</si>
  <si>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</si>
  <si>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</si>
  <si>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</si>
  <si>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</si>
  <si>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</si>
  <si>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</si>
  <si>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</si>
  <si>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</si>
  <si>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</si>
  <si>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</si>
  <si>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</si>
  <si>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</si>
  <si>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</si>
  <si>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</si>
  <si>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</si>
  <si>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</si>
  <si>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</si>
  <si>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</si>
  <si>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</si>
  <si>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</si>
  <si>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</si>
  <si>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</si>
  <si>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</si>
  <si>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</si>
  <si>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</si>
  <si>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</si>
  <si>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</si>
  <si>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</si>
  <si>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</si>
  <si>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</si>
  <si>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</si>
  <si>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</si>
  <si>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</si>
  <si>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</si>
  <si>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</si>
  <si>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</si>
  <si>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</si>
  <si>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</si>
  <si>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</si>
  <si>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</si>
  <si>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</si>
  <si>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</si>
  <si>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</si>
  <si>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</si>
  <si>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</si>
  <si>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</si>
  <si>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</si>
  <si>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</si>
  <si>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</si>
  <si>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</si>
  <si>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</si>
  <si>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</si>
  <si>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</si>
  <si>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</si>
  <si>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</si>
  <si>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</si>
  <si>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</si>
  <si>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</si>
  <si>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</si>
  <si>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</si>
  <si>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</si>
  <si>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</si>
  <si>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</si>
  <si>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</si>
  <si>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</si>
  <si>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</si>
  <si>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</si>
  <si>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</si>
  <si>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</si>
  <si>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</si>
  <si>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</si>
  <si>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</si>
  <si>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</si>
  <si>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</si>
  <si>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</si>
  <si>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</si>
  <si>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</si>
  <si>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</si>
  <si>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</si>
  <si>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</si>
  <si>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</si>
  <si>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</si>
  <si>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</si>
  <si>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</si>
  <si>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</si>
  <si>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企业</t>
  </si>
  <si>
    <t>自定义容积率</t>
  </si>
  <si>
    <t>通路</t>
  </si>
  <si>
    <t>通电</t>
  </si>
  <si>
    <t>通讯</t>
  </si>
  <si>
    <t>通上水</t>
  </si>
  <si>
    <t>通下水</t>
  </si>
  <si>
    <t>燃气</t>
  </si>
  <si>
    <t>平整</t>
  </si>
  <si>
    <t>较好</t>
  </si>
  <si>
    <t>一般</t>
  </si>
  <si>
    <t>较差</t>
  </si>
  <si>
    <t>未包含在土地购买价格中</t>
  </si>
  <si>
    <t>已包含在土地取得成本中</t>
  </si>
  <si>
    <t>成本法</t>
  </si>
  <si>
    <t>郑燚</t>
  </si>
  <si>
    <t>抵押</t>
  </si>
  <si>
    <t>房地产市场价值</t>
  </si>
  <si>
    <t>现房</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</si>
  <si>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</si>
  <si>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</si>
  <si>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</si>
  <si>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</si>
  <si>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</si>
  <si>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</si>
  <si>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</si>
  <si>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</si>
  <si>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</si>
  <si>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</si>
  <si>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</si>
  <si>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出让</t>
  </si>
  <si>
    <t>商业项目</t>
  </si>
  <si>
    <t>商业</t>
    <phoneticPr fontId="7" type="noConversion"/>
  </si>
  <si>
    <t>批发零售用地</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</si>
  <si>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</si>
  <si>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</si>
  <si>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</si>
  <si>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</si>
  <si>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</si>
  <si>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</si>
  <si>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</si>
  <si>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</si>
  <si>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</si>
  <si>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</si>
  <si>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</si>
  <si>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</si>
  <si>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地下</t>
  </si>
  <si>
    <t>楼层修正</t>
  </si>
  <si>
    <t>情况4</t>
  </si>
  <si>
    <t>正常</t>
  </si>
  <si>
    <t>转让取得</t>
  </si>
  <si>
    <t>购房发票</t>
  </si>
  <si>
    <t>非个人房产</t>
  </si>
  <si>
    <t>房地产抵押价值</t>
  </si>
  <si>
    <t>其他：</t>
  </si>
  <si>
    <t>土地证</t>
    <phoneticPr fontId="140" type="noConversion"/>
  </si>
  <si>
    <t>证号</t>
    <phoneticPr fontId="140" type="noConversion"/>
  </si>
  <si>
    <t>土地使用权人</t>
    <phoneticPr fontId="140" type="noConversion"/>
  </si>
  <si>
    <t>坐落</t>
    <phoneticPr fontId="140" type="noConversion"/>
  </si>
  <si>
    <t>地类（用途）</t>
    <phoneticPr fontId="140" type="noConversion"/>
  </si>
  <si>
    <t>使用权类型</t>
    <phoneticPr fontId="140" type="noConversion"/>
  </si>
  <si>
    <t>终止日期</t>
    <phoneticPr fontId="140" type="noConversion"/>
  </si>
  <si>
    <t>土地面积</t>
    <phoneticPr fontId="140" type="noConversion"/>
  </si>
  <si>
    <t>出让合同</t>
    <phoneticPr fontId="140" type="noConversion"/>
  </si>
  <si>
    <t>出让价款</t>
    <phoneticPr fontId="140" type="noConversion"/>
  </si>
  <si>
    <t>地面单价</t>
    <phoneticPr fontId="140" type="noConversion"/>
  </si>
  <si>
    <t>容积率</t>
    <phoneticPr fontId="140" type="noConversion"/>
  </si>
  <si>
    <t>房屋所有权证</t>
    <phoneticPr fontId="140" type="noConversion"/>
  </si>
  <si>
    <t>证号</t>
    <phoneticPr fontId="140" type="noConversion"/>
  </si>
  <si>
    <t>权利人</t>
    <phoneticPr fontId="140" type="noConversion"/>
  </si>
  <si>
    <t>用途</t>
    <phoneticPr fontId="140" type="noConversion"/>
  </si>
  <si>
    <t>建筑面积</t>
    <phoneticPr fontId="140" type="noConversion"/>
  </si>
  <si>
    <t>总楼层</t>
    <phoneticPr fontId="140" type="noConversion"/>
  </si>
  <si>
    <t>6层</t>
    <phoneticPr fontId="140" type="noConversion"/>
  </si>
  <si>
    <t>所在楼层</t>
    <phoneticPr fontId="140" type="noConversion"/>
  </si>
  <si>
    <t>地下1至5层</t>
    <phoneticPr fontId="140" type="noConversion"/>
  </si>
  <si>
    <t>房屋结构</t>
    <phoneticPr fontId="140" type="noConversion"/>
  </si>
  <si>
    <t>钢筋混凝土结构</t>
    <phoneticPr fontId="140" type="noConversion"/>
  </si>
  <si>
    <t>竣工日期</t>
    <phoneticPr fontId="140" type="noConversion"/>
  </si>
  <si>
    <t>独立商业</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</si>
  <si>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</si>
  <si>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</si>
  <si>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</si>
  <si>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</si>
  <si>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</si>
  <si>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</si>
  <si>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</si>
  <si>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</si>
  <si>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</si>
  <si>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</si>
  <si>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</si>
  <si>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</si>
  <si>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</si>
  <si>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</si>
  <si>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</si>
  <si>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</si>
  <si>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</si>
  <si>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商业/办公用地</t>
  </si>
  <si>
    <t>小于或等于1.2</t>
  </si>
  <si>
    <t>挂牌</t>
  </si>
  <si>
    <t>其他商服用地</t>
  </si>
  <si>
    <t>0星</t>
  </si>
  <si>
    <t>小于或等于2.5</t>
  </si>
  <si>
    <t>零售商业用地</t>
  </si>
  <si>
    <t>大于或等于1并且小于或等于2</t>
  </si>
  <si>
    <t>2020-10-22</t>
  </si>
  <si>
    <t>小于或等于2</t>
  </si>
  <si>
    <t>商务金融用地</t>
  </si>
  <si>
    <t>2星</t>
  </si>
  <si>
    <t>3星</t>
  </si>
  <si>
    <t>1星</t>
  </si>
  <si>
    <t>小于或等于1</t>
  </si>
  <si>
    <t>小于或等于0.5</t>
  </si>
  <si>
    <t>大连万达商业地产股份有限公司</t>
  </si>
  <si>
    <t>住宿餐饮用地</t>
  </si>
  <si>
    <t>商业</t>
    <phoneticPr fontId="31" type="noConversion"/>
  </si>
  <si>
    <t>川（2017）雅安市不动产权第0006537号</t>
    <phoneticPr fontId="140" type="noConversion"/>
  </si>
  <si>
    <t>雅安万达广场置业有限公司</t>
    <phoneticPr fontId="140" type="noConversion"/>
  </si>
  <si>
    <t>商业服务</t>
    <phoneticPr fontId="140" type="noConversion"/>
  </si>
  <si>
    <t>土地面积</t>
    <phoneticPr fontId="140" type="noConversion"/>
  </si>
  <si>
    <t>终止日期</t>
    <phoneticPr fontId="140" type="noConversion"/>
  </si>
  <si>
    <t>地下1层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</si>
  <si>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</si>
  <si>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</si>
  <si>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</si>
  <si>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</si>
  <si>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1"/>
        <color indexed="8"/>
        <rFont val="宋体"/>
        <family val="3"/>
        <charset val="134"/>
      </rPr>
      <t>层</t>
    </r>
    <phoneticPr fontId="3" type="noConversion"/>
  </si>
  <si>
    <t>http://zfhcxjsj.yaan.gov.cn/xinwen/show/3a4628a1-ca60-40e0-95ac-7fcfc8817f15.html</t>
  </si>
  <si>
    <t>雨城区熊猫大道66号等6处</t>
    <phoneticPr fontId="140" type="noConversion"/>
  </si>
  <si>
    <t>雨城区姚桥片区</t>
  </si>
  <si>
    <t>雅安市</t>
  </si>
  <si>
    <t>拍卖</t>
  </si>
  <si>
    <t>2021-04-13</t>
  </si>
  <si>
    <t>东明石化成都销售有限公司</t>
  </si>
  <si>
    <t>雅安城投建筑工程有限公司</t>
  </si>
  <si>
    <t>雨城区北郊片区</t>
  </si>
  <si>
    <t>娱乐用地</t>
  </si>
  <si>
    <t>2020-12-23</t>
  </si>
  <si>
    <t>雅安文旅熊猫新城投资开发有限责任公司</t>
  </si>
  <si>
    <t>小于或等于3</t>
  </si>
  <si>
    <t>旅馆用地</t>
  </si>
  <si>
    <t>雨城区大兴街道</t>
  </si>
  <si>
    <t>雅安交建集团大兴交通开发有限公司</t>
  </si>
  <si>
    <t>雨城区多营镇</t>
  </si>
  <si>
    <t>雅安市保安服务有限责任公司</t>
  </si>
  <si>
    <t>雨城区草坝镇</t>
  </si>
  <si>
    <t>小于或等于4.5</t>
  </si>
  <si>
    <t>雅安蜀天新城开发建设有限责任公司</t>
  </si>
  <si>
    <t>2020-09-29</t>
  </si>
  <si>
    <t>旺苍县富渝房地产开发有限公司、雅安蜀天开发建设有限责任公司</t>
  </si>
  <si>
    <t>2020-09-10</t>
  </si>
  <si>
    <t>小于或等于1.5</t>
  </si>
  <si>
    <t>2020-08-19</t>
  </si>
  <si>
    <t>雅安交建集团无水港物流有限责任公司</t>
  </si>
  <si>
    <t>2020-08-14</t>
  </si>
  <si>
    <t>李涛</t>
  </si>
  <si>
    <t>2020-07-21</t>
  </si>
  <si>
    <t>2020-06-24</t>
  </si>
  <si>
    <t>雅安市国欣建材有限公司</t>
  </si>
  <si>
    <t>北临草坝镇栗子村农田,东临草坝镇栗子村农田,南临草坝镇栗子村、均田村沟渠,西临草坝镇栗子村农田及道路</t>
  </si>
  <si>
    <t>2020-05-18</t>
  </si>
  <si>
    <t>雅安金强蓝鲸体育文化传播有限公司</t>
  </si>
  <si>
    <t>雨城区对岩镇</t>
  </si>
  <si>
    <t>2019-12-26</t>
  </si>
  <si>
    <t>陈小兵、李林、邓琳、雅安亨通工贸有限责任公司</t>
  </si>
  <si>
    <t>雨城区晏场镇</t>
  </si>
  <si>
    <t>2019-12-17</t>
  </si>
  <si>
    <t>雅安世外乡村旅游开发有限责任公司</t>
  </si>
  <si>
    <t>2019-09-10</t>
  </si>
  <si>
    <t>雅安海虹置业投资有限公司</t>
  </si>
  <si>
    <t>雨城区大兴镇</t>
  </si>
  <si>
    <t>2019-07-30</t>
  </si>
  <si>
    <t>雅安文旅会展有限公司</t>
  </si>
  <si>
    <t>2018-12-24</t>
  </si>
  <si>
    <t>雅安市西康文化旅游发展有限责任公司</t>
  </si>
  <si>
    <t>雅安建国汽车销售服务有限公司</t>
  </si>
  <si>
    <t>雨城区南郊乡顺江村(张家山)</t>
  </si>
  <si>
    <t>小于或等于1.8</t>
  </si>
  <si>
    <t>2018-11-26</t>
  </si>
  <si>
    <t>四川雅安倍特星月宾馆有限公司</t>
  </si>
  <si>
    <t>雅安雨城区大兴片区</t>
  </si>
  <si>
    <t>2018-11-13</t>
  </si>
  <si>
    <t>雨城区北郊镇陇西村</t>
  </si>
  <si>
    <t>2018-09-03</t>
  </si>
  <si>
    <t>中国石油天然气股份有限公司四川雅安销售分公司</t>
  </si>
  <si>
    <t>雨城区上里镇四家村二组</t>
  </si>
  <si>
    <t>雅安农村商业银行股份有限公司</t>
  </si>
  <si>
    <t>小于或等于1.6</t>
  </si>
  <si>
    <t>2016-09-14</t>
  </si>
  <si>
    <t>何学伟</t>
  </si>
  <si>
    <t>大于或等于0.76并且小于或等于1.3</t>
  </si>
  <si>
    <t>2016-03-30</t>
  </si>
  <si>
    <t>杨文、钟文平</t>
  </si>
  <si>
    <t>小于或等于1.9</t>
  </si>
  <si>
    <t>2016-01-13</t>
  </si>
  <si>
    <t>雨城区行政中心东侧</t>
  </si>
  <si>
    <t>2015-12-31</t>
  </si>
  <si>
    <t>雅安市吉瑞达置业有限公司</t>
  </si>
  <si>
    <t>2015-09-10</t>
  </si>
  <si>
    <t>四川省雅安鑫源城市建设开发有限责任公司</t>
  </si>
  <si>
    <t>对岩镇坎坡村</t>
  </si>
  <si>
    <t>小于或等于2.2</t>
  </si>
  <si>
    <t>2015-01-14</t>
  </si>
  <si>
    <t>四川雅安博娟超市连锁有限公司、雅安博娟农产品开发有限公司</t>
  </si>
  <si>
    <t>2014-10-10</t>
  </si>
  <si>
    <t>雅安亨通工贸有限责任公司、李林、陈小兵、邓琳、邓瑶、邓琦</t>
  </si>
  <si>
    <t>雨城区</t>
  </si>
  <si>
    <t>2013-08-30</t>
  </si>
  <si>
    <t>四川吉瑞达置业有限公司</t>
  </si>
  <si>
    <t>草坝镇</t>
  </si>
  <si>
    <t>2013-06-26</t>
  </si>
  <si>
    <t>王静</t>
  </si>
  <si>
    <t>雅安市雨城区滨江路</t>
  </si>
  <si>
    <t>2012-08-29</t>
  </si>
  <si>
    <t>中国工商银行股份有限公司雅安分行、雅安市商业银行股份有限公司、雅安市雨城区农村信用合作联社</t>
  </si>
  <si>
    <t>台账统计租赁面积</t>
    <phoneticPr fontId="140" type="noConversion"/>
  </si>
  <si>
    <t>平均租金（含物业费）</t>
    <phoneticPr fontId="140" type="noConversion"/>
  </si>
  <si>
    <t>年总收入（含物业费）</t>
    <phoneticPr fontId="140" type="noConversion"/>
  </si>
  <si>
    <r>
      <t>1层商业售价</t>
    </r>
    <r>
      <rPr>
        <sz val="11"/>
        <color theme="1"/>
        <rFont val="宋体"/>
        <family val="3"/>
        <charset val="134"/>
        <scheme val="minor"/>
      </rPr>
      <t>15000左右</t>
    </r>
    <phoneticPr fontId="140" type="noConversion"/>
  </si>
  <si>
    <t>项目名称</t>
    <phoneticPr fontId="256" type="noConversion"/>
  </si>
  <si>
    <t>租金收入</t>
    <phoneticPr fontId="256" type="noConversion"/>
  </si>
  <si>
    <t>北海银海</t>
  </si>
  <si>
    <t>抚州临川</t>
  </si>
  <si>
    <t>九江濂溪</t>
  </si>
  <si>
    <t>雅安</t>
  </si>
  <si>
    <t>辽阳</t>
  </si>
  <si>
    <t>合计</t>
    <phoneticPr fontId="256" type="noConversion"/>
  </si>
  <si>
    <r>
      <rPr>
        <b/>
        <sz val="10"/>
        <rFont val="宋体"/>
        <family val="3"/>
        <charset val="134"/>
      </rPr>
      <t>租约整理单价</t>
    </r>
    <r>
      <rPr>
        <b/>
        <sz val="10"/>
        <rFont val="Arial"/>
        <family val="2"/>
      </rPr>
      <t>2.3</t>
    </r>
    <r>
      <rPr>
        <b/>
        <sz val="10"/>
        <rFont val="宋体"/>
        <family val="3"/>
        <charset val="134"/>
      </rPr>
      <t>，年租金</t>
    </r>
    <r>
      <rPr>
        <b/>
        <sz val="10"/>
        <rFont val="Arial"/>
        <family val="2"/>
      </rPr>
      <t>7200</t>
    </r>
    <r>
      <rPr>
        <b/>
        <sz val="10"/>
        <rFont val="宋体"/>
        <family val="3"/>
        <charset val="134"/>
      </rPr>
      <t>万元</t>
    </r>
    <phoneticPr fontId="3" type="noConversion"/>
  </si>
  <si>
    <r>
      <t>2.3</t>
    </r>
    <r>
      <rPr>
        <sz val="10"/>
        <color indexed="8"/>
        <rFont val="宋体"/>
        <family val="3"/>
        <charset val="134"/>
      </rPr>
      <t>含物业费</t>
    </r>
    <phoneticPr fontId="3" type="noConversion"/>
  </si>
  <si>
    <t>吴薇</t>
  </si>
  <si>
    <t>询价</t>
    <phoneticPr fontId="8" type="noConversion"/>
  </si>
  <si>
    <t>中国民生信托有限公司</t>
    <phoneticPr fontId="6" type="noConversion"/>
  </si>
  <si>
    <t>雅安万达广场置业有限公司</t>
    <phoneticPr fontId="6" type="noConversion"/>
  </si>
  <si>
    <t>四川省雅安市</t>
    <phoneticPr fontId="6" type="noConversion"/>
  </si>
  <si>
    <r>
      <rPr>
        <sz val="10"/>
        <color theme="9" tint="-0.249977111117893"/>
        <rFont val="宋体"/>
        <family val="3"/>
        <charset val="134"/>
      </rPr>
      <t>雨城区熊猫大道</t>
    </r>
    <r>
      <rPr>
        <sz val="10"/>
        <color theme="9" tint="-0.249977111117893"/>
        <rFont val="Arial"/>
        <family val="2"/>
      </rPr>
      <t>66</t>
    </r>
    <r>
      <rPr>
        <sz val="10"/>
        <color theme="9" tint="-0.249977111117893"/>
        <rFont val="宋体"/>
        <family val="3"/>
        <charset val="134"/>
      </rPr>
      <t>号等</t>
    </r>
    <r>
      <rPr>
        <sz val="10"/>
        <color theme="9" tint="-0.249977111117893"/>
        <rFont val="Arial"/>
        <family val="2"/>
      </rPr>
      <t>6</t>
    </r>
    <r>
      <rPr>
        <sz val="10"/>
        <color theme="9" tint="-0.249977111117893"/>
        <rFont val="宋体"/>
        <family val="3"/>
        <charset val="134"/>
      </rPr>
      <t>处商业用房</t>
    </r>
    <phoneticPr fontId="6" type="noConversion"/>
  </si>
  <si>
    <t>《不动产权证书》[川（2017）雅安市不动产权第0006537号]</t>
    <phoneticPr fontId="6" type="noConversion"/>
  </si>
  <si>
    <t>否</t>
  </si>
  <si>
    <t>《不动产权证书》</t>
  </si>
  <si>
    <t>复印件</t>
  </si>
  <si>
    <t>无</t>
  </si>
  <si>
    <r>
      <t>(1)</t>
    </r>
    <r>
      <rPr>
        <sz val="10"/>
        <color indexed="8"/>
        <rFont val="宋体"/>
        <family val="3"/>
        <charset val="134"/>
      </rPr>
      <t>大城市</t>
    </r>
    <r>
      <rPr>
        <sz val="10"/>
        <color indexed="8"/>
        <rFont val="Arial"/>
        <family val="2"/>
      </rPr>
      <t>5</t>
    </r>
    <r>
      <rPr>
        <sz val="10"/>
        <color indexed="8"/>
        <rFont val="宋体"/>
        <family val="3"/>
        <charset val="134"/>
      </rPr>
      <t>角至</t>
    </r>
    <r>
      <rPr>
        <sz val="10"/>
        <color indexed="8"/>
        <rFont val="Arial"/>
        <family val="2"/>
      </rPr>
      <t>10</t>
    </r>
    <r>
      <rPr>
        <sz val="10"/>
        <color indexed="8"/>
        <rFont val="宋体"/>
        <family val="3"/>
        <charset val="134"/>
      </rPr>
      <t>元</t>
    </r>
    <r>
      <rPr>
        <sz val="10"/>
        <color indexed="8"/>
        <rFont val="Arial"/>
        <family val="2"/>
      </rPr>
      <t>;</t>
    </r>
    <phoneticPr fontId="3" type="noConversion"/>
  </si>
  <si>
    <r>
      <t>(2)</t>
    </r>
    <r>
      <rPr>
        <sz val="10"/>
        <color indexed="8"/>
        <rFont val="宋体"/>
        <family val="3"/>
        <charset val="134"/>
      </rPr>
      <t>中等城市</t>
    </r>
    <r>
      <rPr>
        <sz val="10"/>
        <color indexed="8"/>
        <rFont val="Arial"/>
        <family val="2"/>
      </rPr>
      <t>4</t>
    </r>
    <r>
      <rPr>
        <sz val="10"/>
        <color indexed="8"/>
        <rFont val="宋体"/>
        <family val="3"/>
        <charset val="134"/>
      </rPr>
      <t>角至</t>
    </r>
    <r>
      <rPr>
        <sz val="10"/>
        <color indexed="8"/>
        <rFont val="Arial"/>
        <family val="2"/>
      </rPr>
      <t>8</t>
    </r>
    <r>
      <rPr>
        <sz val="10"/>
        <color indexed="8"/>
        <rFont val="宋体"/>
        <family val="3"/>
        <charset val="134"/>
      </rPr>
      <t>元</t>
    </r>
    <r>
      <rPr>
        <sz val="10"/>
        <color indexed="8"/>
        <rFont val="Arial"/>
        <family val="2"/>
      </rPr>
      <t>;</t>
    </r>
    <phoneticPr fontId="3" type="noConversion"/>
  </si>
  <si>
    <r>
      <t>(3)</t>
    </r>
    <r>
      <rPr>
        <sz val="10"/>
        <color indexed="8"/>
        <rFont val="宋体"/>
        <family val="3"/>
        <charset val="134"/>
      </rPr>
      <t>小城市</t>
    </r>
    <r>
      <rPr>
        <sz val="10"/>
        <color indexed="8"/>
        <rFont val="Arial"/>
        <family val="2"/>
      </rPr>
      <t>3</t>
    </r>
    <r>
      <rPr>
        <sz val="10"/>
        <color indexed="8"/>
        <rFont val="宋体"/>
        <family val="3"/>
        <charset val="134"/>
      </rPr>
      <t>角至</t>
    </r>
    <r>
      <rPr>
        <sz val="10"/>
        <color indexed="8"/>
        <rFont val="Arial"/>
        <family val="2"/>
      </rPr>
      <t>6</t>
    </r>
    <r>
      <rPr>
        <sz val="10"/>
        <color indexed="8"/>
        <rFont val="宋体"/>
        <family val="3"/>
        <charset val="134"/>
      </rPr>
      <t>元</t>
    </r>
    <r>
      <rPr>
        <sz val="10"/>
        <color indexed="8"/>
        <rFont val="Arial"/>
        <family val="2"/>
      </rPr>
      <t>;</t>
    </r>
    <phoneticPr fontId="3" type="noConversion"/>
  </si>
  <si>
    <r>
      <t>(4)</t>
    </r>
    <r>
      <rPr>
        <sz val="10"/>
        <color indexed="8"/>
        <rFont val="宋体"/>
        <family val="3"/>
        <charset val="134"/>
      </rPr>
      <t>县城、建制镇、工矿区</t>
    </r>
    <r>
      <rPr>
        <sz val="10"/>
        <color indexed="8"/>
        <rFont val="Arial"/>
        <family val="2"/>
      </rPr>
      <t>2</t>
    </r>
    <r>
      <rPr>
        <sz val="10"/>
        <color indexed="8"/>
        <rFont val="宋体"/>
        <family val="3"/>
        <charset val="134"/>
      </rPr>
      <t>角至</t>
    </r>
    <r>
      <rPr>
        <sz val="10"/>
        <color indexed="8"/>
        <rFont val="Arial"/>
        <family val="2"/>
      </rPr>
      <t>4</t>
    </r>
    <r>
      <rPr>
        <sz val="10"/>
        <color indexed="8"/>
        <rFont val="宋体"/>
        <family val="3"/>
        <charset val="134"/>
      </rPr>
      <t>元。</t>
    </r>
    <phoneticPr fontId="3" type="noConversion"/>
  </si>
  <si>
    <t>较好</t>
    <phoneticPr fontId="41" type="noConversion"/>
  </si>
  <si>
    <t>较好</t>
    <phoneticPr fontId="25" type="noConversion"/>
  </si>
  <si>
    <t>较好</t>
    <phoneticPr fontId="41" type="noConversion"/>
  </si>
  <si>
    <t>六通</t>
  </si>
  <si>
    <t>六通</t>
    <phoneticPr fontId="25" type="noConversion"/>
  </si>
  <si>
    <t>建筑面积</t>
  </si>
  <si>
    <t>土地面积</t>
  </si>
  <si>
    <t>建筑物价值</t>
  </si>
  <si>
    <t>雨城区三雅园旁</t>
    <phoneticPr fontId="140" type="noConversion"/>
  </si>
  <si>
    <t>雨城区北郊片区</t>
    <phoneticPr fontId="140" type="noConversion"/>
  </si>
  <si>
    <t>雨城区大兴街道</t>
    <phoneticPr fontId="140" type="noConversion"/>
  </si>
  <si>
    <t>雨城区多营镇</t>
    <phoneticPr fontId="140" type="noConversion"/>
  </si>
  <si>
    <t>雨城区草坝镇</t>
    <phoneticPr fontId="140" type="noConversion"/>
  </si>
  <si>
    <t>40</t>
    <phoneticPr fontId="31" type="noConversion"/>
  </si>
  <si>
    <t>规则</t>
    <phoneticPr fontId="31" type="noConversion"/>
  </si>
  <si>
    <t>较规则</t>
  </si>
  <si>
    <t>较规则</t>
    <phoneticPr fontId="31" type="noConversion"/>
  </si>
  <si>
    <t>一般</t>
    <phoneticPr fontId="31" type="noConversion"/>
  </si>
  <si>
    <t>适宜</t>
    <phoneticPr fontId="31" type="noConversion"/>
  </si>
  <si>
    <t>较适宜</t>
  </si>
  <si>
    <t>较适宜</t>
    <phoneticPr fontId="31" type="noConversion"/>
  </si>
  <si>
    <t>三通</t>
  </si>
  <si>
    <t>全部缴纳</t>
  </si>
  <si>
    <t>序号</t>
  </si>
  <si>
    <t>总层数</t>
  </si>
  <si>
    <t>所在层数</t>
  </si>
  <si>
    <t>房屋结构</t>
  </si>
  <si>
    <t>房屋用途</t>
  </si>
  <si>
    <t>钢筋混凝土结构</t>
  </si>
  <si>
    <t>商业服务</t>
  </si>
  <si>
    <t>其他商服用地</t>
    <phoneticPr fontId="140" type="noConversion"/>
  </si>
  <si>
    <t>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</si>
</sst>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2"/>
      <color theme="0"/>
      <name val="微软雅黑"/>
      <family val="2"/>
      <charset val="134"/>
    </font>
    <font>
      <sz val="9"/>
      <name val="宋体"/>
      <family val="2"/>
      <charset val="134"/>
      <scheme val="minor"/>
    </font>
    <font>
      <sz val="12"/>
      <color theme="1"/>
      <name val="微软雅黑"/>
      <family val="2"/>
      <charset val="134"/>
    </font>
    <font>
      <b/>
      <sz val="12"/>
      <color theme="1"/>
      <name val="微软雅黑"/>
      <family val="2"/>
      <charset val="134"/>
    </font>
    <font>
      <sz val="12"/>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9" fontId="254"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98" fillId="0" borderId="0" xfId="0" applyFont="1">
      <alignment vertical="center"/>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98" fillId="0" borderId="1" xfId="0" applyFont="1" applyFill="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104" fillId="2" borderId="24" xfId="0" applyFont="1" applyFill="1" applyBorder="1" applyAlignment="1" applyProtection="1">
      <alignment horizontal="center" vertical="center"/>
      <protection locked="0"/>
    </xf>
    <xf numFmtId="0" fontId="98" fillId="0" borderId="1" xfId="0" applyFont="1" applyBorder="1" applyAlignment="1">
      <alignment horizontal="center" vertical="center"/>
    </xf>
    <xf numFmtId="0" fontId="118" fillId="0" borderId="0" xfId="17" applyFont="1"/>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55" fillId="7" borderId="24" xfId="1" applyNumberFormat="1" applyFont="1" applyFill="1" applyBorder="1" applyAlignment="1" applyProtection="1">
      <alignment horizontal="center" vertical="center"/>
      <protection locked="0"/>
    </xf>
    <xf numFmtId="10" fontId="53" fillId="0" borderId="53" xfId="0" applyNumberFormat="1" applyFont="1" applyFill="1" applyBorder="1" applyAlignment="1" applyProtection="1">
      <alignment horizontal="center" vertical="center"/>
      <protection locked="0"/>
    </xf>
    <xf numFmtId="14" fontId="98" fillId="0" borderId="1" xfId="0" applyNumberFormat="1" applyFont="1" applyBorder="1" applyAlignment="1">
      <alignment horizontal="center" vertical="center"/>
    </xf>
    <xf numFmtId="0" fontId="55" fillId="0" borderId="0" xfId="17"/>
    <xf numFmtId="0" fontId="98" fillId="0" borderId="0" xfId="0" applyFont="1" applyFill="1" applyBorder="1">
      <alignment vertical="center"/>
    </xf>
    <xf numFmtId="0" fontId="255" fillId="20" borderId="1" xfId="0" applyFont="1" applyFill="1" applyBorder="1" applyAlignment="1" applyProtection="1">
      <alignment horizontal="center" vertical="center"/>
      <protection locked="0"/>
    </xf>
    <xf numFmtId="4" fontId="257" fillId="0" borderId="1" xfId="0" applyNumberFormat="1" applyFont="1" applyBorder="1" applyAlignment="1" applyProtection="1">
      <alignment horizontal="center" vertical="center"/>
      <protection locked="0"/>
    </xf>
    <xf numFmtId="197" fontId="257" fillId="0" borderId="1" xfId="0" applyNumberFormat="1" applyFont="1" applyBorder="1" applyAlignment="1" applyProtection="1">
      <alignment horizontal="center" vertical="center"/>
      <protection locked="0"/>
    </xf>
    <xf numFmtId="4" fontId="258" fillId="0" borderId="1" xfId="0" applyNumberFormat="1" applyFont="1" applyBorder="1" applyAlignment="1" applyProtection="1">
      <alignment horizontal="center" vertical="center"/>
      <protection locked="0"/>
    </xf>
    <xf numFmtId="197" fontId="258" fillId="0" borderId="1" xfId="0" applyNumberFormat="1" applyFont="1" applyBorder="1" applyAlignment="1" applyProtection="1">
      <alignment horizontal="center" vertical="center"/>
      <protection locked="0"/>
    </xf>
    <xf numFmtId="4" fontId="259" fillId="0" borderId="1" xfId="0" applyNumberFormat="1" applyFont="1" applyBorder="1" applyAlignment="1" applyProtection="1">
      <alignment horizontal="center" vertical="center"/>
      <protection locked="0"/>
    </xf>
    <xf numFmtId="197" fontId="259" fillId="0" borderId="1" xfId="0" applyNumberFormat="1" applyFont="1" applyBorder="1" applyAlignment="1" applyProtection="1">
      <alignment horizontal="center" vertical="center"/>
      <protection locked="0"/>
    </xf>
    <xf numFmtId="10" fontId="103" fillId="6" borderId="0" xfId="18" applyNumberFormat="1" applyFont="1" applyFill="1" applyAlignment="1" applyProtection="1">
      <protection locked="0"/>
    </xf>
    <xf numFmtId="0" fontId="79" fillId="7" borderId="0" xfId="0" applyFont="1" applyFill="1" applyProtection="1">
      <alignment vertical="center"/>
      <protection locked="0"/>
    </xf>
    <xf numFmtId="0" fontId="0" fillId="0" borderId="1" xfId="0"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5" fillId="20" borderId="1"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49" fontId="235" fillId="7" borderId="5"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0" fontId="49" fillId="21" borderId="15" xfId="0"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9" fillId="5" borderId="0" xfId="17" applyFont="1" applyFill="1"/>
    <xf numFmtId="0" fontId="19" fillId="0" borderId="0" xfId="17" applyFont="1"/>
    <xf numFmtId="0" fontId="97" fillId="0" borderId="44" xfId="0" applyNumberFormat="1" applyFont="1" applyFill="1" applyBorder="1" applyAlignment="1" applyProtection="1">
      <alignment horizontal="center" vertical="center" wrapText="1"/>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6</xdr:col>
      <xdr:colOff>660572</xdr:colOff>
      <xdr:row>39</xdr:row>
      <xdr:rowOff>54476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01333"/>
          <a:ext cx="7095239" cy="4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YunKu_Temp\YunKu_Open\7f7e477afca2148193813bee48c22ec6b6dbbc94\&#38468;&#20214;1&#12289;&#27665;&#29983;003&#21495;&#36164;&#20135;&#21253;2018&#24180;4&#23395;&#24230;&#20928;&#29289;&#19994;&#25910;&#20837;&#20998;&#25104;&#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YunKu_Temp\YunKu_Open\5dc7aaf0688b75ce05acccdd7f3807f0a7b6b84e\&#38468;&#20214;1&#65306;&#27665;&#29983;003&#21495;&#36164;&#20135;&#21253;&#23395;&#24230;&#20998;&#25104;&#32467;&#31639;&#25253;&#21578;-2019Q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unKu_Temp\YunKu_Open\295a22857b1a6d2aa9114591f8e2e1cc5516e555\&#38468;&#20214;1&#65306;&#27665;&#29983;003&#21495;&#36164;&#20135;&#21253;&#23395;&#24230;&#20998;&#25104;&#32467;&#31639;&#25253;&#21578;-2020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四川省雅安市雨城区熊猫大道66号等6处商业用房房地产市场价值预评估</v>
      </c>
    </row>
    <row r="3" spans="1:2" s="1362" customFormat="1">
      <c r="A3" s="1360" t="s">
        <v>1188</v>
      </c>
      <c r="B3" s="1361" t="str">
        <f>'预评函-封皮'!B40</f>
        <v>中国民生信托有限公司</v>
      </c>
    </row>
    <row r="4" spans="1:2" s="1362" customFormat="1">
      <c r="A4" s="1360" t="s">
        <v>1189</v>
      </c>
      <c r="B4" s="1361" t="str">
        <f ca="1">'预评函-封皮'!B46</f>
        <v>吴薇（注册号：1419970001)、郑燚（注册号：1120070131)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受贵公司委托，我公司对四川省雅安市雨城区熊猫大道66号等6处商业用房房地产市场价值进行了预评估。</v>
      </c>
    </row>
    <row r="7" spans="1:2" s="1362" customFormat="1">
      <c r="A7" s="1360" t="s">
        <v>1231</v>
      </c>
      <c r="B7" s="1361" t="str">
        <f>'预评函-1'!A7</f>
        <v>估价对象为四川省雅安市雨城区熊猫大道66号等6处商业用房房地产，为雅安万达广场置业有限公司所有。根据《不动产权证书》[川（2017）雅安市不动产权第0006537号]，估价对象（分摊）出让国有建设用地使用权面积为47924.04平方米，建筑面积为96983.22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四川省雅安市雨城区熊猫大道66号等6处商业用房房地产,为雅安万达广场置业有限公司开发建设的商业项目，该项目尚在开发建设中。根据《不动产权证书》[川（2017）雅安市不动产权第0006537号]，估价对象（分摊）出让国有建设用地使用权面积为47924.04平方米，规划建筑面积为96983.22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雅安万达广场置业有限公司拟使用四川省雅安市雨城区熊猫大道66号等6处商业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2021年6月15日（评估专业人员实地查勘之日）</v>
      </c>
    </row>
    <row r="13" spans="1:2" s="1362" customFormat="1">
      <c r="A13" s="1360" t="s">
        <v>1194</v>
      </c>
      <c r="B13" s="1361"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六通”（即通电、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v>
      </c>
    </row>
    <row r="16" spans="1:2" s="1362" customFormat="1">
      <c r="A16" s="1360" t="s">
        <v>1197</v>
      </c>
      <c r="B16" s="1361" t="str">
        <f>'预评函-1'!A21</f>
        <v>——</v>
      </c>
    </row>
    <row r="17" spans="1:2" s="1362" customFormat="1">
      <c r="A17" s="1360" t="s">
        <v>1198</v>
      </c>
      <c r="B17" s="1361" t="str">
        <f>'预评函-1'!A22</f>
        <v>——</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2" customFormat="1">
      <c r="A20" s="1360" t="s">
        <v>1201</v>
      </c>
      <c r="B20" s="1361">
        <f ca="1">'预评函-2'!D5</f>
        <v>85587</v>
      </c>
    </row>
    <row r="21" spans="1:2" s="1362" customFormat="1">
      <c r="A21" s="1360" t="s">
        <v>1202</v>
      </c>
      <c r="B21" s="1361">
        <f ca="1">'预评函-2'!D7</f>
        <v>8825</v>
      </c>
    </row>
    <row r="22" spans="1:2" s="1362" customFormat="1">
      <c r="A22" s="1360" t="s">
        <v>1203</v>
      </c>
      <c r="B22" s="1361" t="str">
        <f ca="1">'预评函-2'!D6</f>
        <v>捌亿伍仟伍佰捌拾柒万元整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85587</v>
      </c>
    </row>
    <row r="31" spans="1:2" s="1362" customFormat="1">
      <c r="A31" s="1360" t="s">
        <v>1241</v>
      </c>
      <c r="B31" s="1361">
        <f ca="1">'预评函-2'!D15</f>
        <v>8825</v>
      </c>
    </row>
    <row r="32" spans="1:2" s="1362" customFormat="1">
      <c r="A32" s="1360" t="s">
        <v>1208</v>
      </c>
      <c r="B32" s="1361" t="str">
        <f ca="1">'预评函-2'!D14</f>
        <v>捌亿伍仟伍佰捌拾柒万元整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四川省雅安市雨城区熊猫大道66号等6处商业用房房地产</v>
      </c>
    </row>
    <row r="42" spans="1:2" s="1362" customFormat="1">
      <c r="A42" s="1360" t="s">
        <v>1255</v>
      </c>
      <c r="B42" s="1361" t="str">
        <f>'预评函-3'!B2</f>
        <v>建筑面积</v>
      </c>
    </row>
    <row r="43" spans="1:2" s="1362" customFormat="1">
      <c r="A43" s="1360" t="s">
        <v>1256</v>
      </c>
      <c r="B43" s="1361">
        <f>'预评函-3'!B4</f>
        <v>96983.22</v>
      </c>
    </row>
    <row r="44" spans="1:2" s="1362" customFormat="1">
      <c r="A44" s="1360" t="s">
        <v>1240</v>
      </c>
      <c r="B44" s="1361" t="str">
        <f>'预评函-3'!C2</f>
        <v>(分摊)土地面积</v>
      </c>
    </row>
    <row r="45" spans="1:2" s="1362" customFormat="1">
      <c r="A45" s="1360" t="s">
        <v>1212</v>
      </c>
      <c r="B45" s="1361">
        <f>'预评函-3'!C4</f>
        <v>47924.04</v>
      </c>
    </row>
    <row r="46" spans="1:2" s="1362" customFormat="1">
      <c r="A46" s="1360" t="s">
        <v>1238</v>
      </c>
      <c r="B46" s="1361" t="str">
        <f>'预评函-3'!D2</f>
        <v>出让国有建设用地使用权价值</v>
      </c>
    </row>
    <row r="47" spans="1:2" s="1362" customFormat="1">
      <c r="A47" s="1360" t="s">
        <v>1213</v>
      </c>
      <c r="B47" s="1361">
        <f ca="1">'预评函-3'!D4</f>
        <v>24478</v>
      </c>
    </row>
    <row r="48" spans="1:2" s="1362" customFormat="1">
      <c r="A48" s="1360" t="s">
        <v>1214</v>
      </c>
      <c r="B48" s="1361">
        <f ca="1">'预评函-3'!E4</f>
        <v>2524</v>
      </c>
    </row>
    <row r="49" spans="1:2" s="1362" customFormat="1">
      <c r="A49" s="1360" t="s">
        <v>1215</v>
      </c>
      <c r="B49" s="1361" t="str">
        <f ca="1">'预评函-3'!D5</f>
        <v>贰亿肆仟肆佰柒拾捌万元整</v>
      </c>
    </row>
    <row r="50" spans="1:2" s="1362" customFormat="1">
      <c r="A50" s="1360" t="s">
        <v>1239</v>
      </c>
      <c r="B50" s="1361" t="str">
        <f>'预评函-3'!F2</f>
        <v>建筑物价值</v>
      </c>
    </row>
    <row r="51" spans="1:2" s="1362" customFormat="1">
      <c r="A51" s="1360" t="s">
        <v>1216</v>
      </c>
      <c r="B51" s="1361">
        <f ca="1">'预评函-3'!F4</f>
        <v>61109</v>
      </c>
    </row>
    <row r="52" spans="1:2" s="1362" customFormat="1">
      <c r="A52" s="1360" t="s">
        <v>1217</v>
      </c>
      <c r="B52" s="1361">
        <f ca="1">'预评函-3'!G4</f>
        <v>6301</v>
      </c>
    </row>
    <row r="53" spans="1:2" s="1362" customFormat="1">
      <c r="A53" s="1360" t="s">
        <v>1245</v>
      </c>
      <c r="B53" s="1361" t="str">
        <f ca="1">'预评函-3'!F5</f>
        <v>陆亿壹仟壹佰零玖万元整</v>
      </c>
    </row>
    <row r="54" spans="1:2" s="1362" customFormat="1">
      <c r="A54" s="1360" t="s">
        <v>1263</v>
      </c>
      <c r="B54" s="1361" t="str">
        <f>'预评函-3'!A8</f>
        <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（1）根据估价对象《不动产权证书》复印件、，截至价值时点，估价对象抵押权未见登记。</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吴薇</v>
      </c>
    </row>
    <row r="71" spans="1:2">
      <c r="A71" s="1360" t="s">
        <v>1228</v>
      </c>
      <c r="B71" s="1361">
        <f ca="1">'预评函-4'!B4</f>
        <v>1419970001</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K42" sqref="K42"/>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3021</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3046</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雅安万达广场置业有限公司拟使用四川省雅安市雨城区熊猫大道66号等6处商业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1"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737" t="s">
        <v>832</v>
      </c>
      <c r="C54" s="1734" t="s">
        <v>1248</v>
      </c>
    </row>
    <row r="55" spans="1:4">
      <c r="A55" s="3121"/>
      <c r="B55" s="1737" t="s">
        <v>833</v>
      </c>
      <c r="C55" s="1734" t="s">
        <v>1249</v>
      </c>
    </row>
    <row r="56" spans="1:4">
      <c r="A56" s="3121"/>
      <c r="B56" s="1737" t="s">
        <v>834</v>
      </c>
      <c r="C56" s="1734" t="s">
        <v>1253</v>
      </c>
    </row>
    <row r="57" spans="1:4">
      <c r="A57" s="3121"/>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6" customWidth="1"/>
    <col min="12" max="13" width="10" style="2847"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2905</v>
      </c>
      <c r="B1" s="3122" t="str">
        <f>IF(B10="北京市","北京市",C10)&amp;F10&amp;IF(结果表!G1="在建","出让国有建设用地使用权及在建建筑物",IF(结果表!G1="土地","出让国有建设用地使用权",))&amp;B9&amp;"预评估"</f>
        <v>四川省雅安市雨城区熊猫大道66号等6处商业用房房地产市场价值预评估</v>
      </c>
      <c r="C1" s="3123"/>
      <c r="D1" s="3123"/>
      <c r="E1" s="3123"/>
      <c r="F1" s="3123"/>
      <c r="G1" s="3123"/>
      <c r="H1" s="3123"/>
      <c r="I1" s="3124"/>
      <c r="J1" s="2688"/>
      <c r="K1" s="2588"/>
      <c r="L1" s="2589"/>
      <c r="M1" s="2589"/>
      <c r="N1" s="2590"/>
      <c r="O1" s="1758"/>
      <c r="P1" s="2590"/>
      <c r="Q1" s="2590"/>
      <c r="R1" s="2590"/>
      <c r="S1" s="1865" t="str">
        <f>IF(B10="北京市","北京市",C10)&amp;F10&amp;IF(结果表!G1="在建","出让国有建设用地使用权及在建建筑物房地产抵押价值",IF(结果表!G1="土地","出让国有建设用地使用权抵押价值",B9))</f>
        <v>四川省雅安市雨城区熊猫大道66号等6处商业用房房地产市场价值</v>
      </c>
      <c r="T1" s="1927"/>
      <c r="U1" s="1927"/>
      <c r="V1" s="1927"/>
      <c r="W1" s="1927"/>
      <c r="X1" s="1927"/>
      <c r="Y1" s="1927"/>
      <c r="Z1" s="1927"/>
      <c r="AA1" s="1927"/>
      <c r="AB1" s="1927"/>
    </row>
    <row r="2" spans="1:28">
      <c r="A2" s="2587" t="s">
        <v>2906</v>
      </c>
      <c r="B2" s="2591"/>
      <c r="C2" s="2592"/>
      <c r="D2" s="2890"/>
      <c r="E2" s="2880"/>
      <c r="F2" s="2880"/>
      <c r="G2" s="2881"/>
      <c r="H2" s="2881"/>
      <c r="I2" s="2881"/>
      <c r="J2" s="2688"/>
      <c r="K2" s="2588"/>
      <c r="L2" s="2589"/>
      <c r="M2" s="2589"/>
      <c r="N2" s="2590"/>
      <c r="O2" s="1758"/>
      <c r="P2" s="2590"/>
      <c r="Q2" s="2590"/>
      <c r="R2" s="2590"/>
      <c r="S2" s="1865" t="str">
        <f>IF(B10="北京市","北京市",C10)&amp;F10&amp;IF(结果表!G1="在建","出让国有建设用地使用权及在建建筑物房地产",IF(结果表!G1="土地","出让国有建设用地使用权","房地产"))</f>
        <v>四川省雅安市雨城区熊猫大道66号等6处商业用房房地产</v>
      </c>
      <c r="T2" s="1927"/>
      <c r="U2" s="1927"/>
      <c r="V2" s="1927"/>
      <c r="W2" s="1927"/>
      <c r="X2" s="1927"/>
      <c r="Y2" s="1927"/>
      <c r="Z2" s="1927"/>
      <c r="AA2" s="1927"/>
      <c r="AB2" s="1927"/>
    </row>
    <row r="3" spans="1:28">
      <c r="A3" s="305" t="s">
        <v>2907</v>
      </c>
      <c r="B3" s="2593">
        <v>44362</v>
      </c>
      <c r="C3" s="2594" t="s">
        <v>2908</v>
      </c>
      <c r="D3" s="2593">
        <f>B3</f>
        <v>44362</v>
      </c>
      <c r="E3" s="2881"/>
      <c r="F3" s="2881"/>
      <c r="G3" s="2881"/>
      <c r="H3" s="2881"/>
      <c r="I3" s="2881"/>
      <c r="J3" s="2688"/>
      <c r="K3" s="2588"/>
      <c r="L3" s="2589"/>
      <c r="M3" s="2589"/>
      <c r="N3" s="2590"/>
      <c r="O3" s="1758"/>
      <c r="P3" s="2590"/>
      <c r="Q3" s="2590"/>
      <c r="R3" s="2590"/>
      <c r="S3" s="1865"/>
      <c r="T3" s="1927"/>
      <c r="U3" s="1927"/>
      <c r="V3" s="1927"/>
      <c r="W3" s="1927"/>
      <c r="X3" s="1927"/>
      <c r="Y3" s="1927"/>
      <c r="Z3" s="1927"/>
      <c r="AA3" s="1927"/>
      <c r="AB3" s="1927"/>
    </row>
    <row r="4" spans="1:28" ht="13.5" thickBot="1">
      <c r="A4" s="1247" t="s">
        <v>2909</v>
      </c>
      <c r="B4" s="2595" t="s">
        <v>3280</v>
      </c>
      <c r="C4" s="2596">
        <f ca="1">SUMIF(注册房地产估价师,B4,估价师及机构信息!B3:B24)</f>
        <v>1419970001</v>
      </c>
      <c r="D4" s="2595" t="s">
        <v>3066</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7"/>
      <c r="K4" s="2598" t="str">
        <f ca="1">CONCATENATE(B4,"（注册号：",C4,")、",D4,"（注册号：",E4,")")</f>
        <v>吴薇（注册号：1419970001)、郑燚（注册号：1120070131)</v>
      </c>
      <c r="L4" s="2589"/>
      <c r="M4" s="2589"/>
      <c r="N4" s="2590"/>
      <c r="O4" s="1758"/>
      <c r="P4" s="2590"/>
      <c r="Q4" s="2590"/>
      <c r="R4" s="2590"/>
      <c r="S4" s="1865"/>
      <c r="T4" s="1927"/>
      <c r="U4" s="1927"/>
      <c r="V4" s="1927"/>
      <c r="W4" s="1927"/>
      <c r="X4" s="1927"/>
      <c r="Y4" s="1927"/>
      <c r="Z4" s="1927"/>
      <c r="AA4" s="1927"/>
      <c r="AB4" s="1927"/>
    </row>
    <row r="5" spans="1:28" ht="24.75" thickTop="1">
      <c r="A5" s="2599" t="s">
        <v>2910</v>
      </c>
      <c r="B5" s="3420" t="s">
        <v>3282</v>
      </c>
      <c r="C5" s="2600"/>
      <c r="D5" s="2601"/>
      <c r="E5" s="2882"/>
      <c r="F5" s="2882"/>
      <c r="G5" s="2882"/>
      <c r="H5" s="2882"/>
      <c r="I5" s="2882"/>
      <c r="J5" s="2657"/>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2911</v>
      </c>
      <c r="B6" s="3421" t="s">
        <v>3282</v>
      </c>
      <c r="C6" s="2603"/>
      <c r="D6" s="2604"/>
      <c r="E6" s="2880"/>
      <c r="F6" s="2882"/>
      <c r="G6" s="2882"/>
      <c r="H6" s="2882"/>
      <c r="I6" s="2882"/>
      <c r="J6" s="2657"/>
      <c r="K6" s="2832" t="str">
        <f>IF(COUNTIF(B6,"*上海银行*"),"上海银行","")</f>
        <v/>
      </c>
      <c r="L6" s="2830"/>
      <c r="M6" s="2830"/>
      <c r="N6" s="2657"/>
      <c r="O6" s="2668"/>
      <c r="P6" s="2657"/>
      <c r="Q6" s="2657"/>
      <c r="R6" s="2657"/>
    </row>
    <row r="7" spans="1:28" ht="36">
      <c r="A7" s="2602" t="s">
        <v>2912</v>
      </c>
      <c r="B7" s="3422" t="s">
        <v>3283</v>
      </c>
      <c r="C7" s="2603"/>
      <c r="D7" s="2604"/>
      <c r="E7" s="2880"/>
      <c r="F7" s="2882"/>
      <c r="G7" s="2882"/>
      <c r="H7" s="2882"/>
      <c r="I7" s="2882"/>
      <c r="J7" s="2657"/>
      <c r="K7" s="2833"/>
      <c r="L7" s="2830"/>
      <c r="M7" s="2830"/>
      <c r="N7" s="2657"/>
      <c r="O7" s="2668"/>
      <c r="P7" s="2657"/>
      <c r="Q7" s="2657"/>
      <c r="R7" s="2657"/>
    </row>
    <row r="8" spans="1:28">
      <c r="A8" s="2605" t="s">
        <v>2913</v>
      </c>
      <c r="B8" s="2606" t="s">
        <v>3067</v>
      </c>
      <c r="C8" s="2607"/>
      <c r="D8" s="3125" t="s">
        <v>2914</v>
      </c>
      <c r="E8" s="2608" t="s">
        <v>3104</v>
      </c>
      <c r="F8" s="2609"/>
      <c r="G8" s="2881"/>
      <c r="H8" s="2881"/>
      <c r="I8" s="2881"/>
      <c r="J8" s="2657"/>
      <c r="K8" s="2831"/>
      <c r="L8" s="2830"/>
      <c r="M8" s="2830"/>
      <c r="N8" s="2657"/>
      <c r="O8" s="2668"/>
      <c r="P8" s="2657"/>
      <c r="Q8" s="2657"/>
      <c r="R8" s="2657"/>
    </row>
    <row r="9" spans="1:28" ht="13.5" thickBot="1">
      <c r="A9" s="2610" t="s">
        <v>2915</v>
      </c>
      <c r="B9" s="2611" t="s">
        <v>3068</v>
      </c>
      <c r="C9" s="2612"/>
      <c r="D9" s="3126"/>
      <c r="E9" s="2611" t="s">
        <v>70</v>
      </c>
      <c r="F9" s="2613"/>
      <c r="G9" s="2883"/>
      <c r="H9" s="2883"/>
      <c r="I9" s="2883"/>
      <c r="J9" s="2657"/>
      <c r="K9" s="2833"/>
      <c r="L9" s="2830"/>
      <c r="M9" s="2830"/>
      <c r="N9" s="2657"/>
      <c r="O9" s="2668"/>
      <c r="P9" s="2657"/>
      <c r="Q9" s="2657"/>
      <c r="R9" s="2657"/>
    </row>
    <row r="10" spans="1:28" ht="13.5" thickTop="1">
      <c r="A10" s="2614" t="s">
        <v>2916</v>
      </c>
      <c r="B10" s="2615" t="s">
        <v>3105</v>
      </c>
      <c r="C10" s="3423" t="s">
        <v>3284</v>
      </c>
      <c r="D10" s="2601"/>
      <c r="E10" s="2616" t="s">
        <v>2917</v>
      </c>
      <c r="F10" s="2884" t="s">
        <v>3285</v>
      </c>
      <c r="G10" s="2885"/>
      <c r="H10" s="2886"/>
      <c r="I10" s="2887"/>
      <c r="J10" s="2657"/>
      <c r="K10" s="2833"/>
      <c r="L10" s="2830"/>
      <c r="M10" s="2830"/>
      <c r="N10" s="2657"/>
      <c r="O10" s="2668"/>
      <c r="P10" s="2657"/>
      <c r="Q10" s="2657"/>
      <c r="R10" s="2657"/>
    </row>
    <row r="11" spans="1:28">
      <c r="A11" s="2617" t="s">
        <v>2918</v>
      </c>
      <c r="B11" s="2618" t="s">
        <v>3051</v>
      </c>
      <c r="C11" s="2619" t="str">
        <f>B7</f>
        <v>雅安万达广场置业有限公司</v>
      </c>
      <c r="D11" s="2620"/>
      <c r="E11" s="2590"/>
      <c r="F11" s="2590"/>
      <c r="G11" s="2590"/>
      <c r="H11" s="2590"/>
      <c r="I11" s="2590"/>
      <c r="J11" s="2657"/>
      <c r="K11" s="2833"/>
      <c r="L11" s="2830"/>
      <c r="M11" s="2830"/>
      <c r="N11" s="2657"/>
      <c r="O11" s="2668"/>
      <c r="P11" s="2657"/>
      <c r="Q11" s="2657"/>
      <c r="R11" s="2657"/>
    </row>
    <row r="12" spans="1:28">
      <c r="A12" s="2621" t="s">
        <v>2919</v>
      </c>
      <c r="B12" s="2618" t="s">
        <v>3081</v>
      </c>
      <c r="C12" s="326" t="s">
        <v>2920</v>
      </c>
      <c r="D12" s="2622" t="s">
        <v>2921</v>
      </c>
      <c r="E12" s="2622" t="s">
        <v>2922</v>
      </c>
      <c r="F12" s="2622" t="s">
        <v>2923</v>
      </c>
      <c r="G12" s="2622" t="s">
        <v>2924</v>
      </c>
      <c r="H12" s="2622" t="s">
        <v>2925</v>
      </c>
      <c r="I12" s="2622" t="s">
        <v>2926</v>
      </c>
      <c r="J12" s="2657"/>
      <c r="K12" s="2833"/>
      <c r="L12" s="2830"/>
      <c r="M12" s="2830"/>
      <c r="N12" s="2657"/>
      <c r="O12" s="2668"/>
      <c r="P12" s="2657"/>
      <c r="Q12" s="2657"/>
      <c r="R12" s="2657"/>
    </row>
    <row r="13" spans="1:28">
      <c r="A13" s="1238"/>
      <c r="B13" s="2623"/>
      <c r="C13" s="2624" t="s">
        <v>2927</v>
      </c>
      <c r="D13" s="962"/>
      <c r="E13" s="962">
        <f>面积表!C22</f>
        <v>57026</v>
      </c>
      <c r="F13" s="962"/>
      <c r="G13" s="962"/>
      <c r="H13" s="962"/>
      <c r="I13" s="962"/>
      <c r="J13" s="2657" t="s">
        <v>3087</v>
      </c>
      <c r="K13" s="2832">
        <v>11</v>
      </c>
      <c r="L13" s="3046">
        <f>40-2-K13</f>
        <v>27</v>
      </c>
      <c r="M13" s="3046">
        <f>2021+L13</f>
        <v>2048</v>
      </c>
      <c r="N13" s="2657"/>
      <c r="O13" s="2668"/>
      <c r="P13" s="2657"/>
      <c r="Q13" s="2657"/>
      <c r="R13" s="2657"/>
    </row>
    <row r="14" spans="1:28">
      <c r="A14" s="1238"/>
      <c r="B14" s="2623"/>
      <c r="C14" s="2624" t="s">
        <v>2928</v>
      </c>
      <c r="D14" s="2625"/>
      <c r="E14" s="2625">
        <v>40</v>
      </c>
      <c r="F14" s="2625"/>
      <c r="G14" s="2625"/>
      <c r="H14" s="2625"/>
      <c r="I14" s="2625"/>
      <c r="J14" s="2657"/>
      <c r="K14" s="2834"/>
      <c r="L14" s="2830"/>
      <c r="M14" s="2830"/>
      <c r="N14" s="2657"/>
      <c r="O14" s="2668"/>
      <c r="P14" s="2657"/>
      <c r="Q14" s="2657"/>
      <c r="R14" s="2657"/>
    </row>
    <row r="15" spans="1:28">
      <c r="A15" s="323"/>
      <c r="B15" s="2626"/>
      <c r="C15" s="2627" t="s">
        <v>2929</v>
      </c>
      <c r="D15" s="2628" t="str">
        <f>IF(B12="出让",IF(D13="","",ROUNDDOWN(MIN((D13-$D$3)/365,D14),2)),D14)</f>
        <v/>
      </c>
      <c r="E15" s="2628">
        <f>IF(B12="出让",IF(E13="","",ROUNDDOWN(MIN((E13-$D$3)/365,E14),2)),E14)</f>
        <v>34.69</v>
      </c>
      <c r="F15" s="2628" t="str">
        <f>IF(B12="出让",IF(F13="","",ROUNDDOWN(MIN((F13-$D$3)/365,F14),2)),F14)</f>
        <v/>
      </c>
      <c r="G15" s="2628" t="str">
        <f>IF(B12="出让",IF(G13="","",ROUNDDOWN(MIN((G13-$D$3)/365,G14),2)),G14)</f>
        <v/>
      </c>
      <c r="H15" s="2628" t="str">
        <f>IF(B12="出让",IF(H13="","",ROUNDDOWN(MIN((H13-$D$3)/365,H14),2)),H14)</f>
        <v/>
      </c>
      <c r="I15" s="2628" t="str">
        <f>IF(B12="出让",IF(I13="","",ROUNDDOWN(MIN((I13-$D$3)/365,I14),2)),I14)</f>
        <v/>
      </c>
      <c r="J15" s="2657"/>
      <c r="K15" s="2835"/>
      <c r="L15" s="2669"/>
      <c r="M15" s="2669"/>
      <c r="N15" s="2726"/>
      <c r="O15" s="2669"/>
      <c r="P15" s="2726"/>
      <c r="Q15" s="2657"/>
      <c r="R15" s="2657"/>
    </row>
    <row r="16" spans="1:28">
      <c r="A16" s="2616" t="s">
        <v>2930</v>
      </c>
      <c r="B16" s="3132"/>
      <c r="C16" s="3133"/>
      <c r="D16" s="3134"/>
      <c r="E16" s="2631" t="s">
        <v>2931</v>
      </c>
      <c r="F16" s="3135"/>
      <c r="G16" s="3136"/>
      <c r="H16" s="3136"/>
      <c r="I16" s="3137"/>
      <c r="J16" s="2657"/>
      <c r="K16" s="2835"/>
      <c r="L16" s="2669"/>
      <c r="M16" s="2669"/>
      <c r="N16" s="2726"/>
      <c r="O16" s="2669"/>
      <c r="P16" s="2726"/>
      <c r="Q16" s="2657"/>
      <c r="R16" s="2657"/>
    </row>
    <row r="17" spans="1:28">
      <c r="A17" s="316" t="s">
        <v>2932</v>
      </c>
      <c r="B17" s="305" t="s">
        <v>2933</v>
      </c>
      <c r="C17" s="11">
        <f>'数据-汇总表'!E3</f>
        <v>96983.22</v>
      </c>
      <c r="D17" s="2541" t="s">
        <v>2934</v>
      </c>
      <c r="E17" s="3424" t="s">
        <v>3286</v>
      </c>
      <c r="F17" s="3138"/>
      <c r="G17" s="3138"/>
      <c r="H17" s="3138"/>
      <c r="I17" s="3139"/>
      <c r="J17" s="2657"/>
      <c r="K17" s="2836"/>
      <c r="L17" s="2669"/>
      <c r="M17" s="2669"/>
      <c r="N17" s="2726"/>
      <c r="O17" s="2669"/>
      <c r="P17" s="2726"/>
      <c r="Q17" s="2657"/>
      <c r="R17" s="2657"/>
      <c r="S17" s="2657"/>
      <c r="T17" s="2657"/>
      <c r="U17" s="2657"/>
      <c r="V17" s="2657"/>
    </row>
    <row r="18" spans="1:28" ht="24.75" thickBot="1">
      <c r="A18" s="2632" t="s">
        <v>2935</v>
      </c>
      <c r="B18" s="1247" t="s">
        <v>2936</v>
      </c>
      <c r="C18" s="2633">
        <f>'数据-汇总表'!D3</f>
        <v>47924.04</v>
      </c>
      <c r="D18" s="1249" t="s">
        <v>2937</v>
      </c>
      <c r="E18" s="3425" t="s">
        <v>3286</v>
      </c>
      <c r="F18" s="3140"/>
      <c r="G18" s="3140"/>
      <c r="H18" s="3140"/>
      <c r="I18" s="3141"/>
      <c r="J18" s="2657"/>
      <c r="K18" s="2836"/>
      <c r="L18" s="2669"/>
      <c r="M18" s="2669"/>
      <c r="N18" s="2726"/>
      <c r="O18" s="2669"/>
      <c r="P18" s="2726"/>
      <c r="Q18" s="2657"/>
      <c r="R18" s="2657"/>
      <c r="S18" s="2657"/>
      <c r="T18" s="2657"/>
      <c r="U18" s="2657"/>
      <c r="V18" s="2657"/>
    </row>
    <row r="19" spans="1:28" ht="37.5" thickTop="1" thickBot="1">
      <c r="A19" s="330" t="s">
        <v>1741</v>
      </c>
      <c r="B19" s="310" t="s">
        <v>2938</v>
      </c>
      <c r="C19" s="3426" t="s">
        <v>3287</v>
      </c>
      <c r="D19" s="1746" t="s">
        <v>2939</v>
      </c>
      <c r="E19" s="1747"/>
      <c r="F19" s="1748" t="str">
        <f>IF(AND(C19="是",E19="否"),"是否提供他项权证或相关说明","")</f>
        <v/>
      </c>
      <c r="G19" s="1749"/>
      <c r="H19" s="2882"/>
      <c r="I19" s="2882"/>
      <c r="J19" s="2657"/>
      <c r="K19" s="2833"/>
      <c r="L19" s="2830"/>
      <c r="M19" s="2830"/>
      <c r="N19" s="2726"/>
      <c r="O19" s="2669"/>
      <c r="P19" s="2726"/>
      <c r="Q19" s="2657"/>
      <c r="R19" s="2657"/>
      <c r="S19" s="2657"/>
      <c r="T19" s="2657"/>
      <c r="U19" s="2657"/>
      <c r="V19" s="2657"/>
    </row>
    <row r="20" spans="1:28">
      <c r="A20" s="2850" t="s">
        <v>2940</v>
      </c>
      <c r="B20" s="3128" t="s">
        <v>2941</v>
      </c>
      <c r="C20" s="3129"/>
      <c r="D20" s="3130" t="s">
        <v>2942</v>
      </c>
      <c r="E20" s="3131"/>
      <c r="F20" s="2865" t="s">
        <v>1742</v>
      </c>
      <c r="G20" s="2882"/>
      <c r="H20" s="2882"/>
      <c r="I20" s="2882"/>
      <c r="J20" s="2657"/>
      <c r="K20" s="3127" t="s">
        <v>2943</v>
      </c>
      <c r="L20" s="69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89"/>
      <c r="N20" s="2630"/>
      <c r="O20" s="2629"/>
      <c r="P20" s="2630"/>
      <c r="Q20" s="2590"/>
      <c r="R20" s="2590"/>
      <c r="S20" s="2590"/>
      <c r="T20" s="2590"/>
      <c r="U20" s="2590"/>
      <c r="V20" s="2590"/>
      <c r="W20" s="1927"/>
      <c r="X20" s="1927"/>
      <c r="Y20" s="1927"/>
      <c r="Z20" s="1927"/>
      <c r="AA20" s="1927"/>
      <c r="AB20" s="1927"/>
    </row>
    <row r="21" spans="1:28" ht="26.25" thickBot="1">
      <c r="A21" s="2850"/>
      <c r="B21" s="2851" t="s">
        <v>3288</v>
      </c>
      <c r="C21" s="2852" t="s">
        <v>3289</v>
      </c>
      <c r="D21" s="1750"/>
      <c r="E21" s="2853"/>
      <c r="F21" s="2866"/>
      <c r="G21" s="2882"/>
      <c r="H21" s="2882"/>
      <c r="I21" s="2882"/>
      <c r="J21" s="2657"/>
      <c r="K21" s="3127"/>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0"/>
      <c r="O21" s="2629"/>
      <c r="P21" s="2630"/>
      <c r="Q21" s="2590"/>
      <c r="R21" s="2590"/>
      <c r="S21" s="2590"/>
      <c r="T21" s="2590"/>
      <c r="U21" s="2590"/>
      <c r="V21" s="2590"/>
      <c r="W21" s="1927"/>
      <c r="X21" s="1927"/>
      <c r="Y21" s="1927"/>
      <c r="Z21" s="1927"/>
      <c r="AA21" s="1927"/>
      <c r="AB21" s="1927"/>
    </row>
    <row r="22" spans="1:28" ht="13.5" thickBot="1">
      <c r="A22" s="2850"/>
      <c r="B22" s="2854"/>
      <c r="C22" s="2852"/>
      <c r="D22" s="2881"/>
      <c r="E22" s="2881"/>
      <c r="F22" s="2881"/>
      <c r="G22" s="2882"/>
      <c r="H22" s="2882"/>
      <c r="I22" s="2882"/>
      <c r="J22" s="2657"/>
      <c r="K22" s="3127"/>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0"/>
      <c r="O22" s="2629"/>
      <c r="P22" s="2630"/>
      <c r="Q22" s="2590"/>
      <c r="R22" s="2590"/>
      <c r="S22" s="2590"/>
      <c r="T22" s="2590"/>
      <c r="U22" s="2590"/>
      <c r="V22" s="2590"/>
      <c r="W22" s="1927"/>
      <c r="X22" s="1927"/>
      <c r="Y22" s="1927"/>
      <c r="Z22" s="1927"/>
      <c r="AA22" s="1927"/>
      <c r="AB22" s="1927"/>
    </row>
    <row r="23" spans="1:28">
      <c r="A23" s="2855" t="s">
        <v>2944</v>
      </c>
      <c r="B23" s="2719" t="s">
        <v>2945</v>
      </c>
      <c r="C23" s="2856"/>
      <c r="D23" s="2857" t="s">
        <v>2945</v>
      </c>
      <c r="E23" s="2858"/>
      <c r="F23" s="2881"/>
      <c r="G23" s="2882"/>
      <c r="H23" s="2882"/>
      <c r="I23" s="2882"/>
      <c r="J23" s="2657"/>
      <c r="K23" s="2837"/>
      <c r="L23" s="2692"/>
      <c r="M23" s="2830"/>
      <c r="N23" s="2726"/>
      <c r="O23" s="2669"/>
      <c r="P23" s="2726"/>
      <c r="Q23" s="2657"/>
      <c r="R23" s="2657"/>
      <c r="S23" s="2657"/>
      <c r="T23" s="2657"/>
      <c r="U23" s="2657"/>
      <c r="V23" s="2657"/>
    </row>
    <row r="24" spans="1:28">
      <c r="A24" s="2855"/>
      <c r="B24" s="2719" t="s">
        <v>1743</v>
      </c>
      <c r="C24" s="2859"/>
      <c r="D24" s="2855" t="s">
        <v>1743</v>
      </c>
      <c r="E24" s="2860"/>
      <c r="F24" s="2881"/>
      <c r="G24" s="2882"/>
      <c r="H24" s="2882"/>
      <c r="I24" s="2882"/>
      <c r="J24" s="2657"/>
      <c r="K24" s="2837"/>
      <c r="L24" s="2692"/>
      <c r="M24" s="2830"/>
      <c r="N24" s="2726"/>
      <c r="O24" s="2669"/>
      <c r="P24" s="2726"/>
      <c r="Q24" s="2657"/>
      <c r="R24" s="2657"/>
      <c r="S24" s="2657"/>
      <c r="T24" s="2657"/>
      <c r="U24" s="2657"/>
      <c r="V24" s="2657"/>
    </row>
    <row r="25" spans="1:28">
      <c r="A25" s="2855"/>
      <c r="B25" s="2719" t="s">
        <v>1744</v>
      </c>
      <c r="C25" s="2859"/>
      <c r="D25" s="2855" t="s">
        <v>1744</v>
      </c>
      <c r="E25" s="2860"/>
      <c r="F25" s="2881"/>
      <c r="G25" s="2882"/>
      <c r="H25" s="2882"/>
      <c r="I25" s="2882"/>
      <c r="J25" s="2657"/>
      <c r="K25" s="2833"/>
      <c r="L25" s="2830"/>
      <c r="M25" s="2830"/>
      <c r="N25" s="2726"/>
      <c r="O25" s="2669"/>
      <c r="P25" s="2726"/>
      <c r="Q25" s="2657"/>
      <c r="R25" s="2657"/>
      <c r="S25" s="2657"/>
      <c r="T25" s="2657"/>
      <c r="U25" s="2657"/>
      <c r="V25" s="2657"/>
    </row>
    <row r="26" spans="1:28" ht="13.5" thickBot="1">
      <c r="A26" s="2861"/>
      <c r="B26" s="2862" t="s">
        <v>1745</v>
      </c>
      <c r="C26" s="2863"/>
      <c r="D26" s="2861" t="s">
        <v>1745</v>
      </c>
      <c r="E26" s="2864"/>
      <c r="F26" s="2883"/>
      <c r="G26" s="2883"/>
      <c r="H26" s="2883"/>
      <c r="I26" s="2883"/>
      <c r="J26" s="2657"/>
      <c r="K26" s="2833"/>
      <c r="L26" s="2830"/>
      <c r="M26" s="2830"/>
      <c r="N26" s="2726"/>
      <c r="O26" s="2669"/>
      <c r="P26" s="2726"/>
      <c r="Q26" s="2657"/>
      <c r="R26" s="2657"/>
      <c r="S26" s="2657"/>
      <c r="T26" s="2657"/>
      <c r="U26" s="2657"/>
      <c r="V26" s="2657"/>
    </row>
    <row r="27" spans="1:28" ht="13.5" thickTop="1">
      <c r="A27" s="3143" t="s">
        <v>2946</v>
      </c>
      <c r="B27" s="323" t="s">
        <v>2947</v>
      </c>
      <c r="C27" s="2634" t="s">
        <v>3082</v>
      </c>
      <c r="D27" s="2635"/>
      <c r="E27" s="2882"/>
      <c r="F27" s="2882"/>
      <c r="G27" s="2882"/>
      <c r="H27" s="2882"/>
      <c r="I27" s="2882"/>
      <c r="J27" s="2657"/>
      <c r="K27" s="2835"/>
      <c r="L27" s="2669"/>
      <c r="M27" s="2669"/>
      <c r="N27" s="2726"/>
      <c r="O27" s="2669"/>
      <c r="P27" s="2726"/>
      <c r="Q27" s="2657"/>
      <c r="R27" s="2657"/>
      <c r="S27" s="2657"/>
      <c r="T27" s="2657"/>
      <c r="U27" s="2657"/>
      <c r="V27" s="2657"/>
    </row>
    <row r="28" spans="1:28">
      <c r="A28" s="3143"/>
      <c r="B28" s="305" t="s">
        <v>2948</v>
      </c>
      <c r="C28" s="2636" t="s">
        <v>3290</v>
      </c>
      <c r="D28" s="2637"/>
      <c r="E28" s="2882"/>
      <c r="F28" s="2882"/>
      <c r="G28" s="2882"/>
      <c r="H28" s="2882"/>
      <c r="I28" s="2882"/>
      <c r="J28" s="2657"/>
      <c r="K28" s="2833"/>
      <c r="L28" s="2830"/>
      <c r="M28" s="2830"/>
      <c r="N28" s="2657"/>
      <c r="O28" s="2668"/>
      <c r="P28" s="2657"/>
      <c r="Q28" s="2657"/>
      <c r="R28" s="2657"/>
      <c r="S28" s="2657"/>
      <c r="T28" s="2657"/>
      <c r="U28" s="2657"/>
      <c r="V28" s="2657"/>
    </row>
    <row r="29" spans="1:28">
      <c r="A29" s="3143"/>
      <c r="B29" s="305" t="s">
        <v>2949</v>
      </c>
      <c r="C29" s="2638" t="s">
        <v>3287</v>
      </c>
      <c r="D29" s="2639"/>
      <c r="E29" s="2882"/>
      <c r="F29" s="2882"/>
      <c r="G29" s="2882"/>
      <c r="H29" s="2882"/>
      <c r="I29" s="2882"/>
      <c r="J29" s="2657"/>
      <c r="K29" s="2833"/>
      <c r="L29" s="2830"/>
      <c r="M29" s="2830"/>
      <c r="N29" s="2657"/>
      <c r="O29" s="2668"/>
      <c r="P29" s="2657"/>
      <c r="Q29" s="2657"/>
      <c r="R29" s="2657"/>
      <c r="S29" s="2657"/>
      <c r="T29" s="2657"/>
      <c r="U29" s="2657"/>
      <c r="V29" s="2657"/>
    </row>
    <row r="30" spans="1:28">
      <c r="A30" s="3144"/>
      <c r="B30" s="305" t="s">
        <v>2950</v>
      </c>
      <c r="C30" s="3145"/>
      <c r="D30" s="3146"/>
      <c r="E30" s="2882"/>
      <c r="F30" s="2882"/>
      <c r="G30" s="2882"/>
      <c r="H30" s="2882"/>
      <c r="I30" s="2882"/>
      <c r="J30" s="2657"/>
      <c r="K30" s="2833"/>
      <c r="L30" s="2830"/>
      <c r="M30" s="2830"/>
      <c r="N30" s="2657"/>
      <c r="O30" s="2668"/>
      <c r="P30" s="2657"/>
      <c r="Q30" s="2657"/>
      <c r="R30" s="2657"/>
      <c r="S30" s="2657"/>
      <c r="T30" s="2657"/>
      <c r="U30" s="2657"/>
      <c r="V30" s="2657"/>
    </row>
    <row r="31" spans="1:28">
      <c r="A31" s="3147" t="s">
        <v>2951</v>
      </c>
      <c r="B31" s="2640" t="s">
        <v>3069</v>
      </c>
      <c r="C31" s="2542" t="str">
        <f>IF(B31="现房","成新及维护状况正常否",IF(B31="在建","工程状态是否正常",IF(B31="土地","是否闲置","-")))</f>
        <v>成新及维护状况正常否</v>
      </c>
      <c r="D31" s="1555"/>
      <c r="E31" s="2641"/>
      <c r="F31" s="2882"/>
      <c r="G31" s="2882"/>
      <c r="H31" s="2882"/>
      <c r="I31" s="2882"/>
      <c r="J31" s="2657"/>
      <c r="K31" s="2832"/>
      <c r="L31" s="2830"/>
      <c r="M31" s="2830"/>
      <c r="N31" s="2657"/>
      <c r="O31" s="2668"/>
      <c r="P31" s="2657"/>
      <c r="Q31" s="2657"/>
      <c r="R31" s="2657"/>
      <c r="S31" s="2657"/>
      <c r="T31" s="2657"/>
      <c r="U31" s="2657"/>
      <c r="V31" s="2657"/>
    </row>
    <row r="32" spans="1:28">
      <c r="A32" s="3148"/>
      <c r="B32" s="2640"/>
      <c r="C32" s="2542" t="str">
        <f>IF(B32="现房","成新及维护状况是否正常",IF(B32="在建","工程状态是否正常",IF(B32="土地","是否闲置","-")))</f>
        <v>-</v>
      </c>
      <c r="D32" s="1555"/>
      <c r="E32" s="2641"/>
      <c r="F32" s="2882"/>
      <c r="G32" s="2882"/>
      <c r="H32" s="2882"/>
      <c r="I32" s="2882"/>
      <c r="J32" s="2657"/>
      <c r="K32" s="2833"/>
      <c r="L32" s="2830"/>
      <c r="M32" s="2830"/>
      <c r="N32" s="2657"/>
      <c r="O32" s="2668"/>
      <c r="P32" s="2657"/>
      <c r="Q32" s="2657"/>
      <c r="R32" s="2657"/>
      <c r="S32" s="2657"/>
      <c r="T32" s="2657"/>
      <c r="U32" s="2657"/>
      <c r="V32" s="2657"/>
    </row>
    <row r="33" spans="1:30">
      <c r="A33" s="3148"/>
      <c r="B33" s="2643"/>
      <c r="C33" s="1772" t="str">
        <f>IF(B33="现房","成新及维护状况是否正常",IF(B33="在建","工程状态是否正常",IF(B33="土地","是否闲置","-")))</f>
        <v>-</v>
      </c>
      <c r="D33" s="1547"/>
      <c r="E33" s="2644"/>
      <c r="F33" s="2882"/>
      <c r="G33" s="2882"/>
      <c r="H33" s="2882"/>
      <c r="I33" s="2882"/>
      <c r="J33" s="2657"/>
      <c r="K33" s="2833"/>
      <c r="L33" s="2830"/>
      <c r="M33" s="2830"/>
      <c r="N33" s="2657"/>
      <c r="O33" s="2668"/>
      <c r="P33" s="2657"/>
      <c r="Q33" s="2657"/>
      <c r="R33" s="2657"/>
      <c r="S33" s="2657"/>
      <c r="T33" s="2657"/>
      <c r="U33" s="2657"/>
      <c r="V33" s="2657"/>
    </row>
    <row r="34" spans="1:30">
      <c r="A34" s="305" t="s">
        <v>2952</v>
      </c>
      <c r="B34" s="2210" t="s">
        <v>3054</v>
      </c>
      <c r="C34" s="2210" t="s">
        <v>3054</v>
      </c>
      <c r="D34" s="2210" t="s">
        <v>3055</v>
      </c>
      <c r="E34" s="2210" t="s">
        <v>3056</v>
      </c>
      <c r="F34" s="2210" t="s">
        <v>3057</v>
      </c>
      <c r="G34" s="2210" t="s">
        <v>3058</v>
      </c>
      <c r="H34" s="2210" t="s">
        <v>70</v>
      </c>
      <c r="I34" s="2882"/>
      <c r="J34" s="2657"/>
      <c r="K34" s="2645">
        <f>COUNTIF(B34:H34,"——")</f>
        <v>1</v>
      </c>
      <c r="L34" s="326" t="s">
        <v>2953</v>
      </c>
      <c r="M34" s="326" t="s">
        <v>2954</v>
      </c>
      <c r="N34" s="326" t="s">
        <v>2955</v>
      </c>
      <c r="O34" s="326" t="s">
        <v>2956</v>
      </c>
      <c r="P34" s="326" t="s">
        <v>2957</v>
      </c>
      <c r="Q34" s="326" t="s">
        <v>2958</v>
      </c>
      <c r="R34" s="326" t="s">
        <v>2959</v>
      </c>
      <c r="S34" s="3142" t="s">
        <v>2960</v>
      </c>
      <c r="T34" s="2646" t="str">
        <f>NUMBERSTRING(7-K34,1)&amp;"通"</f>
        <v>六通</v>
      </c>
      <c r="U34" s="2657"/>
      <c r="V34" s="2657"/>
    </row>
    <row r="35" spans="1:30">
      <c r="A35" s="2647"/>
      <c r="B35" s="3149" t="s">
        <v>2961</v>
      </c>
      <c r="C35" s="3149"/>
      <c r="D35" s="3149"/>
      <c r="E35" s="3149"/>
      <c r="F35" s="670" t="str">
        <f>C10</f>
        <v>四川省雅安市</v>
      </c>
      <c r="G35" s="2882"/>
      <c r="H35" s="2882"/>
      <c r="I35" s="2882"/>
      <c r="J35" s="2657"/>
      <c r="K35" s="326"/>
      <c r="L35" s="326" t="str">
        <f>B34</f>
        <v>通电</v>
      </c>
      <c r="M35" s="332" t="str">
        <f>B34&amp;"、"&amp;C34</f>
        <v>通电、通电</v>
      </c>
      <c r="N35" s="332" t="str">
        <f>B34&amp;"、"&amp;C34&amp;"、"&amp;D34</f>
        <v>通电、通电、通讯</v>
      </c>
      <c r="O35" s="332" t="str">
        <f>B34&amp;"、"&amp;C34&amp;"、"&amp;D34&amp;"、"&amp;E34</f>
        <v>通电、通电、通讯、通上水</v>
      </c>
      <c r="P35" s="332" t="str">
        <f>B34&amp;"、"&amp;C34&amp;"、"&amp;D34&amp;"、"&amp;E34&amp;"、"&amp;F34</f>
        <v>通电、通电、通讯、通上水、通下水</v>
      </c>
      <c r="Q35" s="332" t="str">
        <f>B34&amp;"、"&amp;C34&amp;"、"&amp;D34&amp;"、"&amp;E34&amp;"、"&amp;F34&amp;"、"&amp;G34</f>
        <v>通电、通电、通讯、通上水、通下水、燃气</v>
      </c>
      <c r="R35" s="332" t="str">
        <f>B34&amp;"、"&amp;C34&amp;"、"&amp;D34&amp;"、"&amp;E34&amp;"、"&amp;F34&amp;"、"&amp;G34&amp;"、"&amp;H34</f>
        <v>通电、通电、通讯、通上水、通下水、燃气、——</v>
      </c>
      <c r="S35" s="3142"/>
      <c r="T35" s="332" t="str">
        <f>IF(T34="一通",L35,IF(T34="二通",M35,IF(T34="三通",N35,IF(T34="四通",O35,IF(T34="五通",P35,IF(T34="六通",Q35,R35))))))</f>
        <v>通电、通电、通讯、通上水、通下水、燃气</v>
      </c>
      <c r="U35" s="2657"/>
      <c r="V35" s="2657"/>
    </row>
    <row r="36" spans="1:30">
      <c r="A36" s="2648"/>
      <c r="B36" s="670" t="s">
        <v>2922</v>
      </c>
      <c r="C36" s="670" t="s">
        <v>2923</v>
      </c>
      <c r="D36" s="670" t="s">
        <v>2921</v>
      </c>
      <c r="E36" s="670" t="s">
        <v>2926</v>
      </c>
      <c r="F36" s="2888"/>
      <c r="G36" s="2882"/>
      <c r="H36" s="2882"/>
      <c r="I36" s="2882"/>
      <c r="J36" s="2657"/>
      <c r="K36" s="2833"/>
      <c r="L36" s="2830"/>
      <c r="M36" s="2830"/>
      <c r="N36" s="2657"/>
      <c r="O36" s="2668"/>
      <c r="P36" s="2657"/>
      <c r="Q36" s="2657"/>
      <c r="R36" s="2657"/>
      <c r="S36" s="2657"/>
      <c r="T36" s="2657"/>
      <c r="U36" s="2657"/>
      <c r="V36" s="2657"/>
    </row>
    <row r="37" spans="1:30">
      <c r="A37" s="2848" t="s">
        <v>2962</v>
      </c>
      <c r="B37" s="2649"/>
      <c r="C37" s="2649"/>
      <c r="D37" s="2649"/>
      <c r="E37" s="2649"/>
      <c r="F37" s="2888"/>
      <c r="G37" s="2882"/>
      <c r="H37" s="2882"/>
      <c r="I37" s="2882"/>
      <c r="J37" s="2657"/>
      <c r="K37" s="2833"/>
      <c r="L37" s="2830"/>
      <c r="M37" s="2830"/>
      <c r="N37" s="2657"/>
      <c r="O37" s="2668"/>
      <c r="P37" s="2657"/>
      <c r="Q37" s="2657"/>
      <c r="R37" s="2657"/>
      <c r="S37" s="2657"/>
      <c r="T37" s="2657"/>
      <c r="U37" s="2657"/>
      <c r="V37" s="2657"/>
    </row>
    <row r="38" spans="1:30" ht="13.5" thickBot="1">
      <c r="A38" s="2849" t="s">
        <v>2963</v>
      </c>
      <c r="B38" s="2650"/>
      <c r="C38" s="2650"/>
      <c r="D38" s="2650"/>
      <c r="E38" s="2650"/>
      <c r="F38" s="2889"/>
      <c r="G38" s="2883"/>
      <c r="H38" s="2883"/>
      <c r="I38" s="2883"/>
      <c r="J38" s="2657"/>
      <c r="K38" s="2833"/>
      <c r="L38" s="2830"/>
      <c r="M38" s="2830"/>
      <c r="N38" s="2657"/>
      <c r="O38" s="2668"/>
      <c r="P38" s="2657"/>
      <c r="Q38" s="2657"/>
      <c r="R38" s="2657"/>
      <c r="S38" s="2657"/>
      <c r="T38" s="2657"/>
      <c r="U38" s="2657"/>
      <c r="V38" s="2657"/>
    </row>
    <row r="39" spans="1:30" s="2653" customFormat="1" ht="14.25" thickTop="1" thickBot="1">
      <c r="A39" s="2651" t="s">
        <v>2964</v>
      </c>
      <c r="B39" s="2652"/>
      <c r="C39" s="2652"/>
      <c r="D39" s="2652"/>
      <c r="E39" s="2652"/>
      <c r="F39" s="2652"/>
      <c r="G39" s="2652"/>
      <c r="H39" s="2652"/>
      <c r="I39" s="2652"/>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90"/>
      <c r="B40" s="2590"/>
      <c r="C40" s="2590"/>
      <c r="D40" s="2590"/>
      <c r="E40" s="2590"/>
      <c r="F40" s="2590"/>
      <c r="G40" s="2590"/>
      <c r="H40" s="2590"/>
      <c r="I40" s="1760"/>
      <c r="J40" s="2726"/>
      <c r="K40" s="2832"/>
      <c r="L40" s="2669"/>
      <c r="M40" s="2669"/>
      <c r="N40" s="2726"/>
      <c r="O40" s="2669"/>
      <c r="P40" s="2657"/>
      <c r="Q40" s="2657"/>
      <c r="R40" s="2657"/>
      <c r="S40" s="2657"/>
      <c r="T40" s="2657"/>
      <c r="U40" s="2657"/>
      <c r="V40" s="2657"/>
    </row>
    <row r="41" spans="1:30">
      <c r="A41" s="2654" t="s">
        <v>2965</v>
      </c>
      <c r="B41" s="1939"/>
      <c r="C41" s="1555"/>
      <c r="D41" s="2590"/>
      <c r="E41" s="2590"/>
      <c r="F41" s="2590"/>
      <c r="G41" s="2590"/>
      <c r="H41" s="2590"/>
      <c r="I41" s="1758"/>
      <c r="J41" s="2657"/>
      <c r="K41" s="2833"/>
      <c r="L41" s="2830"/>
      <c r="M41" s="2830"/>
      <c r="N41" s="2657"/>
      <c r="O41" s="2668"/>
      <c r="P41" s="2657"/>
      <c r="Q41" s="2657"/>
      <c r="R41" s="2657"/>
      <c r="S41" s="2657"/>
      <c r="T41" s="2657"/>
      <c r="U41" s="2657"/>
      <c r="V41" s="2657"/>
    </row>
    <row r="42" spans="1:30" ht="25.5">
      <c r="A42" s="326" t="s">
        <v>2966</v>
      </c>
      <c r="B42" s="11" t="s">
        <v>2967</v>
      </c>
      <c r="C42" s="11" t="s">
        <v>2968</v>
      </c>
      <c r="D42" s="11" t="s">
        <v>2969</v>
      </c>
      <c r="E42" s="11" t="s">
        <v>2970</v>
      </c>
      <c r="F42" s="11" t="s">
        <v>2971</v>
      </c>
      <c r="G42" s="11" t="s">
        <v>2972</v>
      </c>
      <c r="H42" s="11" t="s">
        <v>2973</v>
      </c>
      <c r="I42" s="11" t="s">
        <v>2974</v>
      </c>
      <c r="J42" s="2844" t="s">
        <v>2975</v>
      </c>
      <c r="K42" s="2845" t="s">
        <v>2976</v>
      </c>
      <c r="L42" s="2845" t="s">
        <v>2977</v>
      </c>
      <c r="M42" s="2845" t="s">
        <v>2978</v>
      </c>
      <c r="N42" s="2838" t="s">
        <v>2979</v>
      </c>
      <c r="O42" s="2838" t="s">
        <v>2980</v>
      </c>
      <c r="P42" s="2838" t="s">
        <v>2981</v>
      </c>
      <c r="Q42" s="2839" t="s">
        <v>2982</v>
      </c>
      <c r="R42" s="2839" t="s">
        <v>2983</v>
      </c>
      <c r="S42" s="2657"/>
      <c r="T42" s="2657"/>
      <c r="U42" s="2657"/>
      <c r="V42" s="2657"/>
    </row>
    <row r="43" spans="1:30" s="1925" customFormat="1">
      <c r="A43" s="1752"/>
      <c r="B43" s="1179"/>
      <c r="C43" s="1179"/>
      <c r="D43" s="1179"/>
      <c r="E43" s="1179"/>
      <c r="F43" s="1179"/>
      <c r="G43" s="1179"/>
      <c r="H43" s="1179"/>
      <c r="I43" s="1179"/>
      <c r="J43" s="2655"/>
      <c r="K43" s="2656"/>
      <c r="L43" s="2656"/>
      <c r="M43" s="1179"/>
      <c r="N43" s="1179"/>
      <c r="O43" s="1179"/>
      <c r="P43" s="1179"/>
      <c r="Q43" s="1179"/>
      <c r="R43" s="1179"/>
      <c r="S43" s="2657"/>
      <c r="T43" s="2657"/>
      <c r="U43" s="2657"/>
      <c r="V43" s="2657"/>
    </row>
    <row r="44" spans="1:30" s="1925" customFormat="1">
      <c r="A44" s="1752"/>
      <c r="B44" s="1752"/>
      <c r="C44" s="1179"/>
      <c r="D44" s="1179"/>
      <c r="E44" s="1179"/>
      <c r="F44" s="1179"/>
      <c r="G44" s="1179"/>
      <c r="H44" s="1179"/>
      <c r="I44" s="1179"/>
      <c r="J44" s="2655"/>
      <c r="K44" s="2656"/>
      <c r="L44" s="2656"/>
      <c r="M44" s="1179"/>
      <c r="N44" s="1179"/>
      <c r="O44" s="1179"/>
      <c r="P44" s="1179"/>
      <c r="Q44" s="1179"/>
      <c r="R44" s="1179"/>
      <c r="S44" s="2657"/>
      <c r="T44" s="2657"/>
      <c r="U44" s="2657"/>
      <c r="V44" s="2657"/>
    </row>
    <row r="45" spans="1:30" s="1925" customFormat="1">
      <c r="A45" s="1752"/>
      <c r="B45" s="1752"/>
      <c r="C45" s="1179"/>
      <c r="D45" s="1179"/>
      <c r="E45" s="1179"/>
      <c r="F45" s="1179"/>
      <c r="G45" s="1179"/>
      <c r="H45" s="1179"/>
      <c r="I45" s="1179"/>
      <c r="J45" s="2655"/>
      <c r="K45" s="2656"/>
      <c r="L45" s="2656"/>
      <c r="M45" s="1179"/>
      <c r="N45" s="1179"/>
      <c r="O45" s="1179"/>
      <c r="P45" s="1179"/>
      <c r="Q45" s="1179"/>
      <c r="R45" s="1179"/>
      <c r="S45" s="2657"/>
      <c r="T45" s="2657"/>
      <c r="U45" s="2657"/>
      <c r="V45" s="2657"/>
    </row>
    <row r="46" spans="1:30" s="1925" customFormat="1">
      <c r="A46" s="1752"/>
      <c r="B46" s="1752"/>
      <c r="C46" s="1179"/>
      <c r="D46" s="1179"/>
      <c r="E46" s="1179"/>
      <c r="F46" s="1179"/>
      <c r="G46" s="1179"/>
      <c r="H46" s="1179"/>
      <c r="I46" s="1179"/>
      <c r="J46" s="2655"/>
      <c r="K46" s="2656"/>
      <c r="L46" s="2656"/>
      <c r="M46" s="1179"/>
      <c r="N46" s="1179"/>
      <c r="O46" s="1179"/>
      <c r="P46" s="1179"/>
      <c r="Q46" s="1179"/>
      <c r="R46" s="1179"/>
      <c r="S46" s="2657"/>
      <c r="T46" s="2657"/>
      <c r="U46" s="2657"/>
      <c r="V46" s="2657"/>
    </row>
    <row r="47" spans="1:30" s="1925" customFormat="1">
      <c r="A47" s="1752"/>
      <c r="B47" s="1752"/>
      <c r="C47" s="1179"/>
      <c r="D47" s="1179"/>
      <c r="E47" s="1179"/>
      <c r="F47" s="1179"/>
      <c r="G47" s="1179"/>
      <c r="H47" s="1179"/>
      <c r="I47" s="1179"/>
      <c r="J47" s="2655"/>
      <c r="K47" s="2656"/>
      <c r="L47" s="2656"/>
      <c r="M47" s="1179"/>
      <c r="N47" s="1179"/>
      <c r="O47" s="1179"/>
      <c r="P47" s="1179"/>
      <c r="Q47" s="1179"/>
      <c r="R47" s="1179"/>
      <c r="S47" s="2657"/>
      <c r="T47" s="2657"/>
      <c r="U47" s="2657"/>
      <c r="V47" s="2657"/>
    </row>
    <row r="48" spans="1:30" s="1925" customFormat="1">
      <c r="A48" s="1752"/>
      <c r="B48" s="1752"/>
      <c r="C48" s="1179"/>
      <c r="D48" s="1179"/>
      <c r="E48" s="1179"/>
      <c r="F48" s="1179"/>
      <c r="G48" s="1179"/>
      <c r="H48" s="1179"/>
      <c r="I48" s="1179"/>
      <c r="J48" s="2655"/>
      <c r="K48" s="2656"/>
      <c r="L48" s="2656"/>
      <c r="M48" s="1179"/>
      <c r="N48" s="1179"/>
      <c r="O48" s="1179"/>
      <c r="P48" s="1179"/>
      <c r="Q48" s="1179"/>
      <c r="R48" s="1179"/>
      <c r="S48" s="2657"/>
      <c r="T48" s="2657"/>
      <c r="U48" s="2657"/>
      <c r="V48" s="2657"/>
    </row>
    <row r="49" spans="1:22" s="1925" customFormat="1">
      <c r="A49" s="1752"/>
      <c r="B49" s="1752"/>
      <c r="C49" s="1179"/>
      <c r="D49" s="1179"/>
      <c r="E49" s="1179"/>
      <c r="F49" s="1179"/>
      <c r="G49" s="1179"/>
      <c r="H49" s="1179"/>
      <c r="I49" s="1179"/>
      <c r="J49" s="2655"/>
      <c r="K49" s="2656"/>
      <c r="L49" s="2656"/>
      <c r="M49" s="1179"/>
      <c r="N49" s="1179"/>
      <c r="O49" s="1179"/>
      <c r="P49" s="1179"/>
      <c r="Q49" s="1179"/>
      <c r="R49" s="1179"/>
      <c r="S49" s="2657"/>
      <c r="T49" s="2657"/>
      <c r="U49" s="2657"/>
      <c r="V49" s="2657"/>
    </row>
    <row r="50" spans="1:22" s="1925" customFormat="1">
      <c r="A50" s="1752"/>
      <c r="B50" s="1752"/>
      <c r="C50" s="1179"/>
      <c r="D50" s="1179"/>
      <c r="E50" s="1179"/>
      <c r="F50" s="1179"/>
      <c r="G50" s="1179"/>
      <c r="H50" s="1179"/>
      <c r="I50" s="1179"/>
      <c r="J50" s="2655"/>
      <c r="K50" s="2656"/>
      <c r="L50" s="2656"/>
      <c r="M50" s="1179"/>
      <c r="N50" s="1179"/>
      <c r="O50" s="1179"/>
      <c r="P50" s="1179"/>
      <c r="Q50" s="1179"/>
      <c r="R50" s="1179"/>
      <c r="S50" s="2657"/>
      <c r="T50" s="2657"/>
      <c r="U50" s="2657"/>
      <c r="V50" s="2657"/>
    </row>
    <row r="51" spans="1:22" s="1925" customFormat="1">
      <c r="A51" s="1752"/>
      <c r="B51" s="1752"/>
      <c r="C51" s="1179"/>
      <c r="D51" s="1179"/>
      <c r="E51" s="1179"/>
      <c r="F51" s="1179"/>
      <c r="G51" s="1179"/>
      <c r="H51" s="1179"/>
      <c r="I51" s="1179"/>
      <c r="J51" s="2655"/>
      <c r="K51" s="2656"/>
      <c r="L51" s="2656"/>
      <c r="M51" s="1179"/>
      <c r="N51" s="1179"/>
      <c r="O51" s="1179"/>
      <c r="P51" s="1179"/>
      <c r="Q51" s="1179"/>
      <c r="R51" s="1179"/>
    </row>
    <row r="52" spans="1:22" s="1925" customFormat="1">
      <c r="A52" s="1752"/>
      <c r="B52" s="1752"/>
      <c r="C52" s="1752"/>
      <c r="D52" s="1752"/>
      <c r="E52" s="1752"/>
      <c r="F52" s="1179"/>
      <c r="G52" s="1752"/>
      <c r="H52" s="1752"/>
      <c r="I52" s="1752"/>
      <c r="J52" s="2658"/>
      <c r="K52" s="2656"/>
      <c r="L52" s="2656"/>
      <c r="M52" s="2656"/>
      <c r="N52" s="1752"/>
      <c r="O52" s="1752"/>
      <c r="P52" s="1752"/>
      <c r="Q52" s="1752"/>
      <c r="R52" s="1752"/>
    </row>
    <row r="53" spans="1:22" s="1925" customFormat="1">
      <c r="A53" s="1752"/>
      <c r="B53" s="1752"/>
      <c r="C53" s="1752"/>
      <c r="D53" s="1752"/>
      <c r="E53" s="1752"/>
      <c r="F53" s="1179"/>
      <c r="G53" s="1752"/>
      <c r="H53" s="1752"/>
      <c r="I53" s="1752"/>
      <c r="J53" s="2658"/>
      <c r="K53" s="2656"/>
      <c r="L53" s="2656"/>
      <c r="M53" s="2656"/>
      <c r="N53" s="1752"/>
      <c r="O53" s="1752"/>
      <c r="P53" s="1752"/>
      <c r="Q53" s="1752"/>
      <c r="R53" s="1752"/>
    </row>
    <row r="54" spans="1:22" s="1925" customFormat="1">
      <c r="A54" s="1752"/>
      <c r="B54" s="1752"/>
      <c r="C54" s="1752"/>
      <c r="D54" s="1752"/>
      <c r="E54" s="1752"/>
      <c r="F54" s="1179"/>
      <c r="G54" s="1752"/>
      <c r="H54" s="1752"/>
      <c r="I54" s="1752"/>
      <c r="J54" s="2658"/>
      <c r="K54" s="2656"/>
      <c r="L54" s="2656"/>
      <c r="M54" s="2656"/>
      <c r="N54" s="1752"/>
      <c r="O54" s="1752"/>
      <c r="P54" s="1752"/>
      <c r="Q54" s="1752"/>
      <c r="R54" s="1752"/>
    </row>
    <row r="55" spans="1:22" s="1925" customFormat="1">
      <c r="A55" s="1752"/>
      <c r="B55" s="1752"/>
      <c r="C55" s="1752"/>
      <c r="D55" s="1752"/>
      <c r="E55" s="1752"/>
      <c r="F55" s="1179"/>
      <c r="G55" s="1752"/>
      <c r="H55" s="1752"/>
      <c r="I55" s="1752"/>
      <c r="J55" s="2658"/>
      <c r="K55" s="2656"/>
      <c r="L55" s="2656"/>
      <c r="M55" s="2656"/>
      <c r="N55" s="1752"/>
      <c r="O55" s="1752"/>
      <c r="P55" s="1752"/>
      <c r="Q55" s="1752"/>
      <c r="R55" s="1752"/>
    </row>
    <row r="56" spans="1:22" s="1925" customFormat="1">
      <c r="A56" s="1752"/>
      <c r="B56" s="1752"/>
      <c r="C56" s="1752"/>
      <c r="D56" s="1752"/>
      <c r="E56" s="1752"/>
      <c r="F56" s="1179"/>
      <c r="G56" s="1752"/>
      <c r="H56" s="1752"/>
      <c r="I56" s="1752"/>
      <c r="J56" s="2658"/>
      <c r="K56" s="2656"/>
      <c r="L56" s="2656"/>
      <c r="M56" s="2656"/>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M34"/>
  <sheetViews>
    <sheetView topLeftCell="B1" zoomScale="90" zoomScaleNormal="90" workbookViewId="0">
      <selection activeCell="F45" sqref="F45"/>
    </sheetView>
  </sheetViews>
  <sheetFormatPr defaultRowHeight="13.5"/>
  <cols>
    <col min="1" max="1" width="33" customWidth="1"/>
    <col min="2" max="2" width="9.875" customWidth="1"/>
    <col min="3" max="3" width="54.625" customWidth="1"/>
    <col min="4" max="4" width="19.625" customWidth="1"/>
    <col min="6" max="6" width="22" customWidth="1"/>
  </cols>
  <sheetData>
    <row r="1" spans="1:13" s="3051" customFormat="1">
      <c r="A1" s="3052"/>
      <c r="B1" s="3151" t="s">
        <v>3106</v>
      </c>
      <c r="C1" s="3152"/>
      <c r="D1"/>
      <c r="E1"/>
      <c r="F1"/>
      <c r="G1"/>
      <c r="H1"/>
      <c r="I1"/>
      <c r="J1"/>
      <c r="K1"/>
      <c r="L1"/>
      <c r="M1"/>
    </row>
    <row r="2" spans="1:13" s="3051" customFormat="1">
      <c r="A2" s="3150"/>
      <c r="B2" s="3052" t="s">
        <v>3107</v>
      </c>
      <c r="C2" s="3052"/>
      <c r="D2"/>
      <c r="E2"/>
      <c r="F2"/>
      <c r="G2"/>
      <c r="H2"/>
      <c r="I2"/>
      <c r="J2"/>
      <c r="K2"/>
      <c r="L2"/>
      <c r="M2"/>
    </row>
    <row r="3" spans="1:13" s="3051" customFormat="1">
      <c r="A3" s="3150"/>
      <c r="B3" s="3052" t="s">
        <v>3108</v>
      </c>
      <c r="C3" s="3052"/>
      <c r="D3"/>
      <c r="E3"/>
      <c r="F3"/>
      <c r="G3"/>
      <c r="H3"/>
      <c r="I3"/>
      <c r="J3"/>
      <c r="K3"/>
      <c r="L3"/>
      <c r="M3"/>
    </row>
    <row r="4" spans="1:13" s="3051" customFormat="1">
      <c r="A4" s="3150"/>
      <c r="B4" s="3052" t="s">
        <v>3109</v>
      </c>
      <c r="C4" s="3052"/>
      <c r="D4"/>
      <c r="E4"/>
      <c r="F4"/>
      <c r="G4"/>
      <c r="H4"/>
      <c r="I4"/>
      <c r="J4"/>
      <c r="K4"/>
      <c r="L4"/>
      <c r="M4"/>
    </row>
    <row r="5" spans="1:13" s="3051" customFormat="1">
      <c r="A5" s="3150"/>
      <c r="B5" s="3052" t="s">
        <v>3110</v>
      </c>
      <c r="C5" s="3052"/>
      <c r="D5"/>
      <c r="E5" s="3048" t="s">
        <v>3266</v>
      </c>
      <c r="F5" s="3048" t="s">
        <v>3267</v>
      </c>
      <c r="G5" s="3068" t="s">
        <v>3268</v>
      </c>
      <c r="H5"/>
      <c r="I5"/>
      <c r="J5"/>
      <c r="K5"/>
      <c r="L5"/>
      <c r="M5"/>
    </row>
    <row r="6" spans="1:13" s="3051" customFormat="1">
      <c r="A6" s="3150"/>
      <c r="B6" s="3052" t="s">
        <v>3111</v>
      </c>
      <c r="C6" s="3052"/>
      <c r="D6"/>
      <c r="E6">
        <v>86864.090000000084</v>
      </c>
      <c r="F6">
        <v>2.31</v>
      </c>
      <c r="G6">
        <v>7228</v>
      </c>
      <c r="H6"/>
      <c r="I6"/>
      <c r="J6"/>
      <c r="K6"/>
      <c r="L6"/>
      <c r="M6"/>
    </row>
    <row r="7" spans="1:13" s="3051" customFormat="1">
      <c r="A7" s="3052"/>
      <c r="B7" s="3052" t="s">
        <v>3112</v>
      </c>
      <c r="C7" s="3054"/>
      <c r="D7"/>
      <c r="E7"/>
      <c r="F7"/>
      <c r="G7"/>
      <c r="H7"/>
      <c r="I7"/>
      <c r="J7"/>
      <c r="K7"/>
      <c r="L7"/>
      <c r="M7"/>
    </row>
    <row r="8" spans="1:13" s="3051" customFormat="1">
      <c r="A8" s="3052"/>
      <c r="B8" s="3052" t="s">
        <v>3113</v>
      </c>
      <c r="C8" s="3053"/>
      <c r="D8"/>
      <c r="E8"/>
      <c r="F8"/>
      <c r="G8"/>
      <c r="H8"/>
      <c r="I8"/>
      <c r="J8"/>
      <c r="K8"/>
      <c r="L8"/>
      <c r="M8"/>
    </row>
    <row r="9" spans="1:13" s="3051" customFormat="1">
      <c r="A9" s="3052"/>
      <c r="B9"/>
      <c r="C9"/>
      <c r="D9"/>
      <c r="E9"/>
      <c r="F9"/>
      <c r="G9"/>
      <c r="H9"/>
      <c r="I9"/>
      <c r="J9"/>
      <c r="K9"/>
      <c r="L9"/>
      <c r="M9"/>
    </row>
    <row r="11" spans="1:13">
      <c r="B11" s="3150" t="s">
        <v>3114</v>
      </c>
      <c r="C11" s="3150"/>
    </row>
    <row r="12" spans="1:13">
      <c r="B12" s="3055" t="s">
        <v>3115</v>
      </c>
      <c r="C12" s="3053"/>
      <c r="I12" s="3048"/>
    </row>
    <row r="13" spans="1:13">
      <c r="B13" s="3055" t="s">
        <v>3116</v>
      </c>
      <c r="C13" s="3053"/>
      <c r="F13" s="3048" t="s">
        <v>3269</v>
      </c>
    </row>
    <row r="14" spans="1:13">
      <c r="B14" s="3055" t="s">
        <v>3117</v>
      </c>
      <c r="C14" s="3052"/>
    </row>
    <row r="17" spans="2:13">
      <c r="B17" s="3150" t="s">
        <v>3118</v>
      </c>
      <c r="C17" s="3150"/>
    </row>
    <row r="18" spans="2:13">
      <c r="B18" s="3052" t="s">
        <v>3119</v>
      </c>
      <c r="C18" s="3052" t="s">
        <v>3167</v>
      </c>
    </row>
    <row r="19" spans="2:13">
      <c r="B19" s="3052" t="s">
        <v>3120</v>
      </c>
      <c r="C19" s="3052" t="s">
        <v>3168</v>
      </c>
    </row>
    <row r="20" spans="2:13">
      <c r="B20" s="3052" t="s">
        <v>3109</v>
      </c>
      <c r="C20" s="3052" t="s">
        <v>3179</v>
      </c>
    </row>
    <row r="21" spans="2:13">
      <c r="B21" s="3052" t="s">
        <v>3121</v>
      </c>
      <c r="C21" s="3052" t="s">
        <v>3169</v>
      </c>
    </row>
    <row r="22" spans="2:13">
      <c r="B22" s="3059" t="s">
        <v>3171</v>
      </c>
      <c r="C22" s="3066">
        <v>57026</v>
      </c>
    </row>
    <row r="23" spans="2:13">
      <c r="B23" s="3059" t="s">
        <v>3170</v>
      </c>
      <c r="C23" s="3059">
        <v>47924.04</v>
      </c>
    </row>
    <row r="24" spans="2:13">
      <c r="B24" s="3052" t="s">
        <v>3122</v>
      </c>
      <c r="C24" s="3053">
        <v>96983.22</v>
      </c>
    </row>
    <row r="25" spans="2:13">
      <c r="B25" s="3052" t="s">
        <v>3123</v>
      </c>
      <c r="C25" s="3052" t="s">
        <v>3124</v>
      </c>
    </row>
    <row r="26" spans="2:13">
      <c r="B26" s="3052" t="s">
        <v>3125</v>
      </c>
      <c r="C26" s="3052" t="s">
        <v>3126</v>
      </c>
    </row>
    <row r="27" spans="2:13">
      <c r="B27" s="3052" t="s">
        <v>3127</v>
      </c>
      <c r="C27" s="3052" t="s">
        <v>3128</v>
      </c>
      <c r="H27" s="3078" t="s">
        <v>3318</v>
      </c>
      <c r="I27" s="3078" t="s">
        <v>3319</v>
      </c>
      <c r="J27" s="3078" t="s">
        <v>3320</v>
      </c>
      <c r="K27" s="3078" t="s">
        <v>3300</v>
      </c>
      <c r="L27" s="3078" t="s">
        <v>3321</v>
      </c>
      <c r="M27" s="3078" t="s">
        <v>3322</v>
      </c>
    </row>
    <row r="28" spans="2:13">
      <c r="B28" s="3052" t="s">
        <v>3129</v>
      </c>
      <c r="C28" s="3052">
        <v>2017</v>
      </c>
      <c r="H28" s="3078">
        <v>1</v>
      </c>
      <c r="I28" s="3078">
        <v>6</v>
      </c>
      <c r="J28" s="3078">
        <v>1</v>
      </c>
      <c r="K28" s="3078">
        <v>24153.13</v>
      </c>
      <c r="L28" s="3078" t="s">
        <v>3323</v>
      </c>
      <c r="M28" s="3078" t="s">
        <v>3324</v>
      </c>
    </row>
    <row r="29" spans="2:13">
      <c r="H29" s="3078">
        <v>2</v>
      </c>
      <c r="I29" s="3078"/>
      <c r="J29" s="3078">
        <v>2</v>
      </c>
      <c r="K29" s="3078">
        <v>24023.05</v>
      </c>
      <c r="L29" s="3078"/>
      <c r="M29" s="3078"/>
    </row>
    <row r="30" spans="2:13">
      <c r="H30" s="3078">
        <v>3</v>
      </c>
      <c r="I30" s="3078"/>
      <c r="J30" s="3078">
        <v>3</v>
      </c>
      <c r="K30" s="3078">
        <v>23408.68</v>
      </c>
      <c r="L30" s="3078"/>
      <c r="M30" s="3078"/>
    </row>
    <row r="31" spans="2:13">
      <c r="H31" s="3078">
        <v>4</v>
      </c>
      <c r="I31" s="3078"/>
      <c r="J31" s="3078">
        <v>4</v>
      </c>
      <c r="K31" s="3078">
        <v>23078.41</v>
      </c>
      <c r="L31" s="3078"/>
      <c r="M31" s="3078"/>
    </row>
    <row r="32" spans="2:13">
      <c r="H32" s="3078">
        <v>5</v>
      </c>
      <c r="I32" s="3078"/>
      <c r="J32" s="3078">
        <v>5</v>
      </c>
      <c r="K32" s="3078">
        <v>2299.16</v>
      </c>
      <c r="L32" s="3078"/>
      <c r="M32" s="3078"/>
    </row>
    <row r="33" spans="8:13">
      <c r="H33" s="3078">
        <v>6</v>
      </c>
      <c r="I33" s="3078"/>
      <c r="J33" s="3078">
        <v>-1</v>
      </c>
      <c r="K33" s="3078">
        <v>20.79</v>
      </c>
      <c r="L33" s="3078"/>
      <c r="M33" s="3078"/>
    </row>
    <row r="34" spans="8:13">
      <c r="H34" s="3078"/>
      <c r="I34" s="3078"/>
      <c r="J34" s="3078"/>
      <c r="K34" s="3078">
        <v>96983.22</v>
      </c>
      <c r="L34" s="3078"/>
      <c r="M34" s="3078"/>
    </row>
  </sheetData>
  <mergeCells count="4">
    <mergeCell ref="B17:C17"/>
    <mergeCell ref="A2:A6"/>
    <mergeCell ref="B1:C1"/>
    <mergeCell ref="B11:C1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42" sqref="K42"/>
      <selection pane="topRight" activeCell="K42" sqref="K42"/>
      <selection pane="bottomLeft" activeCell="K42" sqref="K42"/>
      <selection pane="bottomRight" activeCell="K26" sqref="K26"/>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1746</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7" t="s">
        <v>1747</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1" customFormat="1" ht="24">
      <c r="A2" s="11" t="s">
        <v>1748</v>
      </c>
      <c r="B2" s="11" t="s">
        <v>1749</v>
      </c>
      <c r="C2" s="11" t="s">
        <v>1750</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1751</v>
      </c>
      <c r="AZ2" s="1177" t="s">
        <v>1752</v>
      </c>
      <c r="BA2" s="11" t="s">
        <v>1753</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f>面积表!C23</f>
        <v>47924.04</v>
      </c>
      <c r="B3" s="14">
        <f>IF(C3="否",G5-AT5,G5)</f>
        <v>96983.22</v>
      </c>
      <c r="C3" s="1762" t="s">
        <v>1754</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1755</v>
      </c>
      <c r="B5" s="1529"/>
      <c r="C5" s="1529"/>
      <c r="D5" s="1531"/>
      <c r="E5" s="16" t="s">
        <v>1</v>
      </c>
      <c r="F5" s="16">
        <f>SUM(F13:F587)</f>
        <v>0</v>
      </c>
      <c r="G5" s="16">
        <f>SUM(G13:G587)</f>
        <v>96983.22</v>
      </c>
      <c r="H5" s="16">
        <f t="shared" ref="H5:AT5" si="0">SUM(H13:H656)</f>
        <v>96983.22</v>
      </c>
      <c r="I5" s="16">
        <f t="shared" si="0"/>
        <v>96962.430000000008</v>
      </c>
      <c r="J5" s="16">
        <f t="shared" si="0"/>
        <v>0</v>
      </c>
      <c r="K5" s="16">
        <f t="shared" si="0"/>
        <v>20.79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1755</v>
      </c>
      <c r="AW5" s="1529"/>
      <c r="AX5" s="1529"/>
      <c r="AY5" s="17" t="s">
        <v>3</v>
      </c>
      <c r="AZ5" s="18">
        <f t="shared" ref="AZ5:BT5" si="1">SUM(AZ13:AZ656)</f>
        <v>96983.22</v>
      </c>
      <c r="BA5" s="18">
        <f t="shared" si="1"/>
        <v>96983.22</v>
      </c>
      <c r="BB5" s="18">
        <f t="shared" si="1"/>
        <v>96962.430000000008</v>
      </c>
      <c r="BC5" s="18">
        <f t="shared" si="1"/>
        <v>20.79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1756</v>
      </c>
      <c r="B6" s="1768"/>
      <c r="C6" s="1768"/>
      <c r="D6" s="1769"/>
      <c r="E6" s="16">
        <f>H6+AC6+AT6</f>
        <v>47924.039999999994</v>
      </c>
      <c r="F6" s="16" t="s">
        <v>1</v>
      </c>
      <c r="G6" s="16" t="s">
        <v>2</v>
      </c>
      <c r="H6" s="20">
        <f>SUMIF(I$12:AB$12,"总值",I6:AB6)</f>
        <v>47924.039999999994</v>
      </c>
      <c r="I6" s="16">
        <f t="shared" ref="I6:AB6" si="2">ROUND($A$3*I5/$B$3,2)</f>
        <v>47913.77</v>
      </c>
      <c r="J6" s="16">
        <f t="shared" si="2"/>
        <v>0</v>
      </c>
      <c r="K6" s="16">
        <f t="shared" si="2"/>
        <v>10.27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1756</v>
      </c>
      <c r="AW6" s="1768"/>
      <c r="AX6" s="1768"/>
      <c r="AY6" s="21">
        <f>IF(AY3&gt;0,AY3,ROUND($A$3*AZ5/$B$3,2))</f>
        <v>47924.04</v>
      </c>
      <c r="AZ6" s="16" t="s">
        <v>3</v>
      </c>
      <c r="BA6" s="16">
        <f>ROUND($AY$6*BA5/$AZ$5,2)</f>
        <v>47924.04</v>
      </c>
      <c r="BB6" s="16">
        <f>ROUND($AY$6*BB5/$AZ$5,2)</f>
        <v>47913.77</v>
      </c>
      <c r="BC6" s="16">
        <f t="shared" ref="BC6:BH6" si="4">ROUND($AY$6*BC5/$AZ$5,2)</f>
        <v>10.27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1757</v>
      </c>
      <c r="B7" s="1751" t="s">
        <v>1758</v>
      </c>
      <c r="C7" s="1751" t="s">
        <v>1759</v>
      </c>
      <c r="D7" s="1751" t="s">
        <v>1760</v>
      </c>
      <c r="E7" s="1751" t="s">
        <v>1761</v>
      </c>
      <c r="F7" s="1751" t="s">
        <v>1762</v>
      </c>
      <c r="G7" s="1772" t="s">
        <v>1763</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1"/>
      <c r="AU7" s="1773" t="s">
        <v>1764</v>
      </c>
      <c r="AV7" s="23" t="s">
        <v>1765</v>
      </c>
      <c r="AW7" s="1760" t="s">
        <v>1766</v>
      </c>
      <c r="AX7" s="23" t="s">
        <v>1759</v>
      </c>
      <c r="AY7" s="1529" t="s">
        <v>1767</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1768</v>
      </c>
      <c r="H8" s="1778" t="s">
        <v>1769</v>
      </c>
      <c r="I8" s="1779"/>
      <c r="J8" s="1542"/>
      <c r="K8" s="1542"/>
      <c r="L8" s="1542"/>
      <c r="M8" s="1542"/>
      <c r="N8" s="1542"/>
      <c r="O8" s="1542"/>
      <c r="P8" s="1542"/>
      <c r="Q8" s="1542"/>
      <c r="R8" s="1542"/>
      <c r="S8" s="1542"/>
      <c r="T8" s="1542"/>
      <c r="U8" s="1542"/>
      <c r="V8" s="1780"/>
      <c r="W8" s="1542"/>
      <c r="X8" s="1542"/>
      <c r="Y8" s="1542"/>
      <c r="Z8" s="1542"/>
      <c r="AA8" s="1780"/>
      <c r="AB8" s="1781"/>
      <c r="AC8" s="915" t="s">
        <v>1770</v>
      </c>
      <c r="AD8" s="1782"/>
      <c r="AE8" s="1774"/>
      <c r="AF8" s="1542"/>
      <c r="AG8" s="1542"/>
      <c r="AH8" s="1542"/>
      <c r="AI8" s="1542"/>
      <c r="AJ8" s="1542"/>
      <c r="AK8" s="1542"/>
      <c r="AL8" s="1542"/>
      <c r="AM8" s="1542"/>
      <c r="AN8" s="1542"/>
      <c r="AO8" s="1542"/>
      <c r="AP8" s="1542"/>
      <c r="AQ8" s="1542"/>
      <c r="AR8" s="1542"/>
      <c r="AS8" s="1542"/>
      <c r="AT8" s="1199" t="s">
        <v>1771</v>
      </c>
      <c r="AU8" s="1776" t="s">
        <v>1772</v>
      </c>
      <c r="AV8" s="1199"/>
      <c r="AW8" s="1759"/>
      <c r="AX8" s="1199"/>
      <c r="AY8" s="1760" t="s">
        <v>1773</v>
      </c>
      <c r="AZ8" s="1541" t="s">
        <v>1774</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3" customFormat="1" ht="12.75">
      <c r="A9" s="1776"/>
      <c r="B9" s="1776"/>
      <c r="C9" s="1776"/>
      <c r="D9" s="1776"/>
      <c r="E9" s="1776"/>
      <c r="F9" s="1776"/>
      <c r="G9" s="1199"/>
      <c r="H9" s="1784" t="s">
        <v>1775</v>
      </c>
      <c r="I9" s="1785" t="s">
        <v>3045</v>
      </c>
      <c r="J9" s="915"/>
      <c r="K9" s="1785" t="s">
        <v>3097</v>
      </c>
      <c r="L9" s="915"/>
      <c r="M9" s="1785"/>
      <c r="N9" s="915"/>
      <c r="O9" s="1785"/>
      <c r="P9" s="915"/>
      <c r="Q9" s="1785"/>
      <c r="R9" s="915"/>
      <c r="S9" s="1785"/>
      <c r="T9" s="915"/>
      <c r="U9" s="1785"/>
      <c r="V9" s="915"/>
      <c r="W9" s="1785"/>
      <c r="X9" s="1786"/>
      <c r="Y9" s="1785"/>
      <c r="Z9" s="915"/>
      <c r="AA9" s="1785"/>
      <c r="AB9" s="915"/>
      <c r="AC9" s="1777" t="s">
        <v>1775</v>
      </c>
      <c r="AD9" s="15" t="s">
        <v>1776</v>
      </c>
      <c r="AE9" s="1205"/>
      <c r="AF9" s="15" t="s">
        <v>1777</v>
      </c>
      <c r="AG9" s="1205"/>
      <c r="AH9" s="15" t="s">
        <v>1776</v>
      </c>
      <c r="AI9" s="1205"/>
      <c r="AJ9" s="15" t="s">
        <v>1777</v>
      </c>
      <c r="AK9" s="1205"/>
      <c r="AL9" s="15" t="s">
        <v>1776</v>
      </c>
      <c r="AM9" s="1205"/>
      <c r="AN9" s="15" t="s">
        <v>1777</v>
      </c>
      <c r="AO9" s="1205"/>
      <c r="AP9" s="15" t="s">
        <v>1776</v>
      </c>
      <c r="AQ9" s="1205"/>
      <c r="AR9" s="15" t="s">
        <v>1777</v>
      </c>
      <c r="AS9" s="1787"/>
      <c r="AT9" s="1776"/>
      <c r="AU9" s="1776" t="s">
        <v>1778</v>
      </c>
      <c r="AV9" s="1199"/>
      <c r="AW9" s="1759"/>
      <c r="AX9" s="1199"/>
      <c r="AY9" s="28"/>
      <c r="AZ9" s="28" t="s">
        <v>1768</v>
      </c>
      <c r="BA9" s="1788" t="s">
        <v>1779</v>
      </c>
      <c r="BB9" s="1789"/>
      <c r="BC9" s="1245"/>
      <c r="BD9" s="1245"/>
      <c r="BE9" s="1245"/>
      <c r="BF9" s="1245"/>
      <c r="BG9" s="1245"/>
      <c r="BH9" s="1245"/>
      <c r="BI9" s="1245"/>
      <c r="BJ9" s="1245"/>
      <c r="BK9" s="1790"/>
      <c r="BL9" s="15" t="s">
        <v>1780</v>
      </c>
      <c r="BM9" s="1542"/>
      <c r="BN9" s="1779"/>
      <c r="BO9" s="1542"/>
      <c r="BP9" s="1542"/>
      <c r="BQ9" s="1542"/>
      <c r="BR9" s="1542"/>
      <c r="BS9" s="1542"/>
      <c r="BT9" s="26"/>
    </row>
    <row r="10" spans="1:72" s="1783" customFormat="1" ht="12.75">
      <c r="A10" s="1776"/>
      <c r="B10" s="1776"/>
      <c r="C10" s="1776"/>
      <c r="D10" s="1776"/>
      <c r="E10" s="1776"/>
      <c r="F10" s="1776"/>
      <c r="G10" s="1199"/>
      <c r="H10" s="28"/>
      <c r="I10" s="1785" t="s">
        <v>1343</v>
      </c>
      <c r="J10" s="915"/>
      <c r="K10" s="1791" t="s">
        <v>1343</v>
      </c>
      <c r="L10" s="915"/>
      <c r="M10" s="1791"/>
      <c r="N10" s="915"/>
      <c r="O10" s="1791"/>
      <c r="P10" s="915"/>
      <c r="Q10" s="1791"/>
      <c r="R10" s="915"/>
      <c r="S10" s="1791"/>
      <c r="T10" s="915"/>
      <c r="U10" s="1791"/>
      <c r="V10" s="915"/>
      <c r="W10" s="1791"/>
      <c r="X10" s="915"/>
      <c r="Y10" s="1791"/>
      <c r="Z10" s="915"/>
      <c r="AA10" s="1791"/>
      <c r="AB10" s="915"/>
      <c r="AC10" s="1199"/>
      <c r="AD10" s="15" t="s">
        <v>1781</v>
      </c>
      <c r="AE10" s="1792"/>
      <c r="AF10" s="15" t="s">
        <v>1781</v>
      </c>
      <c r="AG10" s="1792"/>
      <c r="AH10" s="15" t="s">
        <v>1782</v>
      </c>
      <c r="AI10" s="1792"/>
      <c r="AJ10" s="15" t="s">
        <v>1782</v>
      </c>
      <c r="AK10" s="1792"/>
      <c r="AL10" s="15" t="s">
        <v>1783</v>
      </c>
      <c r="AM10" s="1205"/>
      <c r="AN10" s="15" t="s">
        <v>1783</v>
      </c>
      <c r="AO10" s="1205"/>
      <c r="AP10" s="15" t="s">
        <v>1784</v>
      </c>
      <c r="AQ10" s="1205"/>
      <c r="AR10" s="15" t="s">
        <v>1784</v>
      </c>
      <c r="AS10" s="1205"/>
      <c r="AT10" s="1776"/>
      <c r="AU10" s="1776"/>
      <c r="AV10" s="1199"/>
      <c r="AW10" s="1759"/>
      <c r="AX10" s="1199"/>
      <c r="AY10" s="28"/>
      <c r="AZ10" s="28"/>
      <c r="BA10" s="1793" t="s">
        <v>1775</v>
      </c>
      <c r="BB10" s="1794" t="str">
        <f>I9</f>
        <v>地上</v>
      </c>
      <c r="BC10" s="29" t="str">
        <f>K9</f>
        <v>地下</v>
      </c>
      <c r="BD10" s="29">
        <f>M9</f>
        <v>0</v>
      </c>
      <c r="BE10" s="29">
        <f>O9</f>
        <v>0</v>
      </c>
      <c r="BF10" s="29">
        <f>Q9</f>
        <v>0</v>
      </c>
      <c r="BG10" s="29">
        <f>S9</f>
        <v>0</v>
      </c>
      <c r="BH10" s="29">
        <f>U9</f>
        <v>0</v>
      </c>
      <c r="BI10" s="29">
        <f>W9</f>
        <v>0</v>
      </c>
      <c r="BJ10" s="29">
        <f>Y9</f>
        <v>0</v>
      </c>
      <c r="BK10" s="29">
        <f>AA9</f>
        <v>0</v>
      </c>
      <c r="BL10" s="25" t="s">
        <v>1775</v>
      </c>
      <c r="BM10" s="1541" t="str">
        <f>AD9</f>
        <v>地上</v>
      </c>
      <c r="BN10" s="29" t="str">
        <f>AF9</f>
        <v>地下</v>
      </c>
      <c r="BO10" s="1541" t="str">
        <f>AH9</f>
        <v>地上</v>
      </c>
      <c r="BP10" s="29" t="str">
        <f>AJ9</f>
        <v>地下</v>
      </c>
      <c r="BQ10" s="1541" t="str">
        <f>AL9</f>
        <v>地上</v>
      </c>
      <c r="BR10" s="29" t="str">
        <f>AN9</f>
        <v>地下</v>
      </c>
      <c r="BS10" s="1541" t="str">
        <f>AP9</f>
        <v>地上</v>
      </c>
      <c r="BT10" s="1795" t="str">
        <f>AR9</f>
        <v>地下</v>
      </c>
    </row>
    <row r="11" spans="1:72" s="1783" customFormat="1" ht="12.75">
      <c r="A11" s="1776"/>
      <c r="B11" s="1776"/>
      <c r="C11" s="1776"/>
      <c r="D11" s="1776"/>
      <c r="E11" s="1776"/>
      <c r="F11" s="1776"/>
      <c r="G11" s="1199"/>
      <c r="H11" s="1793"/>
      <c r="I11" s="1796" t="s">
        <v>3130</v>
      </c>
      <c r="J11" s="1797"/>
      <c r="K11" s="1796" t="s">
        <v>3130</v>
      </c>
      <c r="L11" s="1797"/>
      <c r="M11" s="1796"/>
      <c r="N11" s="1797"/>
      <c r="O11" s="1796"/>
      <c r="P11" s="1797"/>
      <c r="Q11" s="1796"/>
      <c r="R11" s="1797"/>
      <c r="S11" s="1796"/>
      <c r="T11" s="1797"/>
      <c r="U11" s="1796"/>
      <c r="V11" s="1797"/>
      <c r="W11" s="1796"/>
      <c r="X11" s="1797"/>
      <c r="Y11" s="1796"/>
      <c r="Z11" s="1797"/>
      <c r="AA11" s="1796"/>
      <c r="AB11" s="1797"/>
      <c r="AC11" s="1199"/>
      <c r="AD11" s="1798" t="s">
        <v>1785</v>
      </c>
      <c r="AE11" s="1543"/>
      <c r="AF11" s="1798" t="s">
        <v>1785</v>
      </c>
      <c r="AG11" s="1543"/>
      <c r="AH11" s="1798" t="s">
        <v>1786</v>
      </c>
      <c r="AI11" s="1799"/>
      <c r="AJ11" s="1798" t="s">
        <v>1786</v>
      </c>
      <c r="AK11" s="1543"/>
      <c r="AL11" s="1541"/>
      <c r="AM11" s="1543"/>
      <c r="AN11" s="1541"/>
      <c r="AO11" s="1543"/>
      <c r="AP11" s="1541"/>
      <c r="AQ11" s="1543"/>
      <c r="AR11" s="1541"/>
      <c r="AS11" s="1543"/>
      <c r="AT11" s="1759"/>
      <c r="AU11" s="1776"/>
      <c r="AV11" s="1199"/>
      <c r="AW11" s="1759"/>
      <c r="AX11" s="1199"/>
      <c r="AY11" s="28"/>
      <c r="AZ11" s="28"/>
      <c r="BA11" s="28"/>
      <c r="BB11" s="1781" t="str">
        <f>I10</f>
        <v>商业</v>
      </c>
      <c r="BC11" s="1781" t="str">
        <f>K10</f>
        <v>商业</v>
      </c>
      <c r="BD11" s="1781">
        <f>M10</f>
        <v>0</v>
      </c>
      <c r="BE11" s="1781">
        <f>O10</f>
        <v>0</v>
      </c>
      <c r="BF11" s="1781">
        <f>Q10</f>
        <v>0</v>
      </c>
      <c r="BG11" s="1781">
        <f>S10</f>
        <v>0</v>
      </c>
      <c r="BH11" s="1781">
        <f>U10</f>
        <v>0</v>
      </c>
      <c r="BI11" s="1781">
        <f>W10</f>
        <v>0</v>
      </c>
      <c r="BJ11" s="1781">
        <f>Y10</f>
        <v>0</v>
      </c>
      <c r="BK11" s="1781">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1"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8" t="s">
        <v>1788</v>
      </c>
      <c r="W12" s="11" t="s">
        <v>1787</v>
      </c>
      <c r="X12" s="11" t="s">
        <v>1788</v>
      </c>
      <c r="Y12" s="11" t="s">
        <v>1787</v>
      </c>
      <c r="Z12" s="11" t="s">
        <v>1788</v>
      </c>
      <c r="AA12" s="11" t="s">
        <v>1787</v>
      </c>
      <c r="AB12" s="11" t="s">
        <v>1788</v>
      </c>
      <c r="AC12" s="1803"/>
      <c r="AD12" s="1531"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1" t="s">
        <v>1788</v>
      </c>
      <c r="AT12" s="1804"/>
      <c r="AU12" s="1801"/>
      <c r="AV12" s="31"/>
      <c r="AW12" s="1760"/>
      <c r="AX12" s="31"/>
      <c r="AY12" s="1805"/>
      <c r="AZ12" s="28"/>
      <c r="BA12" s="1793"/>
      <c r="BB12" s="24" t="str">
        <f>I11</f>
        <v>独立商业</v>
      </c>
      <c r="BC12" s="1806" t="str">
        <f>K11</f>
        <v>独立商业</v>
      </c>
      <c r="BD12" s="1806">
        <f>M11</f>
        <v>0</v>
      </c>
      <c r="BE12" s="1781">
        <f>O11</f>
        <v>0</v>
      </c>
      <c r="BF12" s="1781">
        <f>Q11</f>
        <v>0</v>
      </c>
      <c r="BG12" s="1781">
        <f>S11</f>
        <v>0</v>
      </c>
      <c r="BH12" s="1781">
        <f>U11</f>
        <v>0</v>
      </c>
      <c r="BI12" s="1781">
        <f>W11</f>
        <v>0</v>
      </c>
      <c r="BJ12" s="1781">
        <f>Y11</f>
        <v>0</v>
      </c>
      <c r="BK12" s="1781">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v>17.66</v>
      </c>
      <c r="B13" s="1179">
        <v>0.5</v>
      </c>
      <c r="C13" s="3044" t="s">
        <v>3172</v>
      </c>
      <c r="D13" s="1807" t="s">
        <v>3044</v>
      </c>
      <c r="E13" s="16">
        <f>IF($C$3="是",ROUND($A$3*G13/$B$3,2),ROUND($A$3*(G13-AT13)/$B$3,2))</f>
        <v>10.27</v>
      </c>
      <c r="F13" s="32"/>
      <c r="G13" s="33">
        <f>H13+AC13+AT13</f>
        <v>20.79</v>
      </c>
      <c r="H13" s="20">
        <f>SUMIF(I$12:AB$12,"总值",I13:AB13)</f>
        <v>20.79</v>
      </c>
      <c r="I13" s="1808"/>
      <c r="J13" s="1808"/>
      <c r="K13" s="1808">
        <v>20.79</v>
      </c>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17.66</v>
      </c>
      <c r="AW13" s="11">
        <f t="shared" si="6"/>
        <v>0.5</v>
      </c>
      <c r="AX13" s="11" t="str">
        <f t="shared" si="6"/>
        <v>地下1层</v>
      </c>
      <c r="AY13" s="1531">
        <f>ROUND($AY$6*AZ13/$AZ$5,2)</f>
        <v>10.27</v>
      </c>
      <c r="AZ13" s="16">
        <f>BA13+BL13</f>
        <v>20.79</v>
      </c>
      <c r="BA13" s="16">
        <f>SUM(BB13:BK13)</f>
        <v>20.79</v>
      </c>
      <c r="BB13" s="16">
        <f>IF($D13="是",I13-J13,0)</f>
        <v>0</v>
      </c>
      <c r="BC13" s="16">
        <f>IF($D13="是",K13-L13,0)</f>
        <v>20.79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v>14442.52</v>
      </c>
      <c r="B14" s="1179">
        <v>1</v>
      </c>
      <c r="C14" s="1179" t="s">
        <v>3173</v>
      </c>
      <c r="D14" s="1807" t="s">
        <v>3044</v>
      </c>
      <c r="E14" s="16">
        <f>IF($C$3="是",ROUND($A$3*G14/$B$3,2),ROUND($A$3*(G14-AT14)/$B$3,2))</f>
        <v>11935.21</v>
      </c>
      <c r="F14" s="32"/>
      <c r="G14" s="33">
        <f>H14+AC14+AT14</f>
        <v>24153.13</v>
      </c>
      <c r="H14" s="20">
        <f>SUMIF(I$12:AB$12,"总值",I14:AB14)</f>
        <v>24153.13</v>
      </c>
      <c r="I14" s="1808">
        <v>24153.13</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14442.52</v>
      </c>
      <c r="AW14" s="11">
        <f t="shared" si="6"/>
        <v>1</v>
      </c>
      <c r="AX14" s="11" t="str">
        <f t="shared" si="6"/>
        <v>1层</v>
      </c>
      <c r="AY14" s="1531">
        <f>ROUND($AY$6*AZ14/$AZ$5,2)</f>
        <v>11935.21</v>
      </c>
      <c r="AZ14" s="16">
        <f>BA14+BL14</f>
        <v>24153.13</v>
      </c>
      <c r="BA14" s="16">
        <f>SUM(BB14:BK14)</f>
        <v>24153.13</v>
      </c>
      <c r="BB14" s="16">
        <f>IF($D14="是",I14-J14,0)</f>
        <v>24153.13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v>13316.35</v>
      </c>
      <c r="B15" s="1179">
        <v>0.6</v>
      </c>
      <c r="C15" s="1179" t="s">
        <v>3174</v>
      </c>
      <c r="D15" s="1807" t="s">
        <v>3044</v>
      </c>
      <c r="E15" s="16">
        <f>IF($C$3="是",ROUND($A$3*G15/$B$3,2),ROUND($A$3*(G15-AT15)/$B$3,2))</f>
        <v>11870.94</v>
      </c>
      <c r="F15" s="32"/>
      <c r="G15" s="33">
        <f>H15+AC15+AT15</f>
        <v>24023.05</v>
      </c>
      <c r="H15" s="20">
        <f>SUMIF(I$12:AB$12,"总值",I15:AB15)</f>
        <v>24023.05</v>
      </c>
      <c r="I15" s="1808">
        <v>24023.05</v>
      </c>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13316.35</v>
      </c>
      <c r="AW15" s="11">
        <f t="shared" si="6"/>
        <v>0.6</v>
      </c>
      <c r="AX15" s="11" t="str">
        <f t="shared" si="6"/>
        <v>2层</v>
      </c>
      <c r="AY15" s="1531">
        <f>ROUND($AY$6*AZ15/$AZ$5,2)</f>
        <v>11870.94</v>
      </c>
      <c r="AZ15" s="16">
        <f>BA15+BL15</f>
        <v>24023.05</v>
      </c>
      <c r="BA15" s="16">
        <f>SUM(BB15:BK15)</f>
        <v>24023.05</v>
      </c>
      <c r="BB15" s="16">
        <f>IF($D15="是",I15-J15,0)</f>
        <v>24023.05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v>13475.65</v>
      </c>
      <c r="B16" s="1179">
        <v>0.5</v>
      </c>
      <c r="C16" s="1179" t="s">
        <v>3175</v>
      </c>
      <c r="D16" s="1807" t="s">
        <v>3044</v>
      </c>
      <c r="E16" s="16">
        <f>IF($C$3="是",ROUND($A$3*G16/$B$3,2),ROUND($A$3*(G16-AT16)/$B$3,2))</f>
        <v>11567.35</v>
      </c>
      <c r="F16" s="32"/>
      <c r="G16" s="33">
        <f>H16+AC16+AT16</f>
        <v>23408.68</v>
      </c>
      <c r="H16" s="20">
        <f>SUMIF(I$12:AB$12,"总值",I16:AB16)</f>
        <v>23408.68</v>
      </c>
      <c r="I16" s="1808">
        <v>23408.68</v>
      </c>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13475.65</v>
      </c>
      <c r="AW16" s="11">
        <f t="shared" si="6"/>
        <v>0.5</v>
      </c>
      <c r="AX16" s="11" t="str">
        <f t="shared" si="6"/>
        <v>3层</v>
      </c>
      <c r="AY16" s="1531">
        <f>ROUND($AY$6*AZ16/$AZ$5,2)</f>
        <v>11567.35</v>
      </c>
      <c r="AZ16" s="16">
        <f>BA16+BL16</f>
        <v>23408.68</v>
      </c>
      <c r="BA16" s="16">
        <f>SUM(BB16:BK16)</f>
        <v>23408.68</v>
      </c>
      <c r="BB16" s="16">
        <f>IF($D16="是",I16-J16,0)</f>
        <v>23408.68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v>12993.09</v>
      </c>
      <c r="B17" s="1179">
        <v>0.45</v>
      </c>
      <c r="C17" s="1179" t="s">
        <v>3176</v>
      </c>
      <c r="D17" s="1807" t="s">
        <v>3044</v>
      </c>
      <c r="E17" s="16">
        <f>IF($C$3="是",ROUND($A$3*G17/$B$3,2),ROUND($A$3*(G17-AT17)/$B$3,2))</f>
        <v>11404.14</v>
      </c>
      <c r="F17" s="32"/>
      <c r="G17" s="33">
        <f>H17+AC17+AT17</f>
        <v>23078.41</v>
      </c>
      <c r="H17" s="20">
        <f>SUMIF(I$12:AB$12,"总值",I17:AB17)</f>
        <v>23078.41</v>
      </c>
      <c r="I17" s="1808">
        <v>23078.41</v>
      </c>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12993.09</v>
      </c>
      <c r="AW17" s="11">
        <f t="shared" si="6"/>
        <v>0.45</v>
      </c>
      <c r="AX17" s="11" t="str">
        <f t="shared" si="6"/>
        <v>4层</v>
      </c>
      <c r="AY17" s="1531">
        <f>ROUND($AY$6*AZ17/$AZ$5,2)</f>
        <v>11404.14</v>
      </c>
      <c r="AZ17" s="16">
        <f>BA17+BL17</f>
        <v>23078.41</v>
      </c>
      <c r="BA17" s="16">
        <f>SUM(BB17:BK17)</f>
        <v>23078.41</v>
      </c>
      <c r="BB17" s="16">
        <f>IF($D17="是",I17-J17,0)</f>
        <v>23078.41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1186.69</v>
      </c>
      <c r="B18" s="34">
        <v>0.4</v>
      </c>
      <c r="C18" s="34" t="s">
        <v>3177</v>
      </c>
      <c r="D18" s="1807" t="s">
        <v>3044</v>
      </c>
      <c r="E18" s="35">
        <f t="shared" ref="E18:E112" si="7">IF($C$3="是",ROUND($A$3*G18/$B$3,2),ROUND($A$3*(G18-AT18)/$B$3,2))</f>
        <v>1136.1199999999999</v>
      </c>
      <c r="F18" s="36"/>
      <c r="G18" s="37">
        <f t="shared" ref="G18:G109" si="8">H18+AC18+AT18</f>
        <v>2299.16</v>
      </c>
      <c r="H18" s="38">
        <f t="shared" ref="H18:H109" si="9">SUMIF(I$12:AB$12,"总值",I18:AB18)</f>
        <v>2299.16</v>
      </c>
      <c r="I18" s="39">
        <v>2299.16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5">
        <f t="shared" ref="AV18:AV112" si="11">A18</f>
        <v>1186.69</v>
      </c>
      <c r="AW18" s="1525">
        <f t="shared" ref="AW18:AW112" si="12">B18</f>
        <v>0.4</v>
      </c>
      <c r="AX18" s="1525" t="str">
        <f t="shared" ref="AX18:AX112" si="13">C18</f>
        <v>5层</v>
      </c>
      <c r="AY18" s="42">
        <f t="shared" ref="AY18:AY109" si="14">ROUND($AY$6*AZ18/$AZ$5,2)</f>
        <v>1136.1199999999999</v>
      </c>
      <c r="AZ18" s="35">
        <f t="shared" ref="AZ18:AZ109" si="15">BA18+BL18</f>
        <v>2299.16</v>
      </c>
      <c r="BA18" s="35">
        <f t="shared" ref="BA18:BA109" si="16">SUM(BB18:BK18)</f>
        <v>2299.16</v>
      </c>
      <c r="BB18" s="35">
        <f t="shared" ref="BB18:BB109" si="17">IF($D18="是",I18-J18,0)</f>
        <v>2299.16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f>(B13*K13+B14*I14+B15*I15+B16*I16+B17*I17+B18*I18)/G5</f>
        <v>0.63502370306945888</v>
      </c>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5">
        <f t="shared" si="11"/>
        <v>0</v>
      </c>
      <c r="AW19" s="1525">
        <f t="shared" si="12"/>
        <v>0.63502370306945888</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f ca="1">结果表!G20/'数据-基础表'!B19</f>
        <v>13897.119048223498</v>
      </c>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5">
        <f t="shared" si="11"/>
        <v>0</v>
      </c>
      <c r="AW20" s="1525">
        <f t="shared" ca="1" si="12"/>
        <v>13897.119048223498</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7"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1814</v>
      </c>
      <c r="B1" s="1298"/>
      <c r="C1" s="1298"/>
      <c r="D1" s="1298"/>
      <c r="E1" s="1298"/>
      <c r="F1" s="1298"/>
      <c r="G1" s="1298"/>
      <c r="H1" s="1298"/>
      <c r="I1" s="1298"/>
      <c r="J1" s="1298"/>
      <c r="K1" s="1298"/>
      <c r="L1" s="1298"/>
      <c r="M1" s="1298"/>
      <c r="N1" s="1298"/>
      <c r="O1" s="1298"/>
      <c r="P1" s="1298"/>
    </row>
    <row r="2" spans="1:16" ht="15">
      <c r="A2" s="3164" t="s">
        <v>1815</v>
      </c>
      <c r="B2" s="3164"/>
      <c r="C2" s="3164"/>
      <c r="D2" s="901" t="s">
        <v>1791</v>
      </c>
      <c r="E2" s="1821" t="s">
        <v>1792</v>
      </c>
      <c r="F2" s="2877"/>
      <c r="G2" s="2868"/>
      <c r="H2" s="2869"/>
      <c r="I2" s="2544" t="s">
        <v>1816</v>
      </c>
      <c r="J2" s="2877"/>
      <c r="K2" s="2877"/>
      <c r="L2" s="2877"/>
      <c r="M2" s="2877"/>
      <c r="N2" s="2879"/>
      <c r="O2" s="2877"/>
      <c r="P2" s="2877"/>
    </row>
    <row r="3" spans="1:16" ht="15.75" thickBot="1">
      <c r="A3" s="3165" t="s">
        <v>1789</v>
      </c>
      <c r="B3" s="3165"/>
      <c r="C3" s="3165"/>
      <c r="D3" s="46">
        <f>'数据-基础表'!AY6</f>
        <v>47924.04</v>
      </c>
      <c r="E3" s="46">
        <f>'数据-基础表'!AZ5</f>
        <v>96983.22</v>
      </c>
      <c r="F3" s="2877"/>
      <c r="G3" s="1304"/>
      <c r="H3" s="1154" t="s">
        <v>1790</v>
      </c>
      <c r="I3" s="961">
        <f>ROUND('数据-基础表'!B3/'数据-基础表'!A3,2)</f>
        <v>2.02</v>
      </c>
      <c r="J3" s="2877"/>
      <c r="K3" s="2877"/>
      <c r="L3" s="2877"/>
      <c r="M3" s="2877"/>
      <c r="N3" s="2879"/>
      <c r="O3" s="2877"/>
      <c r="P3" s="2877"/>
    </row>
    <row r="4" spans="1:16" ht="15">
      <c r="A4" s="3166"/>
      <c r="B4" s="3167"/>
      <c r="C4" s="3168"/>
      <c r="D4" s="1823" t="s">
        <v>1791</v>
      </c>
      <c r="E4" s="1824" t="s">
        <v>1792</v>
      </c>
      <c r="F4" s="2877"/>
      <c r="G4" s="2870" t="s">
        <v>1817</v>
      </c>
      <c r="H4" s="1154" t="s">
        <v>1797</v>
      </c>
      <c r="I4" s="961">
        <f>ROUND(SUMIF('数据-基础表'!I9:AS9,"地上",'数据-基础表'!I5:AS5)/'数据-基础表'!A3,2)</f>
        <v>2.02</v>
      </c>
      <c r="J4" s="2877"/>
      <c r="K4" s="2877"/>
      <c r="L4" s="2877"/>
      <c r="M4" s="2877"/>
      <c r="N4" s="2879"/>
      <c r="O4" s="2877"/>
      <c r="P4" s="2877"/>
    </row>
    <row r="5" spans="1:16">
      <c r="A5" s="47" t="s">
        <v>1793</v>
      </c>
      <c r="B5" s="3169" t="s">
        <v>1794</v>
      </c>
      <c r="C5" s="3169"/>
      <c r="D5" s="48">
        <f>ROUND($D$3*E5/$E$3,2)</f>
        <v>0</v>
      </c>
      <c r="E5" s="49">
        <f>SUMIF('数据-基础表'!$11:$11,"住宅",'数据-基础表'!$5:$5)</f>
        <v>0</v>
      </c>
      <c r="F5" s="2877"/>
      <c r="G5" s="1304"/>
      <c r="H5" s="1154" t="s">
        <v>1790</v>
      </c>
      <c r="I5" s="961">
        <f>ROUND(E31/D31,2)</f>
        <v>2.02</v>
      </c>
      <c r="J5" s="2877"/>
      <c r="K5" s="2877"/>
      <c r="L5" s="2877"/>
      <c r="M5" s="2877"/>
      <c r="N5" s="2877"/>
      <c r="O5" s="2877"/>
      <c r="P5" s="2877"/>
    </row>
    <row r="6" spans="1:16" ht="15" thickBot="1">
      <c r="A6" s="1826"/>
      <c r="B6" s="3169" t="s">
        <v>1795</v>
      </c>
      <c r="C6" s="3169"/>
      <c r="D6" s="48">
        <f>ROUND($D$3*E6/$E$3,2)</f>
        <v>47924.04</v>
      </c>
      <c r="E6" s="49">
        <f>E3-E5</f>
        <v>96983.22</v>
      </c>
      <c r="F6" s="2877"/>
      <c r="G6" s="2871" t="s">
        <v>1796</v>
      </c>
      <c r="H6" s="1305" t="s">
        <v>1797</v>
      </c>
      <c r="I6" s="2872">
        <f>ROUND(F31/D31,2)</f>
        <v>2.02</v>
      </c>
      <c r="J6" s="2877"/>
      <c r="K6" s="2877"/>
      <c r="L6" s="2877"/>
      <c r="M6" s="2877"/>
      <c r="N6" s="2877"/>
      <c r="O6" s="2877"/>
      <c r="P6" s="2877"/>
    </row>
    <row r="7" spans="1:16" ht="15.75" thickBot="1">
      <c r="A7" s="3161"/>
      <c r="B7" s="3162"/>
      <c r="C7" s="3163"/>
      <c r="D7" s="1823" t="s">
        <v>1791</v>
      </c>
      <c r="E7" s="1827"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47913.77</v>
      </c>
      <c r="E8" s="51">
        <f>SUMIF('数据-基础表'!BB10:BK10,"地上",'数据-基础表'!BB5:BK5)</f>
        <v>96962.430000000008</v>
      </c>
      <c r="F8" s="2877"/>
      <c r="G8" s="2878"/>
      <c r="H8" s="2878"/>
      <c r="I8" s="2877"/>
      <c r="J8" s="2877"/>
      <c r="K8" s="2877"/>
      <c r="L8" s="2877"/>
      <c r="M8" s="2877"/>
      <c r="N8" s="2877"/>
      <c r="O8" s="2877"/>
      <c r="P8" s="2877"/>
    </row>
    <row r="9" spans="1:16">
      <c r="A9" s="1828"/>
      <c r="B9" s="1829"/>
      <c r="C9" s="48" t="s">
        <v>1803</v>
      </c>
      <c r="D9" s="48">
        <f t="shared" si="0"/>
        <v>0</v>
      </c>
      <c r="E9" s="52">
        <v>0</v>
      </c>
      <c r="F9" s="2877"/>
      <c r="G9" s="2878"/>
      <c r="H9" s="2878"/>
      <c r="I9" s="2877"/>
      <c r="J9" s="2877"/>
      <c r="K9" s="2877"/>
      <c r="L9" s="2877"/>
      <c r="M9" s="2877"/>
      <c r="N9" s="2877"/>
      <c r="O9" s="2877"/>
      <c r="P9" s="2877"/>
    </row>
    <row r="10" spans="1:16">
      <c r="A10" s="1828"/>
      <c r="B10" s="1829"/>
      <c r="C10" s="48" t="s">
        <v>1812</v>
      </c>
      <c r="D10" s="48">
        <f t="shared" si="0"/>
        <v>10.27</v>
      </c>
      <c r="E10" s="51">
        <f>SUMPRODUCT(('数据-基础表'!BB10:BK10="地下")*('数据-基础表'!BB11:BK11="商业")*('数据-基础表'!BB5:BK5))</f>
        <v>20.79</v>
      </c>
      <c r="F10" s="2877"/>
      <c r="G10" s="2878"/>
      <c r="H10" s="2878"/>
      <c r="I10" s="2877"/>
      <c r="J10" s="2877"/>
      <c r="K10" s="2877"/>
      <c r="L10" s="2877"/>
      <c r="M10" s="2877"/>
      <c r="N10" s="2877"/>
      <c r="O10" s="2877"/>
      <c r="P10" s="2877"/>
    </row>
    <row r="11" spans="1:16">
      <c r="A11" s="1828"/>
      <c r="B11" s="1829"/>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8"/>
      <c r="B12" s="1829"/>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8"/>
      <c r="B13" s="1829"/>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8"/>
      <c r="B14" s="1829"/>
      <c r="C14" s="48" t="s">
        <v>1818</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8"/>
      <c r="B15" s="1829"/>
      <c r="C15" s="48" t="s">
        <v>1813</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6"/>
      <c r="B16" s="1829"/>
      <c r="C16" s="50" t="s">
        <v>1807</v>
      </c>
      <c r="D16" s="50">
        <f>SUM(D8:D15)</f>
        <v>47924.039999999994</v>
      </c>
      <c r="E16" s="53">
        <f>SUM(E8:E15)</f>
        <v>96983.22</v>
      </c>
      <c r="F16" s="2877"/>
      <c r="G16" s="2878"/>
      <c r="H16" s="1830" t="s">
        <v>1819</v>
      </c>
      <c r="I16" s="1831"/>
      <c r="J16" s="1298"/>
      <c r="K16" s="3158" t="s">
        <v>1819</v>
      </c>
      <c r="L16" s="3159"/>
      <c r="M16" s="3159"/>
      <c r="N16" s="3159"/>
      <c r="O16" s="3159"/>
      <c r="P16" s="3160"/>
    </row>
    <row r="17" spans="1:19" ht="15">
      <c r="A17" s="1832" t="s">
        <v>1820</v>
      </c>
      <c r="B17" s="1833" t="s">
        <v>1821</v>
      </c>
      <c r="C17" s="1834" t="s">
        <v>1822</v>
      </c>
      <c r="D17" s="1835" t="s">
        <v>1810</v>
      </c>
      <c r="E17" s="1836" t="s">
        <v>1811</v>
      </c>
      <c r="F17" s="1837"/>
      <c r="G17" s="1838"/>
      <c r="H17" s="1839" t="s">
        <v>1823</v>
      </c>
      <c r="I17" s="1840" t="s">
        <v>1808</v>
      </c>
      <c r="J17" s="1298"/>
      <c r="K17" s="3155" t="s">
        <v>1824</v>
      </c>
      <c r="L17" s="3156"/>
      <c r="M17" s="3157"/>
      <c r="N17" s="3155" t="s">
        <v>1825</v>
      </c>
      <c r="O17" s="3156"/>
      <c r="P17" s="3157"/>
      <c r="R17" s="1822" t="s">
        <v>1826</v>
      </c>
      <c r="S17" s="60"/>
    </row>
    <row r="18" spans="1:19" ht="15">
      <c r="A18" s="1828"/>
      <c r="B18" s="1841"/>
      <c r="C18" s="1842"/>
      <c r="D18" s="1843"/>
      <c r="E18" s="1844" t="s">
        <v>1827</v>
      </c>
      <c r="F18" s="1845" t="s">
        <v>1828</v>
      </c>
      <c r="G18" s="1846" t="s">
        <v>1829</v>
      </c>
      <c r="H18" s="1169" t="s">
        <v>1830</v>
      </c>
      <c r="I18" s="1847" t="s">
        <v>1831</v>
      </c>
      <c r="J18" s="1298"/>
      <c r="K18" s="1169" t="s">
        <v>1832</v>
      </c>
      <c r="L18" s="1848" t="s">
        <v>1833</v>
      </c>
      <c r="M18" s="961" t="s">
        <v>1834</v>
      </c>
      <c r="N18" s="1169" t="s">
        <v>1832</v>
      </c>
      <c r="O18" s="1848" t="s">
        <v>1833</v>
      </c>
      <c r="P18" s="961" t="s">
        <v>1834</v>
      </c>
      <c r="R18" s="1154" t="s">
        <v>1835</v>
      </c>
      <c r="S18" s="1154" t="s">
        <v>1836</v>
      </c>
    </row>
    <row r="19" spans="1:19">
      <c r="A19" s="1849"/>
      <c r="B19" s="50" t="s">
        <v>1809</v>
      </c>
      <c r="C19" s="3045" t="s">
        <v>3083</v>
      </c>
      <c r="D19" s="48">
        <f>ROUND($D$3*E19/$E$3,2)</f>
        <v>47924.04</v>
      </c>
      <c r="E19" s="56">
        <f t="shared" ref="E19:E26" si="1">SUM(F19:G19)</f>
        <v>96983.22</v>
      </c>
      <c r="F19" s="3017">
        <f>'数据-基础表'!I5</f>
        <v>96962.430000000008</v>
      </c>
      <c r="G19" s="3018">
        <f>'数据-基础表'!K13</f>
        <v>20.79</v>
      </c>
      <c r="H19" s="676">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47924.04</v>
      </c>
      <c r="S19" s="1155">
        <f t="shared" si="5"/>
        <v>96983.22</v>
      </c>
    </row>
    <row r="20" spans="1:19">
      <c r="A20" s="1853"/>
      <c r="B20" s="50" t="s">
        <v>1837</v>
      </c>
      <c r="C20" s="1850"/>
      <c r="D20" s="48">
        <f t="shared" ref="D20:D26" si="6">ROUND($D$3*E20/$E$3,2)</f>
        <v>0</v>
      </c>
      <c r="E20" s="56">
        <f t="shared" si="1"/>
        <v>0</v>
      </c>
      <c r="F20" s="3017"/>
      <c r="G20" s="3018"/>
      <c r="H20" s="676">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0</v>
      </c>
    </row>
    <row r="21" spans="1:19">
      <c r="A21" s="1853"/>
      <c r="B21" s="50" t="s">
        <v>1837</v>
      </c>
      <c r="C21" s="1850"/>
      <c r="D21" s="48">
        <f t="shared" si="6"/>
        <v>0</v>
      </c>
      <c r="E21" s="56">
        <f t="shared" si="1"/>
        <v>0</v>
      </c>
      <c r="F21" s="3017"/>
      <c r="G21" s="3018"/>
      <c r="H21" s="676">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0</v>
      </c>
    </row>
    <row r="22" spans="1:19">
      <c r="A22" s="1853"/>
      <c r="B22" s="50" t="s">
        <v>1837</v>
      </c>
      <c r="C22" s="58"/>
      <c r="D22" s="48">
        <f t="shared" si="6"/>
        <v>0</v>
      </c>
      <c r="E22" s="56">
        <f t="shared" si="1"/>
        <v>0</v>
      </c>
      <c r="F22" s="3019"/>
      <c r="G22" s="3020"/>
      <c r="H22" s="676">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1837</v>
      </c>
      <c r="C23" s="58"/>
      <c r="D23" s="48">
        <f>ROUND($D$3*E23/$E$3,2)</f>
        <v>0</v>
      </c>
      <c r="E23" s="56">
        <f>SUM(F23:G23)</f>
        <v>0</v>
      </c>
      <c r="F23" s="3019"/>
      <c r="G23" s="3020"/>
      <c r="H23" s="676">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1837</v>
      </c>
      <c r="C24" s="58"/>
      <c r="D24" s="48">
        <f>ROUND($D$3*E24/$E$3,2)</f>
        <v>0</v>
      </c>
      <c r="E24" s="56">
        <f>SUM(F24:G24)</f>
        <v>0</v>
      </c>
      <c r="F24" s="3019"/>
      <c r="G24" s="3020"/>
      <c r="H24" s="676">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1837</v>
      </c>
      <c r="C25" s="58"/>
      <c r="D25" s="48">
        <f t="shared" si="6"/>
        <v>0</v>
      </c>
      <c r="E25" s="56">
        <f t="shared" si="1"/>
        <v>0</v>
      </c>
      <c r="F25" s="3019"/>
      <c r="G25" s="3020"/>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1837</v>
      </c>
      <c r="C26" s="59"/>
      <c r="D26" s="48">
        <f t="shared" si="6"/>
        <v>0</v>
      </c>
      <c r="E26" s="56">
        <f t="shared" si="1"/>
        <v>0</v>
      </c>
      <c r="F26" s="3019"/>
      <c r="G26" s="3020"/>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1838</v>
      </c>
      <c r="D27" s="1299">
        <f>SUM(D19:D26)</f>
        <v>47924.04</v>
      </c>
      <c r="E27" s="1300">
        <f>IF(SUM(E19:E26)='数据-基础表'!BA5,SUM(E19:E26),IF(F27="地上面积有误","面积有误","地下面积有误"))</f>
        <v>96983.22</v>
      </c>
      <c r="F27" s="1299">
        <f>IF(SUM(F19:F26)=E8,SUM(F19:F26),"地上面积有误")</f>
        <v>96962.430000000008</v>
      </c>
      <c r="G27" s="1301">
        <f>SUM(G19:G26)</f>
        <v>20.79</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47924.04</v>
      </c>
      <c r="S27" s="1154">
        <f>IF(SUM(S19:S26)=$E$3,SUM(S19:S26),SUM(S19:S26)&amp;"误差"&amp;ROUND(SUM(S19:S26)-E3,2))</f>
        <v>96983.22</v>
      </c>
    </row>
    <row r="28" spans="1:19">
      <c r="A28" s="1853"/>
      <c r="B28" s="50" t="s">
        <v>1839</v>
      </c>
      <c r="C28" s="1166" t="s">
        <v>1840</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3"/>
      <c r="B29" s="50" t="s">
        <v>1839</v>
      </c>
      <c r="C29" s="1857" t="s">
        <v>1841</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3"/>
      <c r="B30" s="50"/>
      <c r="C30" s="1858" t="s">
        <v>1838</v>
      </c>
      <c r="D30" s="1299">
        <f>SUM(D28:D29)</f>
        <v>0</v>
      </c>
      <c r="E30" s="1299">
        <f>SUM(E28:E29)</f>
        <v>0</v>
      </c>
      <c r="F30" s="1299">
        <f>SUM(F28:F29)</f>
        <v>0</v>
      </c>
      <c r="G30" s="1301">
        <f>SUM(G28:G29)</f>
        <v>0</v>
      </c>
      <c r="H30" s="2877"/>
      <c r="I30" s="2877"/>
      <c r="J30" s="2877"/>
      <c r="K30" s="2877"/>
      <c r="L30" s="2877"/>
      <c r="M30" s="2877"/>
      <c r="N30" s="2877"/>
      <c r="O30" s="2877"/>
      <c r="P30" s="2877"/>
    </row>
    <row r="31" spans="1:19" ht="15.75" thickBot="1">
      <c r="A31" s="1859"/>
      <c r="B31" s="1860"/>
      <c r="C31" s="941" t="s">
        <v>1842</v>
      </c>
      <c r="D31" s="682">
        <f>D27+D30</f>
        <v>47924.04</v>
      </c>
      <c r="E31" s="682">
        <f>E27+E30</f>
        <v>96983.22</v>
      </c>
      <c r="F31" s="683">
        <f>F27+F30</f>
        <v>96962.430000000008</v>
      </c>
      <c r="G31" s="684">
        <f>G27+G30</f>
        <v>20.79</v>
      </c>
      <c r="H31" s="2877"/>
      <c r="I31" s="2877"/>
      <c r="J31" s="2877"/>
      <c r="K31" s="2877"/>
      <c r="L31" s="2877"/>
      <c r="M31" s="2877"/>
      <c r="N31" s="2877"/>
      <c r="O31" s="2877"/>
      <c r="P31" s="2877"/>
    </row>
    <row r="32" spans="1:19">
      <c r="A32" s="1825"/>
      <c r="B32" s="1825" t="s">
        <v>1843</v>
      </c>
      <c r="C32" s="1825"/>
      <c r="D32" s="1825"/>
      <c r="E32" s="1181">
        <f>SUMIF(C19:C26,"*住宅*",E19:E26)</f>
        <v>0</v>
      </c>
      <c r="F32" s="1825"/>
      <c r="G32" s="1825"/>
      <c r="H32" s="2877"/>
      <c r="I32" s="2877"/>
      <c r="J32" s="2877"/>
      <c r="K32" s="2877"/>
      <c r="L32" s="2877"/>
      <c r="M32" s="2877"/>
      <c r="N32" s="2877"/>
      <c r="O32" s="2877"/>
      <c r="P32" s="2877"/>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K42" sqref="K42"/>
      <selection pane="topRight" activeCell="K42" sqref="K42"/>
      <selection pane="bottomLeft" activeCell="K42" sqref="K42"/>
      <selection pane="bottomRight" activeCell="K6" sqref="K6"/>
    </sheetView>
  </sheetViews>
  <sheetFormatPr defaultColWidth="13.75" defaultRowHeight="12.75"/>
  <cols>
    <col min="1" max="1" width="20.875" style="1927" customWidth="1"/>
    <col min="2" max="2" width="12" style="1865" customWidth="1"/>
    <col min="3" max="3" width="12.75" style="1865" customWidth="1"/>
    <col min="4" max="4" width="9.125" style="1928"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9.3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1844</v>
      </c>
      <c r="B1" s="685"/>
      <c r="C1" s="1350"/>
      <c r="D1" s="1863"/>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1"/>
      <c r="AO1" s="2891"/>
      <c r="AP1" s="2891"/>
      <c r="AQ1" s="2891"/>
      <c r="AR1" s="2891"/>
    </row>
    <row r="2" spans="1:67" s="1742" customFormat="1" ht="15.75" thickBot="1">
      <c r="A2" s="1866" t="s">
        <v>1845</v>
      </c>
      <c r="B2" s="1173">
        <f>项目基本情况!D3</f>
        <v>44362</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3"/>
      <c r="AO2" s="2893"/>
      <c r="AP2" s="2893"/>
      <c r="AQ2" s="2893"/>
      <c r="AR2" s="2893"/>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3"/>
      <c r="AO3" s="2893"/>
      <c r="AP3" s="2893"/>
      <c r="AQ3" s="2893"/>
      <c r="AR3" s="2893"/>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1846</v>
      </c>
      <c r="B4" s="1871"/>
      <c r="C4" s="1872"/>
      <c r="D4" s="1873"/>
      <c r="E4" s="1872" t="s">
        <v>1847</v>
      </c>
      <c r="F4" s="1872"/>
      <c r="G4" s="1872"/>
      <c r="H4" s="1872"/>
      <c r="I4" s="1872"/>
      <c r="J4" s="1874"/>
      <c r="K4" s="1875"/>
      <c r="L4" s="1876"/>
      <c r="M4" s="1872"/>
      <c r="N4" s="1872" t="s">
        <v>1848</v>
      </c>
      <c r="O4" s="1872"/>
      <c r="P4" s="1872"/>
      <c r="Q4" s="1872"/>
      <c r="R4" s="1872"/>
      <c r="S4" s="1874"/>
      <c r="T4" s="2876" t="str">
        <f>'数据-汇总表'!I17</f>
        <v>按面积比例</v>
      </c>
      <c r="U4" s="1871" t="s">
        <v>1849</v>
      </c>
      <c r="V4" s="1872"/>
      <c r="W4" s="1872"/>
      <c r="X4" s="1872"/>
      <c r="Y4" s="1874"/>
      <c r="Z4" s="1834" t="s">
        <v>1850</v>
      </c>
      <c r="AA4" s="1834"/>
      <c r="AB4" s="1834"/>
      <c r="AC4" s="1834"/>
      <c r="AD4" s="1834"/>
      <c r="AE4" s="1832" t="s">
        <v>1851</v>
      </c>
      <c r="AF4" s="1834"/>
      <c r="AG4" s="1877"/>
      <c r="AH4" s="1871"/>
      <c r="AI4" s="1872"/>
      <c r="AJ4" s="1872"/>
      <c r="AK4" s="1872"/>
      <c r="AL4" s="1872"/>
      <c r="AM4" s="1874"/>
      <c r="AN4" s="2893"/>
      <c r="AO4" s="2893"/>
      <c r="AP4" s="2893"/>
      <c r="AQ4" s="2893"/>
      <c r="AR4" s="2893"/>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1852</v>
      </c>
      <c r="B5" s="1879" t="s">
        <v>1853</v>
      </c>
      <c r="C5" s="1880" t="s">
        <v>1854</v>
      </c>
      <c r="D5" s="1881" t="s">
        <v>1855</v>
      </c>
      <c r="E5" s="1175" t="s">
        <v>1856</v>
      </c>
      <c r="F5" s="1882" t="s">
        <v>1857</v>
      </c>
      <c r="G5" s="1175" t="s">
        <v>1858</v>
      </c>
      <c r="H5" s="1175" t="s">
        <v>1859</v>
      </c>
      <c r="I5" s="1175" t="s">
        <v>1860</v>
      </c>
      <c r="J5" s="1883" t="s">
        <v>1861</v>
      </c>
      <c r="K5" s="1884" t="s">
        <v>1862</v>
      </c>
      <c r="L5" s="1885" t="s">
        <v>1863</v>
      </c>
      <c r="M5" s="1886" t="s">
        <v>1864</v>
      </c>
      <c r="N5" s="1887" t="s">
        <v>3070</v>
      </c>
      <c r="O5" s="1885" t="s">
        <v>1865</v>
      </c>
      <c r="P5" s="1888" t="s">
        <v>1866</v>
      </c>
      <c r="Q5" s="65" t="s">
        <v>1867</v>
      </c>
      <c r="R5" s="1889" t="s">
        <v>1868</v>
      </c>
      <c r="S5" s="1890" t="s">
        <v>1869</v>
      </c>
      <c r="T5" s="1891" t="s">
        <v>1870</v>
      </c>
      <c r="U5" s="1174" t="s">
        <v>1871</v>
      </c>
      <c r="V5" s="1175" t="s">
        <v>1872</v>
      </c>
      <c r="W5" s="1175" t="s">
        <v>1873</v>
      </c>
      <c r="X5" s="67"/>
      <c r="Y5" s="66" t="s">
        <v>1874</v>
      </c>
      <c r="Z5" s="1892" t="s">
        <v>1871</v>
      </c>
      <c r="AA5" s="1175" t="s">
        <v>1872</v>
      </c>
      <c r="AB5" s="1175" t="s">
        <v>1873</v>
      </c>
      <c r="AC5" s="67"/>
      <c r="AD5" s="67" t="s">
        <v>1874</v>
      </c>
      <c r="AE5" s="1174" t="s">
        <v>1875</v>
      </c>
      <c r="AF5" s="1175" t="s">
        <v>1876</v>
      </c>
      <c r="AG5" s="66" t="s">
        <v>1877</v>
      </c>
      <c r="AH5" s="1174" t="s">
        <v>1878</v>
      </c>
      <c r="AI5" s="1892" t="s">
        <v>1879</v>
      </c>
      <c r="AJ5" s="1892" t="s">
        <v>1880</v>
      </c>
      <c r="AK5" s="1175" t="s">
        <v>1881</v>
      </c>
      <c r="AL5" s="1175" t="s">
        <v>1882</v>
      </c>
      <c r="AM5" s="66" t="s">
        <v>1883</v>
      </c>
      <c r="AN5" s="1893" t="s">
        <v>1884</v>
      </c>
      <c r="AO5" s="1745" t="s">
        <v>1885</v>
      </c>
      <c r="AP5" s="1156" t="s">
        <v>1886</v>
      </c>
      <c r="AQ5" s="1894" t="s">
        <v>1887</v>
      </c>
      <c r="AR5" s="1894" t="s">
        <v>1888</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2" customFormat="1" ht="14.25">
      <c r="A6" s="1895" t="str">
        <f>'数据-汇总表'!C19</f>
        <v>商业</v>
      </c>
      <c r="B6" s="1896" t="str">
        <f>IF(A6=0,"","经营性")</f>
        <v>经营性</v>
      </c>
      <c r="C6" s="1897" t="s">
        <v>1343</v>
      </c>
      <c r="D6" s="964">
        <f>SUMIF(项目基本情况!D$12:I$12,C6,项目基本情况!D$14:I$14)</f>
        <v>40</v>
      </c>
      <c r="E6" s="963">
        <f>IF(B6="","",SUMIF(项目基本情况!D$12:I$12,C6,项目基本情况!D$13:I$13))</f>
        <v>57026</v>
      </c>
      <c r="F6" s="68">
        <f>SUMIF(项目基本情况!D$12:I$12,C6,项目基本情况!D$15:I$15)</f>
        <v>34.69</v>
      </c>
      <c r="G6" s="69">
        <f>IF(ISERROR(ROUND(POWER(1+H6,D6-F6)*(POWER(1+H6,F6)-1)/(POWER(1+H6,D6)-1),3)),0,ROUND(POWER(1+H6,D6-F6)*(POWER(1+H6,F6)-1)/(POWER(1+H6,D6)-1),3))</f>
        <v>0.95099999999999996</v>
      </c>
      <c r="H6" s="738">
        <v>0.05</v>
      </c>
      <c r="I6" s="738">
        <v>5.5E-2</v>
      </c>
      <c r="J6" s="70">
        <v>8.5000000000000006E-2</v>
      </c>
      <c r="K6" s="1158">
        <f>SUMIF('数据-汇总表'!C$19:C$33,A6,'数据-汇总表'!E$19:E$33)</f>
        <v>96983.22</v>
      </c>
      <c r="L6" s="739">
        <v>4000</v>
      </c>
      <c r="M6" s="71">
        <f t="shared" ref="M6:M14" si="0">ROUND(K6*L6/10000,0)</f>
        <v>38793</v>
      </c>
      <c r="N6" s="737">
        <f>ROUND(1-(2021-2017)/60,2)</f>
        <v>0.93</v>
      </c>
      <c r="O6" s="71" t="str">
        <f>IF($N$5="成新度","——",ROUND(M6*N6,0))</f>
        <v>——</v>
      </c>
      <c r="P6" s="72" t="str">
        <f>IF($N$5="成新度","——",M6-O6)</f>
        <v>——</v>
      </c>
      <c r="Q6" s="740">
        <v>0.2</v>
      </c>
      <c r="R6" s="73">
        <f ca="1">SUMIF('数据-汇总表'!C$19:C$33,A6,'数据-汇总表'!R$19:R$27)</f>
        <v>47924.04</v>
      </c>
      <c r="S6" s="54">
        <f>IF('数据-汇总表'!$I$17="按面积比例",SUMIF('数据-汇总表'!C$19:C$33,A6,'数据-汇总表'!K$19:K$33),SUMIF('数据-汇总表'!C$19:C$33,A6,'数据-汇总表'!N$19:N$33))</f>
        <v>0</v>
      </c>
      <c r="T6" s="1331">
        <f>ROUND($L$14*S6/10000,0)</f>
        <v>0</v>
      </c>
      <c r="U6" s="3047">
        <v>2</v>
      </c>
      <c r="V6" s="75">
        <v>0.03</v>
      </c>
      <c r="W6" s="75">
        <v>0.1</v>
      </c>
      <c r="X6" s="1168"/>
      <c r="Y6" s="76">
        <f>N6</f>
        <v>0.93</v>
      </c>
      <c r="Z6" s="77"/>
      <c r="AA6" s="70"/>
      <c r="AB6" s="70"/>
      <c r="AC6" s="1168"/>
      <c r="AD6" s="78"/>
      <c r="AE6" s="1169">
        <f ca="1">IF(AN6="",0,SUMIF(INDIRECT("'"&amp;AN6&amp;"'"&amp;"!E:E"),$AE$5,INDIRECT("'"&amp;AN6&amp;"'"&amp;"!F:F")))</f>
        <v>34.69</v>
      </c>
      <c r="AF6" s="1530"/>
      <c r="AG6" s="140">
        <f>IF(AF6="",0,AE6-AF6)</f>
        <v>0</v>
      </c>
      <c r="AH6" s="79"/>
      <c r="AI6" s="81">
        <v>365</v>
      </c>
      <c r="AJ6" s="82"/>
      <c r="AK6" s="83">
        <v>1.4999999999999999E-2</v>
      </c>
      <c r="AL6" s="84">
        <v>2E-3</v>
      </c>
      <c r="AM6" s="85">
        <v>0.02</v>
      </c>
      <c r="AN6" s="1898" t="s">
        <v>3048</v>
      </c>
      <c r="AO6" s="55">
        <f ca="1">SUMIF(INDIRECT("'"&amp;AN6&amp;"'"&amp;"!A:A"),"总价",INDIRECT("'"&amp;AN6&amp;"'"&amp;"!B:B"))</f>
        <v>93756</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1889</v>
      </c>
      <c r="B14" s="1896" t="s">
        <v>1890</v>
      </c>
      <c r="C14" s="1901" t="s">
        <v>1889</v>
      </c>
      <c r="D14" s="964"/>
      <c r="E14" s="963"/>
      <c r="F14" s="68"/>
      <c r="G14" s="69"/>
      <c r="H14" s="1157"/>
      <c r="I14" s="1157"/>
      <c r="J14" s="1157"/>
      <c r="K14" s="1158">
        <f>SUMIF('数据-汇总表'!C$19:C$33,A14,'数据-汇总表'!E$19:E$33)</f>
        <v>0</v>
      </c>
      <c r="L14" s="87"/>
      <c r="M14" s="71">
        <f t="shared" si="0"/>
        <v>0</v>
      </c>
      <c r="N14" s="737"/>
      <c r="O14" s="71" t="str">
        <f t="shared" si="3"/>
        <v>——</v>
      </c>
      <c r="P14" s="72" t="str">
        <f t="shared" si="4"/>
        <v>——</v>
      </c>
      <c r="Q14" s="1161"/>
      <c r="R14" s="73"/>
      <c r="S14" s="54"/>
      <c r="T14" s="1331"/>
      <c r="U14" s="676"/>
      <c r="V14" s="1163"/>
      <c r="W14" s="1163"/>
      <c r="X14" s="1164"/>
      <c r="Y14" s="1165"/>
      <c r="Z14" s="1166"/>
      <c r="AA14" s="1167"/>
      <c r="AB14" s="1167"/>
      <c r="AC14" s="1168"/>
      <c r="AD14" s="1164"/>
      <c r="AE14" s="1169"/>
      <c r="AF14" s="55"/>
      <c r="AG14" s="140"/>
      <c r="AH14" s="1169"/>
      <c r="AI14" s="1539"/>
      <c r="AJ14" s="710"/>
      <c r="AK14" s="1170"/>
      <c r="AL14" s="1171"/>
      <c r="AM14" s="1172"/>
      <c r="AN14" s="2891"/>
      <c r="AO14" s="2893"/>
      <c r="AP14" s="2893"/>
      <c r="AQ14" s="2893"/>
      <c r="AR14" s="2893"/>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1891</v>
      </c>
      <c r="B15" s="1896" t="s">
        <v>1890</v>
      </c>
      <c r="C15" s="1901" t="s">
        <v>1892</v>
      </c>
      <c r="D15" s="964"/>
      <c r="E15" s="963"/>
      <c r="F15" s="68"/>
      <c r="G15" s="69"/>
      <c r="H15" s="1157"/>
      <c r="I15" s="1157"/>
      <c r="J15" s="1157"/>
      <c r="K15" s="1158">
        <f>SUMIF('数据-汇总表'!C$19:C$33,A15,'数据-汇总表'!E$19:E$33)</f>
        <v>0</v>
      </c>
      <c r="L15" s="1159"/>
      <c r="M15" s="71"/>
      <c r="N15" s="1160"/>
      <c r="O15" s="71"/>
      <c r="P15" s="72"/>
      <c r="Q15" s="1161"/>
      <c r="R15" s="73"/>
      <c r="S15" s="54"/>
      <c r="T15" s="1331"/>
      <c r="U15" s="676"/>
      <c r="V15" s="1163"/>
      <c r="W15" s="1163"/>
      <c r="X15" s="1164"/>
      <c r="Y15" s="1165"/>
      <c r="Z15" s="1166"/>
      <c r="AA15" s="1167"/>
      <c r="AB15" s="1167"/>
      <c r="AC15" s="1168"/>
      <c r="AD15" s="1164"/>
      <c r="AE15" s="1169"/>
      <c r="AF15" s="55"/>
      <c r="AG15" s="140"/>
      <c r="AH15" s="1169"/>
      <c r="AI15" s="1539"/>
      <c r="AJ15" s="710"/>
      <c r="AK15" s="1170"/>
      <c r="AL15" s="1171"/>
      <c r="AM15" s="1172"/>
      <c r="AN15" s="2891"/>
      <c r="AO15" s="2893"/>
      <c r="AP15" s="2893"/>
      <c r="AQ15" s="2893"/>
      <c r="AR15" s="2893"/>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1893</v>
      </c>
      <c r="B16" s="93"/>
      <c r="C16" s="939"/>
      <c r="D16" s="1903"/>
      <c r="E16" s="93"/>
      <c r="F16" s="93"/>
      <c r="G16" s="94">
        <f>ROUND(SUMPRODUCT(G6:G13,K6:K13)/SUMPRODUCT((G6:G13&gt;0)*(K6:K13)),3)</f>
        <v>0.95099999999999996</v>
      </c>
      <c r="H16" s="95">
        <f>ROUND(SUMPRODUCT(H6:H13,K6:K13)/SUMPRODUCT((H6:H13&gt;0)*(K6:K13)),3)</f>
        <v>0.05</v>
      </c>
      <c r="I16" s="96"/>
      <c r="J16" s="96"/>
      <c r="K16" s="97">
        <f>SUM(K6:K15)</f>
        <v>96983.22</v>
      </c>
      <c r="L16" s="98">
        <f>ROUND(M16*10000/SUM(K6:K14),0)</f>
        <v>4000</v>
      </c>
      <c r="M16" s="98">
        <f>SUM(M6:M14)</f>
        <v>38793</v>
      </c>
      <c r="N16" s="99">
        <f>ROUND(SUMPRODUCT(M6:M14,N6:N14)/M16,3)</f>
        <v>0.93</v>
      </c>
      <c r="O16" s="98">
        <f>SUM(O6:O14)</f>
        <v>0</v>
      </c>
      <c r="P16" s="98">
        <f>SUM(P6:P14)</f>
        <v>0</v>
      </c>
      <c r="Q16" s="100">
        <f>ROUND(SUMPRODUCT(Q6:Q13,K6:K13)/SUMPRODUCT((Q6:Q13&gt;0)*(K6:K13)),2)</f>
        <v>0.2</v>
      </c>
      <c r="R16" s="1162">
        <f ca="1">SUM(R6:R13)</f>
        <v>47924.04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1894</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5" t="s">
        <v>1895</v>
      </c>
      <c r="B19" s="108">
        <v>0</v>
      </c>
      <c r="C19" s="3021" t="s">
        <v>3033</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6" t="s">
        <v>1896</v>
      </c>
      <c r="B20" s="109">
        <v>2</v>
      </c>
      <c r="C20" s="3022" t="s">
        <v>3031</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7" t="s">
        <v>1897</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6" t="s">
        <v>1898</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7" t="s">
        <v>1899</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8" t="s">
        <v>1900</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0"/>
      <c r="B25" s="1870"/>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6" t="s">
        <v>1901</v>
      </c>
      <c r="B26" s="1909" t="s">
        <v>1902</v>
      </c>
      <c r="C26" s="2897" t="s">
        <v>1903</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1" customFormat="1" ht="27.75">
      <c r="A27" s="1910" t="s">
        <v>1904</v>
      </c>
      <c r="B27" s="3056"/>
      <c r="C27" s="3023" t="s">
        <v>3035</v>
      </c>
      <c r="D27" s="2899"/>
      <c r="E27" s="2879" t="s">
        <v>3178</v>
      </c>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1905</v>
      </c>
      <c r="B28" s="3064">
        <v>45</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1906</v>
      </c>
      <c r="B29" s="116">
        <f>ROUND(B28*K16/10000,0)</f>
        <v>436</v>
      </c>
      <c r="C29" s="3024" t="s">
        <v>3022</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1907</v>
      </c>
      <c r="B30" s="677">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1908</v>
      </c>
      <c r="B31" s="115">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1909</v>
      </c>
      <c r="B32" s="678">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1910</v>
      </c>
      <c r="B33" s="679">
        <v>0.05</v>
      </c>
      <c r="C33" s="3025" t="s">
        <v>3023</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1911</v>
      </c>
      <c r="B34" s="117">
        <v>0</v>
      </c>
      <c r="C34" s="3025" t="s">
        <v>3024</v>
      </c>
      <c r="D34" s="2904" t="s">
        <v>3032</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1912</v>
      </c>
      <c r="B35" s="114">
        <v>200</v>
      </c>
      <c r="C35" s="3025" t="s">
        <v>3025</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1913</v>
      </c>
      <c r="B36" s="118">
        <v>1.4999999999999999E-2</v>
      </c>
      <c r="C36" s="3025" t="s">
        <v>3026</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4" t="s">
        <v>1914</v>
      </c>
      <c r="B37" s="119">
        <v>0.02</v>
      </c>
      <c r="C37" s="3025" t="s">
        <v>3027</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2" t="s">
        <v>1915</v>
      </c>
      <c r="B38" s="117">
        <v>0.02</v>
      </c>
      <c r="C38" s="3025" t="s">
        <v>3027</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5" t="s">
        <v>1916</v>
      </c>
      <c r="B39" s="320">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3071</v>
      </c>
      <c r="B40" s="1207">
        <f ca="1">IF(A40="利息：取LPR",存贷款利率!G1,存贷款利率!G1+C40)</f>
        <v>4.3499999999999997E-2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0" t="s">
        <v>1917</v>
      </c>
      <c r="B41" s="120">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6" t="s">
        <v>1918</v>
      </c>
      <c r="B42" s="121">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6" t="s">
        <v>1919</v>
      </c>
      <c r="B43" s="122">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7" t="s">
        <v>1920</v>
      </c>
      <c r="B44" s="3057">
        <v>0.05</v>
      </c>
      <c r="C44" s="3025" t="s">
        <v>3036</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7" t="s">
        <v>1921</v>
      </c>
      <c r="B45" s="121">
        <v>0.03</v>
      </c>
      <c r="C45" s="3024" t="s">
        <v>3028</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7" t="s">
        <v>1922</v>
      </c>
      <c r="B46" s="121">
        <v>0.02</v>
      </c>
      <c r="C46" s="3024" t="s">
        <v>3029</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8" t="s">
        <v>1923</v>
      </c>
      <c r="B47" s="123">
        <v>0</v>
      </c>
      <c r="C47" s="3027" t="s">
        <v>3037</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9" t="s">
        <v>1924</v>
      </c>
      <c r="B48" s="3065">
        <v>0.03</v>
      </c>
      <c r="C48" s="3024" t="s">
        <v>3028</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5" t="s">
        <v>1925</v>
      </c>
      <c r="B49" s="121">
        <v>5.0000000000000001E-4</v>
      </c>
      <c r="C49" s="3024" t="s">
        <v>3030</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0" t="s">
        <v>1926</v>
      </c>
      <c r="B50" s="124">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3" t="s">
        <v>1927</v>
      </c>
      <c r="B51" s="125">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0" t="s">
        <v>1928</v>
      </c>
      <c r="B52" s="126">
        <f>SUMIF(A54:A63,B53,B54:B63)</f>
        <v>8</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2" t="s">
        <v>1929</v>
      </c>
      <c r="B53" s="3058" t="s">
        <v>212</v>
      </c>
      <c r="C53" s="2879" t="s">
        <v>1930</v>
      </c>
      <c r="D53" s="3026" t="s">
        <v>3034</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1" t="s">
        <v>1931</v>
      </c>
      <c r="B54" s="80">
        <v>8</v>
      </c>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t="s">
        <v>3291</v>
      </c>
      <c r="AD54" s="2891"/>
      <c r="AE54" s="2891"/>
      <c r="AF54" s="2891"/>
      <c r="AG54" s="2891"/>
      <c r="AH54" s="2891"/>
      <c r="AI54" s="2891"/>
      <c r="AJ54" s="2891"/>
      <c r="AK54" s="2891"/>
      <c r="AL54" s="2891"/>
      <c r="AM54" s="2891"/>
      <c r="AN54" s="2891"/>
      <c r="AO54" s="2891"/>
      <c r="AP54" s="2891"/>
      <c r="AQ54" s="2891"/>
      <c r="AR54" s="2891"/>
    </row>
    <row r="55" spans="1:44" ht="14.25">
      <c r="A55" s="1921" t="s">
        <v>1932</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t="s">
        <v>3292</v>
      </c>
      <c r="AD55" s="2891"/>
      <c r="AE55" s="2891"/>
      <c r="AF55" s="2891"/>
      <c r="AG55" s="2891"/>
      <c r="AH55" s="2891"/>
      <c r="AI55" s="2891"/>
      <c r="AJ55" s="2891"/>
      <c r="AK55" s="2891"/>
      <c r="AL55" s="2891"/>
      <c r="AM55" s="2891"/>
      <c r="AN55" s="2891"/>
      <c r="AO55" s="2891"/>
      <c r="AP55" s="2891"/>
      <c r="AQ55" s="2891"/>
      <c r="AR55" s="2891"/>
    </row>
    <row r="56" spans="1:44" ht="14.25">
      <c r="A56" s="1921" t="s">
        <v>1933</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t="s">
        <v>3293</v>
      </c>
      <c r="AD56" s="2891"/>
      <c r="AE56" s="2891"/>
      <c r="AF56" s="2891"/>
      <c r="AG56" s="2891"/>
      <c r="AH56" s="2891"/>
      <c r="AI56" s="2891"/>
      <c r="AJ56" s="2891"/>
      <c r="AK56" s="2891"/>
      <c r="AL56" s="2891"/>
      <c r="AM56" s="2891"/>
      <c r="AN56" s="2891"/>
      <c r="AO56" s="2891"/>
      <c r="AP56" s="2891"/>
      <c r="AQ56" s="2891"/>
      <c r="AR56" s="2891"/>
    </row>
    <row r="57" spans="1:44" ht="14.25">
      <c r="A57" s="1921" t="s">
        <v>1934</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t="s">
        <v>3294</v>
      </c>
      <c r="AD57" s="2891"/>
      <c r="AE57" s="2891"/>
      <c r="AF57" s="2891"/>
      <c r="AG57" s="2891"/>
      <c r="AH57" s="2891"/>
      <c r="AI57" s="2891"/>
      <c r="AJ57" s="2891"/>
      <c r="AK57" s="2891"/>
      <c r="AL57" s="2891"/>
      <c r="AM57" s="2891"/>
      <c r="AN57" s="2891"/>
      <c r="AO57" s="2891"/>
      <c r="AP57" s="2891"/>
      <c r="AQ57" s="2891"/>
      <c r="AR57" s="2891"/>
    </row>
    <row r="58" spans="1:44" ht="14.25">
      <c r="A58" s="1921" t="s">
        <v>1935</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1" t="s">
        <v>1936</v>
      </c>
      <c r="B59" s="80"/>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1" t="s">
        <v>1937</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1" t="s">
        <v>1938</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1" t="s">
        <v>1939</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2" t="s">
        <v>1940</v>
      </c>
      <c r="B63" s="127"/>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8"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8"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8"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8"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8"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8" customFormat="1">
      <c r="A69" s="1923"/>
      <c r="D69" s="1924"/>
      <c r="K69" s="734"/>
      <c r="L69" s="734"/>
    </row>
    <row r="70" spans="1:44" s="898" customFormat="1">
      <c r="A70" s="1923"/>
      <c r="D70" s="1924"/>
      <c r="K70" s="734"/>
      <c r="L70" s="734"/>
    </row>
    <row r="71" spans="1:44" s="898" customFormat="1">
      <c r="A71" s="1923"/>
      <c r="D71" s="1924"/>
      <c r="K71" s="734"/>
      <c r="L71" s="734"/>
    </row>
    <row r="72" spans="1:44" s="898" customFormat="1">
      <c r="A72" s="1923"/>
      <c r="D72" s="1924"/>
      <c r="K72" s="734"/>
      <c r="L72" s="734"/>
    </row>
    <row r="73" spans="1:44" s="898" customFormat="1">
      <c r="A73" s="1923"/>
      <c r="D73" s="1924"/>
      <c r="K73" s="734"/>
      <c r="L73" s="734"/>
    </row>
    <row r="74" spans="1:44" s="898" customFormat="1">
      <c r="A74" s="1923"/>
      <c r="D74" s="1924"/>
      <c r="K74" s="734"/>
      <c r="L74" s="734"/>
    </row>
    <row r="75" spans="1:44" s="898" customFormat="1">
      <c r="A75" s="1923"/>
      <c r="D75" s="1924"/>
      <c r="K75" s="734"/>
      <c r="L75" s="734"/>
    </row>
    <row r="76" spans="1:44" s="898" customFormat="1">
      <c r="A76" s="1923"/>
      <c r="D76" s="1924"/>
      <c r="K76" s="734"/>
      <c r="L76" s="734"/>
    </row>
    <row r="77" spans="1:44" s="898" customFormat="1">
      <c r="A77" s="1923"/>
      <c r="D77" s="1924"/>
      <c r="K77" s="734"/>
      <c r="L77" s="734"/>
    </row>
    <row r="78" spans="1:44" s="898" customFormat="1">
      <c r="A78" s="1923"/>
      <c r="D78" s="1924"/>
      <c r="K78" s="734"/>
      <c r="L78" s="734"/>
    </row>
    <row r="79" spans="1:44" s="898" customFormat="1">
      <c r="A79" s="1923"/>
      <c r="D79" s="1924"/>
      <c r="K79" s="734"/>
      <c r="L79" s="734"/>
    </row>
    <row r="80" spans="1:44" s="898" customFormat="1">
      <c r="A80" s="1923"/>
      <c r="D80" s="1924"/>
      <c r="K80" s="734"/>
      <c r="L80" s="734"/>
    </row>
    <row r="81" spans="1:12" s="898" customFormat="1">
      <c r="A81" s="1923"/>
      <c r="D81" s="1924"/>
      <c r="K81" s="734"/>
      <c r="L81" s="734"/>
    </row>
    <row r="82" spans="1:12" s="898" customFormat="1">
      <c r="A82" s="1923"/>
      <c r="D82" s="1924"/>
      <c r="K82" s="734"/>
      <c r="L82" s="734"/>
    </row>
    <row r="83" spans="1:12" s="898" customFormat="1">
      <c r="A83" s="1923"/>
      <c r="D83" s="1924"/>
      <c r="K83" s="734"/>
      <c r="L83" s="734"/>
    </row>
    <row r="84" spans="1:12" s="898" customFormat="1">
      <c r="A84" s="1923"/>
      <c r="D84" s="1924"/>
      <c r="K84" s="734"/>
      <c r="L84" s="734"/>
    </row>
    <row r="85" spans="1:12" s="898" customFormat="1">
      <c r="A85" s="1923"/>
      <c r="D85" s="1924"/>
      <c r="K85" s="734"/>
      <c r="L85" s="734"/>
    </row>
    <row r="86" spans="1:12" s="898" customFormat="1">
      <c r="A86" s="1923"/>
      <c r="D86" s="1924"/>
      <c r="K86" s="734"/>
      <c r="L86" s="734"/>
    </row>
    <row r="87" spans="1:12" s="898" customFormat="1">
      <c r="A87" s="1923"/>
      <c r="D87" s="1924"/>
      <c r="K87" s="734"/>
      <c r="L87" s="734"/>
    </row>
    <row r="88" spans="1:12" s="898" customFormat="1">
      <c r="A88" s="1923"/>
      <c r="D88" s="1924"/>
      <c r="K88" s="734"/>
      <c r="L88" s="734"/>
    </row>
    <row r="89" spans="1:12" s="898" customFormat="1">
      <c r="A89" s="1923"/>
      <c r="D89" s="1924"/>
      <c r="K89" s="734"/>
      <c r="L89" s="734"/>
    </row>
    <row r="90" spans="1:12" s="898" customFormat="1">
      <c r="A90" s="1923"/>
      <c r="D90" s="1924"/>
      <c r="K90" s="734"/>
      <c r="L90" s="734"/>
    </row>
    <row r="91" spans="1:12" s="898" customFormat="1">
      <c r="A91" s="1923"/>
      <c r="D91" s="1924"/>
      <c r="K91" s="734"/>
      <c r="L91" s="734"/>
    </row>
    <row r="92" spans="1:12" s="898" customFormat="1">
      <c r="A92" s="1923"/>
      <c r="D92" s="1924"/>
      <c r="K92" s="734"/>
      <c r="L92" s="734"/>
    </row>
    <row r="93" spans="1:12" s="898" customFormat="1">
      <c r="A93" s="1923"/>
      <c r="D93" s="1924"/>
      <c r="K93" s="734"/>
      <c r="L93" s="734"/>
    </row>
    <row r="94" spans="1:12" s="898" customFormat="1">
      <c r="A94" s="1923"/>
      <c r="D94" s="1924"/>
      <c r="K94" s="734"/>
      <c r="L94" s="734"/>
    </row>
    <row r="95" spans="1:12" s="898" customFormat="1">
      <c r="A95" s="1923"/>
      <c r="D95" s="1924"/>
      <c r="K95" s="734"/>
      <c r="L95" s="734"/>
    </row>
    <row r="96" spans="1:12" s="898" customFormat="1">
      <c r="A96" s="1923"/>
      <c r="D96" s="1924"/>
      <c r="K96" s="734"/>
      <c r="L96" s="734"/>
    </row>
    <row r="97" spans="1:12" s="898" customFormat="1">
      <c r="A97" s="1923"/>
      <c r="D97" s="1924"/>
      <c r="K97" s="734"/>
      <c r="L97" s="734"/>
    </row>
    <row r="98" spans="1:12" s="898" customFormat="1">
      <c r="A98" s="1923"/>
      <c r="D98" s="1924"/>
      <c r="K98" s="734"/>
      <c r="L98" s="734"/>
    </row>
    <row r="99" spans="1:12" s="898" customFormat="1">
      <c r="A99" s="1923"/>
      <c r="D99" s="1924"/>
      <c r="K99" s="734"/>
      <c r="L99" s="734"/>
    </row>
    <row r="100" spans="1:12" s="898" customFormat="1">
      <c r="A100" s="1923"/>
      <c r="D100" s="1924"/>
      <c r="K100" s="734"/>
      <c r="L100" s="734"/>
    </row>
    <row r="101" spans="1:12" s="898" customFormat="1">
      <c r="A101" s="1923"/>
      <c r="D101" s="1924"/>
      <c r="K101" s="734"/>
      <c r="L101" s="734"/>
    </row>
    <row r="102" spans="1:12" s="898" customFormat="1">
      <c r="A102" s="1923"/>
      <c r="D102" s="1924"/>
      <c r="K102" s="734"/>
      <c r="L102" s="734"/>
    </row>
    <row r="103" spans="1:12" s="898" customFormat="1">
      <c r="A103" s="1923"/>
      <c r="D103" s="1924"/>
      <c r="K103" s="734"/>
      <c r="L103" s="734"/>
    </row>
    <row r="104" spans="1:12" s="898" customFormat="1">
      <c r="A104" s="1923"/>
      <c r="D104" s="1924"/>
      <c r="K104" s="734"/>
      <c r="L104" s="734"/>
    </row>
    <row r="105" spans="1:12" s="898" customFormat="1">
      <c r="A105" s="1923"/>
      <c r="D105" s="1924"/>
      <c r="K105" s="734"/>
      <c r="L105" s="734"/>
    </row>
    <row r="106" spans="1:12" s="898" customFormat="1">
      <c r="A106" s="1923"/>
      <c r="D106" s="1924"/>
      <c r="K106" s="734"/>
      <c r="L106" s="734"/>
    </row>
    <row r="107" spans="1:12" s="898" customFormat="1">
      <c r="A107" s="1923"/>
      <c r="D107" s="1924"/>
      <c r="K107" s="734"/>
      <c r="L107" s="734"/>
    </row>
    <row r="108" spans="1:12" s="898" customFormat="1">
      <c r="A108" s="1923"/>
      <c r="D108" s="1924"/>
      <c r="K108" s="734"/>
      <c r="L108" s="734"/>
    </row>
    <row r="109" spans="1:12" s="898" customFormat="1">
      <c r="A109" s="1923"/>
      <c r="D109" s="1924"/>
      <c r="K109" s="734"/>
      <c r="L109" s="734"/>
    </row>
    <row r="110" spans="1:12" s="898" customFormat="1">
      <c r="A110" s="1923"/>
      <c r="D110" s="1924"/>
      <c r="K110" s="734"/>
      <c r="L110" s="734"/>
    </row>
    <row r="111" spans="1:12" s="898" customFormat="1">
      <c r="A111" s="1923"/>
      <c r="D111" s="1924"/>
      <c r="K111" s="734"/>
      <c r="L111" s="734"/>
    </row>
    <row r="112" spans="1:12" s="898" customFormat="1">
      <c r="A112" s="1923"/>
      <c r="D112" s="1924"/>
      <c r="K112" s="734"/>
      <c r="L112" s="734"/>
    </row>
    <row r="113" spans="1:12" s="898" customFormat="1">
      <c r="A113" s="1923"/>
      <c r="D113" s="1924"/>
      <c r="K113" s="734"/>
      <c r="L113" s="734"/>
    </row>
    <row r="114" spans="1:12" s="898" customFormat="1">
      <c r="A114" s="1923"/>
      <c r="D114" s="1924"/>
      <c r="K114" s="734"/>
      <c r="L114" s="734"/>
    </row>
    <row r="115" spans="1:12" s="898" customFormat="1">
      <c r="A115" s="1923"/>
      <c r="D115" s="1924"/>
      <c r="K115" s="734"/>
      <c r="L115" s="734"/>
    </row>
    <row r="116" spans="1:12" s="898" customFormat="1">
      <c r="A116" s="1923"/>
      <c r="D116" s="1924"/>
      <c r="K116" s="734"/>
      <c r="L116" s="734"/>
    </row>
    <row r="117" spans="1:12" s="898" customFormat="1">
      <c r="A117" s="1923"/>
      <c r="D117" s="1924"/>
      <c r="K117" s="734"/>
      <c r="L117" s="734"/>
    </row>
    <row r="118" spans="1:12" s="898" customFormat="1">
      <c r="A118" s="1923"/>
      <c r="D118" s="1924"/>
      <c r="K118" s="734"/>
      <c r="L118" s="734"/>
    </row>
    <row r="119" spans="1:12" s="898" customFormat="1">
      <c r="A119" s="1923"/>
      <c r="D119" s="1924"/>
      <c r="K119" s="734"/>
      <c r="L119" s="734"/>
    </row>
    <row r="120" spans="1:12" s="898" customFormat="1">
      <c r="A120" s="1923"/>
      <c r="D120" s="1924"/>
      <c r="K120" s="734"/>
      <c r="L120" s="734"/>
    </row>
    <row r="121" spans="1:12" s="898" customFormat="1">
      <c r="A121" s="1923"/>
      <c r="D121" s="1924"/>
      <c r="K121" s="734"/>
      <c r="L121" s="734"/>
    </row>
    <row r="122" spans="1:12" s="898" customFormat="1">
      <c r="A122" s="1923"/>
      <c r="D122" s="1924"/>
      <c r="K122" s="734"/>
      <c r="L122" s="734"/>
    </row>
    <row r="123" spans="1:12" s="898" customFormat="1">
      <c r="A123" s="1923"/>
      <c r="D123" s="1924"/>
      <c r="K123" s="734"/>
      <c r="L123" s="734"/>
    </row>
    <row r="124" spans="1:12" s="898" customFormat="1">
      <c r="A124" s="1923"/>
      <c r="D124" s="1924"/>
      <c r="K124" s="734"/>
      <c r="L124" s="734"/>
    </row>
    <row r="125" spans="1:12" s="898" customFormat="1">
      <c r="A125" s="1923"/>
      <c r="D125" s="1924"/>
      <c r="K125" s="734"/>
      <c r="L125" s="734"/>
    </row>
    <row r="126" spans="1:12" s="898" customFormat="1">
      <c r="A126" s="1923"/>
      <c r="D126" s="1924"/>
      <c r="K126" s="734"/>
      <c r="L126" s="734"/>
    </row>
    <row r="127" spans="1:12" s="898" customFormat="1">
      <c r="A127" s="1923"/>
      <c r="D127" s="1924"/>
      <c r="K127" s="734"/>
      <c r="L127" s="734"/>
    </row>
    <row r="128" spans="1:12" s="898" customFormat="1">
      <c r="A128" s="1923"/>
      <c r="D128" s="1924"/>
      <c r="K128" s="734"/>
      <c r="L128" s="734"/>
    </row>
    <row r="129" spans="1:12" s="898" customFormat="1">
      <c r="A129" s="1923"/>
      <c r="D129" s="1924"/>
      <c r="K129" s="734"/>
      <c r="L129" s="734"/>
    </row>
    <row r="130" spans="1:12" s="898" customFormat="1">
      <c r="A130" s="1923"/>
      <c r="D130" s="1924"/>
      <c r="K130" s="734"/>
      <c r="L130" s="734"/>
    </row>
    <row r="131" spans="1:12" s="898" customFormat="1">
      <c r="A131" s="1923"/>
      <c r="D131" s="1924"/>
      <c r="K131" s="734"/>
      <c r="L131" s="734"/>
    </row>
    <row r="132" spans="1:12" s="898" customFormat="1">
      <c r="A132" s="1923"/>
      <c r="D132" s="1924"/>
      <c r="K132" s="734"/>
      <c r="L132" s="734"/>
    </row>
    <row r="133" spans="1:12" s="898" customFormat="1">
      <c r="A133" s="1923"/>
      <c r="D133" s="1924"/>
      <c r="K133" s="734"/>
      <c r="L133" s="734"/>
    </row>
    <row r="134" spans="1:12" s="1864" customFormat="1">
      <c r="A134" s="1925"/>
      <c r="D134" s="1926"/>
      <c r="K134" s="27"/>
      <c r="L134" s="27"/>
    </row>
    <row r="135" spans="1:12" s="1864" customFormat="1">
      <c r="A135" s="1925"/>
      <c r="D135" s="1926"/>
      <c r="K135" s="27"/>
      <c r="L135" s="27"/>
    </row>
    <row r="136" spans="1:12" s="1864" customFormat="1">
      <c r="A136" s="1925"/>
      <c r="D136" s="1926"/>
      <c r="K136" s="27"/>
      <c r="L136" s="27"/>
    </row>
    <row r="137" spans="1:12" s="1864" customFormat="1">
      <c r="A137" s="1925"/>
      <c r="D137" s="1926"/>
      <c r="K137" s="27"/>
      <c r="L137" s="27"/>
    </row>
    <row r="138" spans="1:12" s="1864" customFormat="1">
      <c r="A138" s="1925"/>
      <c r="D138" s="1926"/>
      <c r="K138" s="27"/>
      <c r="L138" s="27"/>
    </row>
    <row r="139" spans="1:12" s="1864" customFormat="1">
      <c r="A139" s="1925"/>
      <c r="D139" s="1926"/>
      <c r="K139" s="27"/>
      <c r="L139" s="27"/>
    </row>
    <row r="140" spans="1:12" s="1864" customFormat="1">
      <c r="A140" s="1925"/>
      <c r="D140" s="1926"/>
      <c r="K140" s="27"/>
      <c r="L140" s="27"/>
    </row>
    <row r="141" spans="1:12" s="1864" customFormat="1">
      <c r="A141" s="1925"/>
      <c r="D141" s="1926"/>
      <c r="K141" s="27"/>
      <c r="L141" s="27"/>
    </row>
    <row r="142" spans="1:12" s="1864" customFormat="1">
      <c r="A142" s="1925"/>
      <c r="D142" s="1926"/>
      <c r="K142" s="27"/>
      <c r="L142" s="27"/>
    </row>
    <row r="143" spans="1:12" s="1864" customFormat="1">
      <c r="A143" s="1925"/>
      <c r="D143" s="1926"/>
      <c r="K143" s="27"/>
      <c r="L143" s="27"/>
    </row>
    <row r="144" spans="1:12" s="1864" customFormat="1">
      <c r="A144" s="1925"/>
      <c r="D144" s="1926"/>
      <c r="K144" s="27"/>
      <c r="L144" s="27"/>
    </row>
    <row r="145" spans="1:12" s="1864" customFormat="1">
      <c r="A145" s="1925"/>
      <c r="D145" s="1926"/>
      <c r="K145" s="27"/>
      <c r="L145" s="27"/>
    </row>
    <row r="146" spans="1:12" s="1864" customFormat="1">
      <c r="A146" s="1925"/>
      <c r="D146" s="1926"/>
      <c r="K146" s="27"/>
      <c r="L146" s="27"/>
    </row>
    <row r="147" spans="1:12" s="1864" customFormat="1">
      <c r="A147" s="1925"/>
      <c r="D147" s="1926"/>
      <c r="K147" s="27"/>
      <c r="L147" s="27"/>
    </row>
    <row r="148" spans="1:12" s="1864" customFormat="1">
      <c r="A148" s="1925"/>
      <c r="D148" s="1926"/>
      <c r="K148" s="27"/>
      <c r="L148" s="27"/>
    </row>
    <row r="149" spans="1:12" s="1864" customFormat="1">
      <c r="A149" s="1925"/>
      <c r="D149" s="1926"/>
      <c r="K149" s="27"/>
      <c r="L149" s="27"/>
    </row>
    <row r="150" spans="1:12" s="1864" customFormat="1">
      <c r="A150" s="1925"/>
      <c r="D150" s="1926"/>
      <c r="K150" s="27"/>
      <c r="L150" s="27"/>
    </row>
    <row r="151" spans="1:12" s="1864" customFormat="1">
      <c r="A151" s="1925"/>
      <c r="D151" s="1926"/>
      <c r="K151" s="27"/>
      <c r="L151" s="27"/>
    </row>
    <row r="152" spans="1:12" s="1864" customFormat="1">
      <c r="A152" s="1925"/>
      <c r="D152" s="1926"/>
      <c r="K152" s="27"/>
      <c r="L152" s="27"/>
    </row>
    <row r="153" spans="1:12" s="1864" customFormat="1">
      <c r="A153" s="1925"/>
      <c r="D153" s="1926"/>
      <c r="K153" s="27"/>
      <c r="L153" s="27"/>
    </row>
    <row r="154" spans="1:12" s="1864" customFormat="1">
      <c r="A154" s="1925"/>
      <c r="D154" s="1926"/>
      <c r="K154" s="27"/>
      <c r="L154" s="27"/>
    </row>
    <row r="155" spans="1:12" s="1864" customFormat="1">
      <c r="A155" s="1925"/>
      <c r="D155" s="1926"/>
      <c r="K155" s="27"/>
      <c r="L155" s="27"/>
    </row>
    <row r="156" spans="1:12" s="1864" customFormat="1">
      <c r="A156" s="1925"/>
      <c r="D156" s="1926"/>
      <c r="K156" s="27"/>
      <c r="L156" s="27"/>
    </row>
    <row r="157" spans="1:12" s="1864" customFormat="1">
      <c r="A157" s="1925"/>
      <c r="D157" s="1926"/>
      <c r="K157" s="27"/>
      <c r="L157" s="27"/>
    </row>
    <row r="158" spans="1:12" s="1864" customFormat="1">
      <c r="A158" s="1925"/>
      <c r="D158" s="1926"/>
      <c r="K158" s="27"/>
      <c r="L158" s="27"/>
    </row>
    <row r="159" spans="1:12" s="1864" customFormat="1">
      <c r="A159" s="1925"/>
      <c r="D159" s="1926"/>
      <c r="K159" s="27"/>
      <c r="L159" s="27"/>
    </row>
    <row r="160" spans="1:12" s="1864" customFormat="1">
      <c r="A160" s="1925"/>
      <c r="D160" s="1926"/>
      <c r="K160" s="27"/>
      <c r="L160" s="27"/>
    </row>
    <row r="161" spans="1:12" s="1864" customFormat="1">
      <c r="A161" s="1925"/>
      <c r="D161" s="1926"/>
      <c r="K161" s="27"/>
      <c r="L161" s="27"/>
    </row>
    <row r="162" spans="1:12" s="1864" customFormat="1">
      <c r="A162" s="1925"/>
      <c r="D162" s="1926"/>
      <c r="K162" s="27"/>
      <c r="L162" s="27"/>
    </row>
    <row r="163" spans="1:12" s="1864" customFormat="1">
      <c r="A163" s="1925"/>
      <c r="D163" s="1926"/>
      <c r="K163" s="27"/>
      <c r="L163" s="27"/>
    </row>
    <row r="164" spans="1:12" s="1864" customFormat="1">
      <c r="A164" s="1925"/>
      <c r="D164" s="1926"/>
      <c r="K164" s="27"/>
      <c r="L164" s="27"/>
    </row>
    <row r="165" spans="1:12" s="1864" customFormat="1">
      <c r="A165" s="1925"/>
      <c r="D165" s="1926"/>
      <c r="K165" s="27"/>
      <c r="L165" s="27"/>
    </row>
    <row r="166" spans="1:12" s="1864" customFormat="1">
      <c r="A166" s="1925"/>
      <c r="D166" s="1926"/>
      <c r="K166" s="27"/>
      <c r="L166" s="27"/>
    </row>
    <row r="167" spans="1:12" s="1864" customFormat="1">
      <c r="A167" s="1925"/>
      <c r="D167" s="1926"/>
      <c r="K167" s="27"/>
      <c r="L167" s="27"/>
    </row>
    <row r="168" spans="1:12" s="1864" customFormat="1">
      <c r="A168" s="1925"/>
      <c r="D168" s="1926"/>
      <c r="K168" s="27"/>
      <c r="L168" s="27"/>
    </row>
    <row r="169" spans="1:12" s="1864" customFormat="1">
      <c r="A169" s="1925"/>
      <c r="D169" s="1926"/>
      <c r="K169" s="27"/>
      <c r="L169" s="27"/>
    </row>
    <row r="170" spans="1:12" s="1864" customFormat="1">
      <c r="A170" s="1925"/>
      <c r="D170" s="1926"/>
      <c r="K170" s="27"/>
      <c r="L170" s="27"/>
    </row>
    <row r="171" spans="1:12" s="1864" customFormat="1">
      <c r="A171" s="1925"/>
      <c r="D171" s="1926"/>
      <c r="K171" s="27"/>
      <c r="L171" s="27"/>
    </row>
    <row r="172" spans="1:12" s="1864" customFormat="1">
      <c r="A172" s="1925"/>
      <c r="D172" s="1926"/>
      <c r="K172" s="27"/>
      <c r="L172" s="27"/>
    </row>
    <row r="173" spans="1:12" s="1864" customFormat="1">
      <c r="A173" s="1925"/>
      <c r="D173" s="1926"/>
      <c r="K173" s="27"/>
      <c r="L173" s="27"/>
    </row>
    <row r="174" spans="1:12" s="1864"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42" sqref="K42"/>
      <selection pane="topRight" activeCell="K42" sqref="K42"/>
      <selection pane="bottomLeft" activeCell="K42" sqref="K42"/>
      <selection pane="bottomRight" activeCell="C20" sqref="C20"/>
    </sheetView>
  </sheetViews>
  <sheetFormatPr defaultColWidth="9" defaultRowHeight="14.25"/>
  <cols>
    <col min="1" max="1" width="9.5" style="1869" customWidth="1"/>
    <col min="2" max="2" width="24.5" style="1754" customWidth="1"/>
    <col min="3" max="3" width="24.5" style="2727" customWidth="1"/>
    <col min="4" max="4" width="2.625" style="2727" customWidth="1"/>
    <col min="5" max="5" width="5.875" style="2727" customWidth="1"/>
    <col min="6" max="6" width="27" style="1754"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4"/>
    <col min="30" max="16384" width="9" style="1869"/>
  </cols>
  <sheetData>
    <row r="1" spans="1:29" s="2675" customFormat="1" ht="18.75" thickBot="1">
      <c r="A1" s="3170" t="s">
        <v>3014</v>
      </c>
      <c r="B1" s="3171"/>
      <c r="C1" s="3171"/>
      <c r="D1" s="3171"/>
      <c r="E1" s="3171"/>
      <c r="F1" s="3171"/>
      <c r="G1" s="3171"/>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3010</v>
      </c>
      <c r="D2" s="2679"/>
      <c r="E2" s="2676"/>
      <c r="F2" s="2680"/>
      <c r="G2" s="2678" t="s">
        <v>3011</v>
      </c>
      <c r="H2" s="904"/>
      <c r="I2" s="904"/>
      <c r="J2" s="904"/>
      <c r="K2" s="904"/>
      <c r="L2" s="904"/>
      <c r="M2" s="904"/>
      <c r="N2" s="904"/>
      <c r="O2" s="904"/>
      <c r="P2" s="904"/>
      <c r="Q2" s="904"/>
      <c r="R2" s="904"/>
    </row>
    <row r="3" spans="1:29" ht="25.5">
      <c r="A3" s="2659" t="s">
        <v>3012</v>
      </c>
      <c r="B3" s="2681" t="s">
        <v>2984</v>
      </c>
      <c r="C3" s="3427" t="s">
        <v>3295</v>
      </c>
      <c r="D3" s="2682"/>
      <c r="E3" s="2660" t="s">
        <v>3012</v>
      </c>
      <c r="F3" s="2683" t="s">
        <v>2985</v>
      </c>
      <c r="G3" s="2684" t="s">
        <v>3013</v>
      </c>
      <c r="H3" s="904"/>
      <c r="I3" s="904"/>
      <c r="J3" s="904"/>
      <c r="K3" s="904"/>
      <c r="L3" s="904"/>
      <c r="M3" s="904"/>
      <c r="N3" s="904"/>
      <c r="O3" s="904"/>
      <c r="P3" s="904"/>
      <c r="Q3" s="904"/>
      <c r="R3" s="904"/>
    </row>
    <row r="4" spans="1:29" ht="36">
      <c r="A4" s="2660"/>
      <c r="B4" s="326" t="s">
        <v>2986</v>
      </c>
      <c r="C4" s="3428" t="s">
        <v>3296</v>
      </c>
      <c r="D4" s="2682"/>
      <c r="E4" s="2686"/>
      <c r="F4" s="1555" t="s">
        <v>2987</v>
      </c>
      <c r="G4" s="2687" t="s">
        <v>2988</v>
      </c>
      <c r="H4" s="904"/>
      <c r="I4" s="904"/>
      <c r="J4" s="904"/>
      <c r="K4" s="904"/>
      <c r="L4" s="904"/>
      <c r="M4" s="904"/>
      <c r="N4" s="904"/>
      <c r="O4" s="904"/>
      <c r="P4" s="904"/>
      <c r="Q4" s="904"/>
      <c r="R4" s="904"/>
    </row>
    <row r="5" spans="1:29" ht="24">
      <c r="A5" s="2660"/>
      <c r="B5" s="326" t="s">
        <v>2989</v>
      </c>
      <c r="C5" s="2685"/>
      <c r="D5" s="2682"/>
      <c r="E5" s="2686"/>
      <c r="F5" s="326" t="s">
        <v>2990</v>
      </c>
      <c r="G5" s="2687" t="s">
        <v>2991</v>
      </c>
      <c r="H5" s="904"/>
      <c r="I5" s="904"/>
      <c r="J5" s="904"/>
      <c r="K5" s="904"/>
      <c r="L5" s="904"/>
      <c r="M5" s="904"/>
      <c r="N5" s="904"/>
      <c r="O5" s="904"/>
      <c r="P5" s="904"/>
      <c r="Q5" s="904"/>
      <c r="R5" s="904"/>
    </row>
    <row r="6" spans="1:29">
      <c r="A6" s="2660"/>
      <c r="B6" s="326" t="s">
        <v>2992</v>
      </c>
      <c r="C6" s="3429" t="s">
        <v>3297</v>
      </c>
      <c r="D6" s="2682"/>
      <c r="E6" s="2686"/>
      <c r="F6" s="326" t="s">
        <v>2993</v>
      </c>
      <c r="G6" s="2687" t="s">
        <v>2994</v>
      </c>
      <c r="H6" s="904"/>
      <c r="I6" s="904"/>
      <c r="J6" s="904"/>
      <c r="K6" s="904"/>
      <c r="L6" s="904"/>
      <c r="M6" s="904"/>
      <c r="N6" s="904"/>
      <c r="O6" s="904"/>
      <c r="P6" s="904"/>
      <c r="Q6" s="904"/>
      <c r="R6" s="904"/>
    </row>
    <row r="7" spans="1:29" ht="24.75" thickBot="1">
      <c r="A7" s="2660"/>
      <c r="B7" s="326" t="s">
        <v>2990</v>
      </c>
      <c r="C7" s="3429" t="s">
        <v>3297</v>
      </c>
      <c r="D7" s="2688"/>
      <c r="E7" s="2689"/>
      <c r="F7" s="2690" t="s">
        <v>2995</v>
      </c>
      <c r="G7" s="2691" t="s">
        <v>2996</v>
      </c>
      <c r="H7" s="904"/>
      <c r="I7" s="904"/>
      <c r="J7" s="904"/>
      <c r="K7" s="904"/>
      <c r="L7" s="904"/>
      <c r="M7" s="904"/>
      <c r="N7" s="904"/>
      <c r="O7" s="904"/>
      <c r="P7" s="904"/>
      <c r="Q7" s="904"/>
      <c r="R7" s="904"/>
    </row>
    <row r="8" spans="1:29">
      <c r="A8" s="2660"/>
      <c r="B8" s="326" t="s">
        <v>2993</v>
      </c>
      <c r="C8" s="3429" t="s">
        <v>3299</v>
      </c>
      <c r="D8" s="2688"/>
      <c r="E8" s="2688"/>
      <c r="F8" s="2692"/>
      <c r="G8" s="2692"/>
      <c r="H8" s="904"/>
      <c r="I8" s="904"/>
      <c r="J8" s="904"/>
      <c r="K8" s="904"/>
      <c r="L8" s="904"/>
      <c r="M8" s="904"/>
      <c r="N8" s="904"/>
      <c r="O8" s="904"/>
      <c r="P8" s="904"/>
      <c r="Q8" s="904"/>
      <c r="R8" s="904"/>
    </row>
    <row r="9" spans="1:29">
      <c r="A9" s="2660"/>
      <c r="B9" s="326" t="s">
        <v>2997</v>
      </c>
      <c r="C9" s="3428" t="s">
        <v>3295</v>
      </c>
      <c r="D9" s="2682"/>
      <c r="E9" s="2688"/>
      <c r="F9" s="2692"/>
      <c r="G9" s="2692"/>
      <c r="H9" s="904"/>
      <c r="I9" s="904"/>
      <c r="J9" s="904"/>
      <c r="K9" s="904"/>
      <c r="L9" s="904"/>
      <c r="M9" s="904"/>
      <c r="N9" s="904"/>
      <c r="O9" s="904"/>
      <c r="P9" s="904"/>
      <c r="Q9" s="904"/>
      <c r="R9" s="904"/>
    </row>
    <row r="10" spans="1:29" s="2698" customFormat="1" ht="15" thickBot="1">
      <c r="A10" s="2661"/>
      <c r="B10" s="2693" t="s">
        <v>2998</v>
      </c>
      <c r="C10" s="2694"/>
      <c r="D10" s="2682"/>
      <c r="E10" s="2682"/>
      <c r="F10" s="2692"/>
      <c r="G10" s="2692"/>
      <c r="H10" s="2695"/>
      <c r="I10" s="2696"/>
      <c r="J10" s="2697"/>
      <c r="K10" s="2695"/>
      <c r="L10" s="2696"/>
      <c r="M10" s="2697"/>
      <c r="N10" s="2695"/>
      <c r="O10" s="2696"/>
      <c r="P10" s="2697"/>
      <c r="Q10" s="2695"/>
      <c r="R10" s="2696"/>
      <c r="S10" s="904"/>
      <c r="T10" s="904"/>
      <c r="U10" s="904"/>
      <c r="V10" s="904"/>
      <c r="W10" s="904"/>
      <c r="X10" s="904"/>
      <c r="Y10" s="904"/>
      <c r="Z10" s="904"/>
      <c r="AA10" s="904"/>
      <c r="AB10" s="904"/>
      <c r="AC10" s="904"/>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4"/>
      <c r="T11" s="904"/>
      <c r="U11" s="904"/>
      <c r="V11" s="904"/>
      <c r="W11" s="904"/>
      <c r="X11" s="904"/>
      <c r="Y11" s="904"/>
      <c r="Z11" s="904"/>
      <c r="AA11" s="904"/>
      <c r="AB11" s="904"/>
      <c r="AC11" s="904"/>
    </row>
    <row r="12" spans="1:29" s="2675" customFormat="1" ht="18">
      <c r="A12" s="2699"/>
      <c r="B12" s="2688"/>
      <c r="C12" s="2682"/>
      <c r="D12" s="2701"/>
      <c r="E12" s="2682"/>
      <c r="F12" s="2688"/>
      <c r="G12" s="2700"/>
      <c r="H12" s="2702"/>
      <c r="I12" s="2703"/>
      <c r="J12" s="2702"/>
      <c r="K12" s="2702"/>
      <c r="L12" s="2704"/>
      <c r="M12" s="2702"/>
      <c r="N12" s="2705"/>
      <c r="O12" s="2706"/>
      <c r="P12" s="2705"/>
      <c r="Q12" s="2705"/>
      <c r="R12" s="2673"/>
      <c r="S12" s="2674"/>
      <c r="T12" s="2674"/>
      <c r="U12" s="2674"/>
      <c r="V12" s="2674"/>
      <c r="W12" s="2674"/>
      <c r="X12" s="2674"/>
      <c r="Y12" s="2674"/>
      <c r="Z12" s="2674"/>
      <c r="AA12" s="2674"/>
      <c r="AB12" s="2674"/>
      <c r="AC12" s="2674"/>
    </row>
    <row r="13" spans="1:29" ht="15.75" thickBot="1">
      <c r="A13" s="2707" t="s">
        <v>3015</v>
      </c>
      <c r="B13" s="2701"/>
      <c r="C13" s="2701"/>
      <c r="D13" s="2699"/>
      <c r="E13" s="2701"/>
      <c r="F13" s="2701"/>
      <c r="G13" s="2701"/>
    </row>
    <row r="14" spans="1:29" ht="15" thickBot="1">
      <c r="A14" s="2711"/>
      <c r="B14" s="2711"/>
      <c r="C14" s="2712" t="s">
        <v>2999</v>
      </c>
      <c r="D14" s="2682"/>
      <c r="E14" s="2713"/>
      <c r="F14" s="2713"/>
      <c r="G14" s="2678" t="s">
        <v>3000</v>
      </c>
    </row>
    <row r="15" spans="1:29" ht="51">
      <c r="A15" s="2662" t="s">
        <v>3001</v>
      </c>
      <c r="B15" s="2714" t="s">
        <v>2984</v>
      </c>
      <c r="C15" s="2715" t="str">
        <f>C3</f>
        <v>较好</v>
      </c>
      <c r="D15" s="2682"/>
      <c r="E15" s="2663" t="s">
        <v>3002</v>
      </c>
      <c r="F15" s="2714" t="s">
        <v>3003</v>
      </c>
      <c r="G15" s="2716" t="str">
        <f>G3</f>
        <v>估价对象位于XX开发区，园区建设成熟度XX，产业集聚程度XX</v>
      </c>
    </row>
    <row r="16" spans="1:29" ht="38.25">
      <c r="A16" s="2664"/>
      <c r="B16" s="2717" t="s">
        <v>2986</v>
      </c>
      <c r="C16" s="2718" t="str">
        <f>C4</f>
        <v>较好</v>
      </c>
      <c r="D16" s="2682"/>
      <c r="E16" s="2665"/>
      <c r="F16" s="2719" t="s">
        <v>2987</v>
      </c>
      <c r="G16" s="2720" t="str">
        <f>G4</f>
        <v>估价对象周边道路状况、公共交通通达情况、停车便捷程度，综合评价交通便捷度较好</v>
      </c>
    </row>
    <row r="17" spans="1:18" ht="38.25">
      <c r="A17" s="2664"/>
      <c r="B17" s="2717" t="s">
        <v>2989</v>
      </c>
      <c r="C17" s="2718">
        <f>C5</f>
        <v>0</v>
      </c>
      <c r="D17" s="2688"/>
      <c r="E17" s="2665"/>
      <c r="F17" s="2719" t="s">
        <v>3004</v>
      </c>
      <c r="G17" s="2721"/>
    </row>
    <row r="18" spans="1:18" ht="38.25">
      <c r="A18" s="2664"/>
      <c r="B18" s="2719" t="s">
        <v>2992</v>
      </c>
      <c r="C18" s="2720" t="str">
        <f>C6</f>
        <v>较好</v>
      </c>
      <c r="D18" s="2688"/>
      <c r="E18" s="2665"/>
      <c r="F18" s="2719" t="s">
        <v>2995</v>
      </c>
      <c r="G18" s="2720" t="str">
        <f>G7</f>
        <v>该园区内是否有污染型企业，绿化情况，卫生条件，整体环境状况判断</v>
      </c>
    </row>
    <row r="19" spans="1:18" ht="25.5">
      <c r="A19" s="2664"/>
      <c r="B19" s="2719" t="s">
        <v>3005</v>
      </c>
      <c r="C19" s="3430" t="s">
        <v>3326</v>
      </c>
      <c r="D19" s="2682"/>
      <c r="E19" s="2665"/>
      <c r="F19" s="326" t="s">
        <v>2990</v>
      </c>
      <c r="G19" s="2720" t="str">
        <f>G5</f>
        <v>估价对象所在区域公共配套设施齐备情况</v>
      </c>
    </row>
    <row r="20" spans="1:18" ht="25.5">
      <c r="A20" s="2664"/>
      <c r="B20" s="2719" t="s">
        <v>3006</v>
      </c>
      <c r="C20" s="2718" t="str">
        <f>C9</f>
        <v>较好</v>
      </c>
      <c r="D20" s="2688"/>
      <c r="E20" s="2665"/>
      <c r="F20" s="326" t="s">
        <v>2993</v>
      </c>
      <c r="G20" s="2720" t="str">
        <f>G6</f>
        <v>估价对象所在区域基础设施水平</v>
      </c>
    </row>
    <row r="21" spans="1:18" ht="25.5">
      <c r="A21" s="2664"/>
      <c r="B21" s="326" t="s">
        <v>2990</v>
      </c>
      <c r="C21" s="2720" t="str">
        <f>C7</f>
        <v>较好</v>
      </c>
      <c r="D21" s="2682"/>
      <c r="E21" s="2665"/>
      <c r="F21" s="2719" t="s">
        <v>3007</v>
      </c>
      <c r="G21" s="2722"/>
    </row>
    <row r="22" spans="1:18" ht="13.5" customHeight="1">
      <c r="A22" s="2664"/>
      <c r="B22" s="326" t="s">
        <v>2993</v>
      </c>
      <c r="C22" s="2720" t="str">
        <f>C8</f>
        <v>六通</v>
      </c>
      <c r="D22" s="2682"/>
      <c r="E22" s="2665"/>
      <c r="F22" s="2719" t="s">
        <v>2998</v>
      </c>
      <c r="G22" s="2721"/>
    </row>
    <row r="23" spans="1:18" s="904" customFormat="1" ht="15" thickBot="1">
      <c r="A23" s="2664"/>
      <c r="B23" s="2719" t="s">
        <v>3007</v>
      </c>
      <c r="C23" s="2722"/>
      <c r="D23" s="1923"/>
      <c r="E23" s="2666"/>
      <c r="F23" s="2723" t="s">
        <v>3008</v>
      </c>
      <c r="G23" s="2724"/>
      <c r="H23" s="2708"/>
      <c r="I23" s="2709"/>
      <c r="J23" s="2708"/>
      <c r="K23" s="2708"/>
      <c r="L23" s="2709"/>
      <c r="M23" s="2708"/>
      <c r="N23" s="2708"/>
      <c r="O23" s="2709"/>
      <c r="P23" s="2708"/>
      <c r="Q23" s="2708"/>
      <c r="R23" s="2710"/>
    </row>
    <row r="24" spans="1:18" s="904" customFormat="1" ht="15" thickBot="1">
      <c r="A24" s="2667"/>
      <c r="B24" s="2723" t="s">
        <v>3009</v>
      </c>
      <c r="C24" s="2725">
        <f>C10</f>
        <v>0</v>
      </c>
      <c r="D24" s="1923"/>
      <c r="E24" s="2657"/>
      <c r="F24" s="2657"/>
      <c r="G24" s="2726"/>
      <c r="H24" s="2708"/>
      <c r="I24" s="2709"/>
      <c r="J24" s="2708"/>
      <c r="K24" s="2708"/>
      <c r="L24" s="2709"/>
      <c r="M24" s="2708"/>
      <c r="N24" s="2708"/>
      <c r="O24" s="2709"/>
      <c r="P24" s="2708"/>
      <c r="Q24" s="2708"/>
      <c r="R24" s="2710"/>
    </row>
    <row r="25" spans="1:18" s="904" customFormat="1">
      <c r="B25" s="2708"/>
      <c r="C25" s="2708"/>
      <c r="D25" s="2708"/>
      <c r="H25" s="2708"/>
      <c r="I25" s="2709"/>
      <c r="J25" s="2708"/>
      <c r="K25" s="2708"/>
      <c r="L25" s="2709"/>
      <c r="M25" s="2708"/>
      <c r="N25" s="2708"/>
      <c r="O25" s="2709"/>
      <c r="P25" s="2708"/>
      <c r="Q25" s="2708"/>
      <c r="R25" s="2710"/>
    </row>
    <row r="26" spans="1:18" s="904" customFormat="1">
      <c r="B26" s="2708"/>
      <c r="C26" s="2708"/>
      <c r="D26" s="2708"/>
      <c r="H26" s="2708"/>
      <c r="I26" s="2709"/>
      <c r="J26" s="2708"/>
      <c r="K26" s="2708"/>
      <c r="L26" s="2709"/>
      <c r="M26" s="2708"/>
      <c r="N26" s="2708"/>
      <c r="O26" s="2709"/>
      <c r="P26" s="2708"/>
      <c r="Q26" s="2708"/>
      <c r="R26" s="2710"/>
    </row>
    <row r="27" spans="1:18" s="904" customFormat="1">
      <c r="B27" s="2708"/>
      <c r="C27" s="2708"/>
      <c r="D27" s="2708"/>
      <c r="H27" s="2708"/>
      <c r="I27" s="2709"/>
      <c r="J27" s="2708"/>
      <c r="K27" s="2708"/>
      <c r="L27" s="2709"/>
      <c r="M27" s="2708"/>
      <c r="N27" s="2708"/>
      <c r="O27" s="2709"/>
      <c r="P27" s="2708"/>
      <c r="Q27" s="2708"/>
      <c r="R27" s="2710"/>
    </row>
    <row r="28" spans="1:18" s="904" customFormat="1">
      <c r="B28" s="2708"/>
      <c r="C28" s="2708"/>
      <c r="D28" s="2708"/>
      <c r="H28" s="2708"/>
      <c r="I28" s="2709"/>
      <c r="J28" s="2708"/>
      <c r="K28" s="2708"/>
      <c r="L28" s="2709"/>
      <c r="M28" s="2708"/>
      <c r="N28" s="2708"/>
      <c r="O28" s="2709"/>
      <c r="P28" s="2708"/>
      <c r="Q28" s="2708"/>
      <c r="R28" s="2710"/>
    </row>
    <row r="29" spans="1:18" s="904" customFormat="1">
      <c r="B29" s="2708"/>
      <c r="C29" s="2708"/>
      <c r="D29" s="2708"/>
      <c r="H29" s="2708"/>
      <c r="I29" s="2709"/>
      <c r="J29" s="2708"/>
      <c r="K29" s="2708"/>
      <c r="L29" s="2709"/>
      <c r="M29" s="2708"/>
      <c r="N29" s="2708"/>
      <c r="O29" s="2709"/>
      <c r="P29" s="2708"/>
      <c r="Q29" s="2708"/>
      <c r="R29" s="2710"/>
    </row>
    <row r="30" spans="1:18" s="904" customFormat="1">
      <c r="B30" s="2708"/>
      <c r="C30" s="2708"/>
      <c r="D30" s="2708"/>
      <c r="H30" s="2708"/>
      <c r="I30" s="2709"/>
      <c r="J30" s="2708"/>
      <c r="K30" s="2708"/>
      <c r="L30" s="2709"/>
      <c r="M30" s="2708"/>
      <c r="N30" s="2708"/>
      <c r="O30" s="2709"/>
      <c r="P30" s="2708"/>
      <c r="Q30" s="2708"/>
      <c r="R30" s="2710"/>
    </row>
    <row r="31" spans="1:18" s="904" customFormat="1">
      <c r="B31" s="2708"/>
      <c r="C31" s="2708"/>
      <c r="D31" s="2708"/>
      <c r="H31" s="2708"/>
      <c r="I31" s="2709"/>
      <c r="J31" s="2708"/>
      <c r="K31" s="2708"/>
      <c r="L31" s="2709"/>
      <c r="M31" s="2708"/>
      <c r="N31" s="2708"/>
      <c r="O31" s="2709"/>
      <c r="P31" s="2708"/>
      <c r="Q31" s="2708"/>
      <c r="R31" s="2710"/>
    </row>
    <row r="32" spans="1:18" s="904" customFormat="1">
      <c r="B32" s="2708"/>
      <c r="C32" s="2708"/>
      <c r="D32" s="2708"/>
      <c r="H32" s="2708"/>
      <c r="I32" s="2709"/>
      <c r="J32" s="2708"/>
      <c r="K32" s="2708"/>
      <c r="L32" s="2709"/>
      <c r="M32" s="2708"/>
      <c r="N32" s="2708"/>
      <c r="O32" s="2709"/>
      <c r="P32" s="2708"/>
      <c r="Q32" s="2708"/>
      <c r="R32" s="2710"/>
    </row>
    <row r="33" spans="2:18" s="904" customFormat="1">
      <c r="B33" s="2708"/>
      <c r="C33" s="2708"/>
      <c r="D33" s="2708"/>
      <c r="H33" s="2708"/>
      <c r="I33" s="2709"/>
      <c r="J33" s="2708"/>
      <c r="K33" s="2708"/>
      <c r="L33" s="2709"/>
      <c r="M33" s="2708"/>
      <c r="N33" s="2708"/>
      <c r="O33" s="2709"/>
      <c r="P33" s="2708"/>
      <c r="Q33" s="2708"/>
      <c r="R33" s="2710"/>
    </row>
    <row r="34" spans="2:18" s="904" customFormat="1">
      <c r="B34" s="2708"/>
      <c r="C34" s="2708"/>
      <c r="D34" s="2708"/>
      <c r="H34" s="2708"/>
      <c r="I34" s="2709"/>
      <c r="J34" s="2708"/>
      <c r="K34" s="2708"/>
      <c r="L34" s="2709"/>
      <c r="M34" s="2708"/>
      <c r="N34" s="2708"/>
      <c r="O34" s="2709"/>
      <c r="P34" s="2708"/>
      <c r="Q34" s="2708"/>
      <c r="R34" s="2710"/>
    </row>
    <row r="35" spans="2:18" s="904" customFormat="1">
      <c r="B35" s="2708"/>
      <c r="C35" s="2708"/>
      <c r="D35" s="2708"/>
      <c r="H35" s="2708"/>
      <c r="I35" s="2709"/>
      <c r="J35" s="2708"/>
      <c r="K35" s="2708"/>
      <c r="L35" s="2709"/>
      <c r="M35" s="2708"/>
      <c r="N35" s="2708"/>
      <c r="O35" s="2709"/>
      <c r="P35" s="2708"/>
      <c r="Q35" s="2708"/>
      <c r="R35" s="2710"/>
    </row>
    <row r="36" spans="2:18" s="904" customFormat="1">
      <c r="B36" s="2708"/>
      <c r="C36" s="2708"/>
      <c r="D36" s="2708"/>
      <c r="H36" s="2708"/>
      <c r="I36" s="2709"/>
      <c r="J36" s="2708"/>
      <c r="K36" s="2708"/>
      <c r="L36" s="2709"/>
      <c r="M36" s="2708"/>
      <c r="N36" s="2708"/>
      <c r="O36" s="2709"/>
      <c r="P36" s="2708"/>
      <c r="Q36" s="2708"/>
      <c r="R36" s="2710"/>
    </row>
    <row r="37" spans="2:18" s="904" customFormat="1">
      <c r="B37" s="2708"/>
      <c r="C37" s="2708"/>
      <c r="D37" s="2708"/>
      <c r="H37" s="2708"/>
      <c r="I37" s="2709"/>
      <c r="J37" s="2708"/>
      <c r="K37" s="2708"/>
      <c r="L37" s="2709"/>
      <c r="M37" s="2708"/>
      <c r="N37" s="2708"/>
      <c r="O37" s="2709"/>
      <c r="P37" s="2708"/>
      <c r="Q37" s="2708"/>
      <c r="R37" s="2710"/>
    </row>
    <row r="38" spans="2:18" s="904" customFormat="1">
      <c r="B38" s="2708"/>
      <c r="C38" s="2708"/>
      <c r="D38" s="2708"/>
      <c r="E38" s="2708"/>
      <c r="F38" s="2708"/>
      <c r="G38" s="2709"/>
      <c r="H38" s="2708"/>
      <c r="I38" s="2709"/>
      <c r="J38" s="2708"/>
      <c r="K38" s="2708"/>
      <c r="L38" s="2709"/>
      <c r="M38" s="2708"/>
      <c r="N38" s="2708"/>
      <c r="O38" s="2709"/>
      <c r="P38" s="2708"/>
      <c r="Q38" s="2708"/>
      <c r="R38" s="2710"/>
    </row>
    <row r="39" spans="2:18" s="904" customFormat="1">
      <c r="B39" s="2708"/>
      <c r="C39" s="2708"/>
      <c r="D39" s="2708"/>
      <c r="E39" s="2708"/>
      <c r="F39" s="2708"/>
      <c r="G39" s="2709"/>
      <c r="H39" s="2708"/>
      <c r="I39" s="2709"/>
      <c r="J39" s="2708"/>
      <c r="K39" s="2708"/>
      <c r="L39" s="2709"/>
      <c r="M39" s="2708"/>
      <c r="N39" s="2708"/>
      <c r="O39" s="2709"/>
      <c r="P39" s="2708"/>
      <c r="Q39" s="2708"/>
      <c r="R39" s="2710"/>
    </row>
    <row r="40" spans="2:18" s="904" customFormat="1">
      <c r="B40" s="2708"/>
      <c r="C40" s="2708"/>
      <c r="D40" s="2708"/>
      <c r="E40" s="2708"/>
      <c r="F40" s="2708"/>
      <c r="G40" s="2709"/>
      <c r="H40" s="2708"/>
      <c r="I40" s="2709"/>
      <c r="J40" s="2708"/>
      <c r="K40" s="2708"/>
      <c r="L40" s="2709"/>
      <c r="M40" s="2708"/>
      <c r="N40" s="2708"/>
      <c r="O40" s="2709"/>
      <c r="P40" s="2708"/>
      <c r="Q40" s="2708"/>
      <c r="R40" s="2710"/>
    </row>
    <row r="41" spans="2:18" s="904" customFormat="1">
      <c r="B41" s="2708"/>
      <c r="C41" s="2708"/>
      <c r="D41" s="2708"/>
      <c r="E41" s="2708"/>
      <c r="F41" s="2708"/>
      <c r="G41" s="2709"/>
      <c r="H41" s="2708"/>
      <c r="I41" s="2709"/>
      <c r="J41" s="2708"/>
      <c r="K41" s="2708"/>
      <c r="L41" s="2709"/>
      <c r="M41" s="2708"/>
      <c r="N41" s="2708"/>
      <c r="O41" s="2709"/>
      <c r="P41" s="2708"/>
      <c r="Q41" s="2708"/>
      <c r="R41" s="2710"/>
    </row>
    <row r="42" spans="2:18" s="904" customFormat="1">
      <c r="B42" s="2708"/>
      <c r="C42" s="2708"/>
      <c r="D42" s="2708"/>
      <c r="E42" s="2708"/>
      <c r="F42" s="2708"/>
      <c r="G42" s="2709"/>
      <c r="H42" s="2708"/>
      <c r="I42" s="2709"/>
      <c r="J42" s="2708"/>
      <c r="K42" s="2708"/>
      <c r="L42" s="2709"/>
      <c r="M42" s="2708"/>
      <c r="N42" s="2708"/>
      <c r="O42" s="2709"/>
      <c r="P42" s="2708"/>
      <c r="Q42" s="2708"/>
      <c r="R42" s="2710"/>
    </row>
    <row r="43" spans="2:18" s="904" customFormat="1">
      <c r="B43" s="2708"/>
      <c r="C43" s="2708"/>
      <c r="D43" s="2708"/>
      <c r="E43" s="2708"/>
      <c r="F43" s="2708"/>
      <c r="G43" s="2709"/>
      <c r="H43" s="2708"/>
      <c r="I43" s="2709"/>
      <c r="J43" s="2708"/>
      <c r="K43" s="2708"/>
      <c r="L43" s="2709"/>
      <c r="M43" s="2708"/>
      <c r="N43" s="2708"/>
      <c r="O43" s="2709"/>
      <c r="P43" s="2708"/>
      <c r="Q43" s="2708"/>
      <c r="R43" s="2710"/>
    </row>
    <row r="44" spans="2:18" s="904" customFormat="1">
      <c r="B44" s="2708"/>
      <c r="C44" s="2708"/>
      <c r="D44" s="2708"/>
      <c r="E44" s="2708"/>
      <c r="F44" s="2708"/>
      <c r="G44" s="2709"/>
      <c r="H44" s="2708"/>
      <c r="I44" s="2709"/>
      <c r="J44" s="2708"/>
      <c r="K44" s="2708"/>
      <c r="L44" s="2709"/>
      <c r="M44" s="2708"/>
      <c r="N44" s="2708"/>
      <c r="O44" s="2709"/>
      <c r="P44" s="2708"/>
      <c r="Q44" s="2708"/>
      <c r="R44" s="2710"/>
    </row>
    <row r="45" spans="2:18" s="904" customFormat="1">
      <c r="B45" s="2708"/>
      <c r="C45" s="2708"/>
      <c r="D45" s="2708"/>
      <c r="E45" s="2708"/>
      <c r="F45" s="2708"/>
      <c r="G45" s="2709"/>
      <c r="H45" s="2708"/>
      <c r="I45" s="2709"/>
      <c r="J45" s="2708"/>
      <c r="K45" s="2708"/>
      <c r="L45" s="2709"/>
      <c r="M45" s="2708"/>
      <c r="N45" s="2708"/>
      <c r="O45" s="2709"/>
      <c r="P45" s="2708"/>
      <c r="Q45" s="2708"/>
      <c r="R45" s="2710"/>
    </row>
    <row r="46" spans="2:18" s="904" customFormat="1">
      <c r="B46" s="2708"/>
      <c r="C46" s="2708"/>
      <c r="D46" s="2708"/>
      <c r="E46" s="2708"/>
      <c r="F46" s="2708"/>
      <c r="G46" s="2709"/>
      <c r="H46" s="2708"/>
      <c r="I46" s="2709"/>
      <c r="J46" s="2708"/>
      <c r="K46" s="2708"/>
      <c r="L46" s="2709"/>
      <c r="M46" s="2708"/>
      <c r="N46" s="2708"/>
      <c r="O46" s="2709"/>
      <c r="P46" s="2708"/>
      <c r="Q46" s="2708"/>
      <c r="R46" s="2710"/>
    </row>
    <row r="47" spans="2:18" s="904" customFormat="1">
      <c r="B47" s="2708"/>
      <c r="C47" s="2708"/>
      <c r="D47" s="2708"/>
      <c r="E47" s="2708"/>
      <c r="F47" s="2708"/>
      <c r="G47" s="2709"/>
      <c r="H47" s="2708"/>
      <c r="I47" s="2709"/>
      <c r="J47" s="2708"/>
      <c r="K47" s="2708"/>
      <c r="L47" s="2709"/>
      <c r="M47" s="2708"/>
      <c r="N47" s="2708"/>
      <c r="O47" s="2709"/>
      <c r="P47" s="2708"/>
      <c r="Q47" s="2708"/>
      <c r="R47" s="2710"/>
    </row>
    <row r="48" spans="2:18" s="904" customFormat="1">
      <c r="B48" s="2708"/>
      <c r="C48" s="2708"/>
      <c r="D48" s="2708"/>
      <c r="E48" s="2708"/>
      <c r="F48" s="2708"/>
      <c r="G48" s="2709"/>
      <c r="H48" s="2708"/>
      <c r="I48" s="2709"/>
      <c r="J48" s="2708"/>
      <c r="K48" s="2708"/>
      <c r="L48" s="2709"/>
      <c r="M48" s="2708"/>
      <c r="N48" s="2708"/>
      <c r="O48" s="2709"/>
      <c r="P48" s="2708"/>
      <c r="Q48" s="2708"/>
      <c r="R48" s="2710"/>
    </row>
    <row r="49" spans="2:18" s="904" customFormat="1">
      <c r="B49" s="2708"/>
      <c r="C49" s="2708"/>
      <c r="D49" s="2708"/>
      <c r="E49" s="2708"/>
      <c r="F49" s="2708"/>
      <c r="G49" s="2709"/>
      <c r="H49" s="2708"/>
      <c r="I49" s="2709"/>
      <c r="J49" s="2708"/>
      <c r="K49" s="2708"/>
      <c r="L49" s="2709"/>
      <c r="M49" s="2708"/>
      <c r="N49" s="2708"/>
      <c r="O49" s="2709"/>
      <c r="P49" s="2708"/>
      <c r="Q49" s="2708"/>
      <c r="R49" s="2710"/>
    </row>
    <row r="50" spans="2:18" s="904" customFormat="1">
      <c r="B50" s="2708"/>
      <c r="C50" s="2708"/>
      <c r="D50" s="2708"/>
      <c r="E50" s="2708"/>
      <c r="F50" s="2708"/>
      <c r="G50" s="2709"/>
      <c r="H50" s="2708"/>
      <c r="I50" s="2709"/>
      <c r="J50" s="2708"/>
      <c r="K50" s="2708"/>
      <c r="L50" s="2709"/>
      <c r="M50" s="2708"/>
      <c r="N50" s="2708"/>
      <c r="O50" s="2709"/>
      <c r="P50" s="2708"/>
      <c r="Q50" s="2708"/>
      <c r="R50" s="2710"/>
    </row>
    <row r="51" spans="2:18" s="904" customFormat="1">
      <c r="B51" s="2708"/>
      <c r="C51" s="2708"/>
      <c r="D51" s="2708"/>
      <c r="E51" s="2708"/>
      <c r="F51" s="2708"/>
      <c r="G51" s="2709"/>
      <c r="H51" s="2708"/>
      <c r="I51" s="2709"/>
      <c r="J51" s="2708"/>
      <c r="K51" s="2708"/>
      <c r="L51" s="2709"/>
      <c r="M51" s="2708"/>
      <c r="N51" s="2708"/>
      <c r="O51" s="2709"/>
      <c r="P51" s="2708"/>
      <c r="Q51" s="2708"/>
      <c r="R51" s="2710"/>
    </row>
    <row r="52" spans="2:18" s="904" customFormat="1">
      <c r="B52" s="2708"/>
      <c r="C52" s="2708"/>
      <c r="D52" s="2708"/>
      <c r="E52" s="2708"/>
      <c r="F52" s="2708"/>
      <c r="G52" s="2709"/>
      <c r="H52" s="2708"/>
      <c r="I52" s="2709"/>
      <c r="J52" s="2708"/>
      <c r="K52" s="2708"/>
      <c r="L52" s="2709"/>
      <c r="M52" s="2708"/>
      <c r="N52" s="2708"/>
      <c r="O52" s="2709"/>
      <c r="P52" s="2708"/>
      <c r="Q52" s="2708"/>
      <c r="R52" s="2710"/>
    </row>
    <row r="53" spans="2:18" s="904" customFormat="1">
      <c r="B53" s="2708"/>
      <c r="C53" s="2708"/>
      <c r="D53" s="2708"/>
      <c r="E53" s="2708"/>
      <c r="F53" s="2708"/>
      <c r="G53" s="2709"/>
      <c r="H53" s="2708"/>
      <c r="I53" s="2709"/>
      <c r="J53" s="2708"/>
      <c r="K53" s="2708"/>
      <c r="L53" s="2709"/>
      <c r="M53" s="2708"/>
      <c r="N53" s="2708"/>
      <c r="O53" s="2709"/>
      <c r="P53" s="2708"/>
      <c r="Q53" s="2708"/>
      <c r="R53" s="2710"/>
    </row>
    <row r="54" spans="2:18" s="904" customFormat="1">
      <c r="B54" s="2708"/>
      <c r="C54" s="2708"/>
      <c r="D54" s="2708"/>
      <c r="E54" s="2708"/>
      <c r="F54" s="2708"/>
      <c r="G54" s="2709"/>
      <c r="H54" s="2708"/>
      <c r="I54" s="2709"/>
      <c r="J54" s="2708"/>
      <c r="K54" s="2708"/>
      <c r="L54" s="2709"/>
      <c r="M54" s="2708"/>
      <c r="N54" s="2708"/>
      <c r="O54" s="2709"/>
      <c r="P54" s="2708"/>
      <c r="Q54" s="2708"/>
      <c r="R54" s="2710"/>
    </row>
    <row r="55" spans="2:18" s="904" customFormat="1">
      <c r="B55" s="2708"/>
      <c r="C55" s="2708"/>
      <c r="D55" s="2708"/>
      <c r="E55" s="2708"/>
      <c r="F55" s="2708"/>
      <c r="G55" s="2709"/>
      <c r="H55" s="2708"/>
      <c r="I55" s="2709"/>
      <c r="J55" s="2708"/>
      <c r="K55" s="2708"/>
      <c r="L55" s="2709"/>
      <c r="M55" s="2708"/>
      <c r="N55" s="2708"/>
      <c r="O55" s="2709"/>
      <c r="P55" s="2708"/>
      <c r="Q55" s="2708"/>
      <c r="R55" s="2710"/>
    </row>
    <row r="56" spans="2:18" s="904" customFormat="1">
      <c r="B56" s="2708"/>
      <c r="C56" s="2708"/>
      <c r="D56" s="2708"/>
      <c r="E56" s="2708"/>
      <c r="F56" s="2708"/>
      <c r="G56" s="2709"/>
      <c r="H56" s="2708"/>
      <c r="I56" s="2709"/>
      <c r="J56" s="2708"/>
      <c r="K56" s="2708"/>
      <c r="L56" s="2709"/>
      <c r="M56" s="2708"/>
      <c r="N56" s="2708"/>
      <c r="O56" s="2709"/>
      <c r="P56" s="2708"/>
      <c r="Q56" s="2708"/>
      <c r="R56" s="2710"/>
    </row>
    <row r="57" spans="2:18" s="904" customFormat="1">
      <c r="B57" s="2708"/>
      <c r="C57" s="2708"/>
      <c r="D57" s="2708"/>
      <c r="E57" s="2708"/>
      <c r="F57" s="2708"/>
      <c r="G57" s="2709"/>
      <c r="H57" s="2708"/>
      <c r="I57" s="2709"/>
      <c r="J57" s="2708"/>
      <c r="K57" s="2708"/>
      <c r="L57" s="2709"/>
      <c r="M57" s="2708"/>
      <c r="N57" s="2708"/>
      <c r="O57" s="2709"/>
      <c r="P57" s="2708"/>
      <c r="Q57" s="2708"/>
      <c r="R57" s="2710"/>
    </row>
    <row r="58" spans="2:18" s="904" customFormat="1">
      <c r="B58" s="2708"/>
      <c r="C58" s="2708"/>
      <c r="D58" s="2708"/>
      <c r="E58" s="2708"/>
      <c r="F58" s="2708"/>
      <c r="G58" s="2709"/>
      <c r="H58" s="2708"/>
      <c r="I58" s="2709"/>
      <c r="J58" s="2708"/>
      <c r="K58" s="2708"/>
      <c r="L58" s="2709"/>
      <c r="M58" s="2708"/>
      <c r="N58" s="2708"/>
      <c r="O58" s="2709"/>
      <c r="P58" s="2708"/>
      <c r="Q58" s="2708"/>
      <c r="R58" s="2710"/>
    </row>
    <row r="59" spans="2:18" s="904" customFormat="1">
      <c r="B59" s="2708"/>
      <c r="C59" s="2708"/>
      <c r="D59" s="2708"/>
      <c r="E59" s="2708"/>
      <c r="F59" s="2708"/>
      <c r="G59" s="2709"/>
      <c r="H59" s="2708"/>
      <c r="I59" s="2709"/>
      <c r="J59" s="2708"/>
      <c r="K59" s="2708"/>
      <c r="L59" s="2709"/>
      <c r="M59" s="2708"/>
      <c r="N59" s="2708"/>
      <c r="O59" s="2709"/>
      <c r="P59" s="2708"/>
      <c r="Q59" s="2708"/>
      <c r="R59" s="2710"/>
    </row>
    <row r="60" spans="2:18" s="904" customFormat="1">
      <c r="B60" s="2708"/>
      <c r="C60" s="2708"/>
      <c r="D60" s="2708"/>
      <c r="E60" s="2708"/>
      <c r="F60" s="2708"/>
      <c r="G60" s="2709"/>
      <c r="H60" s="2708"/>
      <c r="I60" s="2709"/>
      <c r="J60" s="2708"/>
      <c r="K60" s="2708"/>
      <c r="L60" s="2709"/>
      <c r="M60" s="2708"/>
      <c r="N60" s="2708"/>
      <c r="O60" s="2709"/>
      <c r="P60" s="2708"/>
      <c r="Q60" s="2708"/>
      <c r="R60" s="2710"/>
    </row>
    <row r="61" spans="2:18" s="904" customFormat="1">
      <c r="B61" s="2708"/>
      <c r="C61" s="2708"/>
      <c r="D61" s="2708"/>
      <c r="E61" s="2708"/>
      <c r="F61" s="2708"/>
      <c r="G61" s="2709"/>
      <c r="H61" s="2708"/>
      <c r="I61" s="2709"/>
      <c r="J61" s="2708"/>
      <c r="K61" s="2708"/>
      <c r="L61" s="2709"/>
      <c r="M61" s="2708"/>
      <c r="N61" s="2708"/>
      <c r="O61" s="2709"/>
      <c r="P61" s="2708"/>
      <c r="Q61" s="2708"/>
      <c r="R61" s="2710"/>
    </row>
    <row r="62" spans="2:18" s="904" customFormat="1">
      <c r="B62" s="2708"/>
      <c r="C62" s="2708"/>
      <c r="D62" s="2708"/>
      <c r="E62" s="2708"/>
      <c r="F62" s="2708"/>
      <c r="G62" s="2709"/>
      <c r="H62" s="2708"/>
      <c r="I62" s="2709"/>
      <c r="J62" s="2708"/>
      <c r="K62" s="2708"/>
      <c r="L62" s="2709"/>
      <c r="M62" s="2708"/>
      <c r="N62" s="2708"/>
      <c r="O62" s="2709"/>
      <c r="P62" s="2708"/>
      <c r="Q62" s="2708"/>
      <c r="R62" s="2710"/>
    </row>
    <row r="63" spans="2:18" s="904" customFormat="1">
      <c r="B63" s="2708"/>
      <c r="C63" s="2708"/>
      <c r="D63" s="2708"/>
      <c r="E63" s="2708"/>
      <c r="F63" s="2708"/>
      <c r="G63" s="2709"/>
      <c r="H63" s="2708"/>
      <c r="I63" s="2709"/>
      <c r="J63" s="2708"/>
      <c r="K63" s="2708"/>
      <c r="L63" s="2709"/>
      <c r="M63" s="2708"/>
      <c r="N63" s="2708"/>
      <c r="O63" s="2709"/>
      <c r="P63" s="2708"/>
      <c r="Q63" s="2708"/>
      <c r="R63" s="2710"/>
    </row>
    <row r="64" spans="2:18" s="904" customFormat="1">
      <c r="B64" s="2708"/>
      <c r="C64" s="2708"/>
      <c r="D64" s="2708"/>
      <c r="E64" s="2708"/>
      <c r="F64" s="2708"/>
      <c r="G64" s="2709"/>
      <c r="H64" s="2708"/>
      <c r="I64" s="2709"/>
      <c r="J64" s="2708"/>
      <c r="K64" s="2708"/>
      <c r="L64" s="2709"/>
      <c r="M64" s="2708"/>
      <c r="N64" s="2708"/>
      <c r="O64" s="2709"/>
      <c r="P64" s="2708"/>
      <c r="Q64" s="2708"/>
      <c r="R64" s="2710"/>
    </row>
    <row r="65" spans="2:18" s="904" customFormat="1">
      <c r="B65" s="2708"/>
      <c r="C65" s="2708"/>
      <c r="D65" s="2708"/>
      <c r="E65" s="2708"/>
      <c r="F65" s="2708"/>
      <c r="G65" s="2709"/>
      <c r="H65" s="2708"/>
      <c r="I65" s="2709"/>
      <c r="J65" s="2708"/>
      <c r="K65" s="2708"/>
      <c r="L65" s="2709"/>
      <c r="M65" s="2708"/>
      <c r="N65" s="2708"/>
      <c r="O65" s="2709"/>
      <c r="P65" s="2708"/>
      <c r="Q65" s="2708"/>
      <c r="R65" s="2710"/>
    </row>
    <row r="66" spans="2:18" s="904" customFormat="1">
      <c r="B66" s="2708"/>
      <c r="C66" s="2708"/>
      <c r="D66" s="2708"/>
      <c r="E66" s="2708"/>
      <c r="F66" s="2708"/>
      <c r="G66" s="2709"/>
      <c r="H66" s="2708"/>
      <c r="I66" s="2709"/>
      <c r="J66" s="2708"/>
      <c r="K66" s="2708"/>
      <c r="L66" s="2709"/>
      <c r="M66" s="2708"/>
      <c r="N66" s="2708"/>
      <c r="O66" s="2709"/>
      <c r="P66" s="2708"/>
      <c r="Q66" s="2708"/>
      <c r="R66" s="2710"/>
    </row>
    <row r="67" spans="2:18" s="904" customFormat="1">
      <c r="B67" s="2708"/>
      <c r="C67" s="2708"/>
      <c r="D67" s="2708"/>
      <c r="E67" s="2708"/>
      <c r="F67" s="2708"/>
      <c r="G67" s="2709"/>
      <c r="H67" s="2708"/>
      <c r="I67" s="2709"/>
      <c r="J67" s="2708"/>
      <c r="K67" s="2708"/>
      <c r="L67" s="2709"/>
      <c r="M67" s="2708"/>
      <c r="N67" s="2708"/>
      <c r="O67" s="2709"/>
      <c r="P67" s="2708"/>
      <c r="Q67" s="2708"/>
      <c r="R67" s="2710"/>
    </row>
    <row r="68" spans="2:18" s="904" customFormat="1">
      <c r="B68" s="2708"/>
      <c r="C68" s="2708"/>
      <c r="D68" s="2708"/>
      <c r="E68" s="2708"/>
      <c r="F68" s="2708"/>
      <c r="G68" s="2709"/>
      <c r="H68" s="2708"/>
      <c r="I68" s="2709"/>
      <c r="J68" s="2708"/>
      <c r="K68" s="2708"/>
      <c r="L68" s="2709"/>
      <c r="M68" s="2708"/>
      <c r="N68" s="2708"/>
      <c r="O68" s="2709"/>
      <c r="P68" s="2708"/>
      <c r="Q68" s="2708"/>
      <c r="R68" s="2710"/>
    </row>
    <row r="69" spans="2:18" s="904" customFormat="1">
      <c r="B69" s="2708"/>
      <c r="C69" s="2708"/>
      <c r="D69" s="2708"/>
      <c r="E69" s="2708"/>
      <c r="F69" s="2708"/>
      <c r="G69" s="2709"/>
      <c r="H69" s="2708"/>
      <c r="I69" s="2709"/>
      <c r="J69" s="2708"/>
      <c r="K69" s="2708"/>
      <c r="L69" s="2709"/>
      <c r="M69" s="2708"/>
      <c r="N69" s="2708"/>
      <c r="O69" s="2709"/>
      <c r="P69" s="2708"/>
      <c r="Q69" s="2708"/>
      <c r="R69" s="2710"/>
    </row>
    <row r="70" spans="2:18" s="904" customFormat="1">
      <c r="B70" s="2708"/>
      <c r="C70" s="2708"/>
      <c r="D70" s="2708"/>
      <c r="E70" s="2708"/>
      <c r="F70" s="2708"/>
      <c r="G70" s="2709"/>
      <c r="H70" s="2708"/>
      <c r="I70" s="2709"/>
      <c r="J70" s="2708"/>
      <c r="K70" s="2708"/>
      <c r="L70" s="2709"/>
      <c r="M70" s="2708"/>
      <c r="N70" s="2708"/>
      <c r="O70" s="2709"/>
      <c r="P70" s="2708"/>
      <c r="Q70" s="2708"/>
      <c r="R70" s="2710"/>
    </row>
    <row r="71" spans="2:18" s="904" customFormat="1">
      <c r="B71" s="2708"/>
      <c r="C71" s="2708"/>
      <c r="D71" s="2708"/>
      <c r="E71" s="2708"/>
      <c r="F71" s="2708"/>
      <c r="G71" s="2709"/>
      <c r="H71" s="2708"/>
      <c r="I71" s="2709"/>
      <c r="J71" s="2708"/>
      <c r="K71" s="2708"/>
      <c r="L71" s="2709"/>
      <c r="M71" s="2708"/>
      <c r="N71" s="2708"/>
      <c r="O71" s="2709"/>
      <c r="P71" s="2708"/>
      <c r="Q71" s="2708"/>
      <c r="R71" s="2710"/>
    </row>
    <row r="72" spans="2:18" s="904" customFormat="1">
      <c r="B72" s="2708"/>
      <c r="C72" s="2708"/>
      <c r="D72" s="2708"/>
      <c r="E72" s="2708"/>
      <c r="F72" s="2708"/>
      <c r="G72" s="2709"/>
      <c r="H72" s="2708"/>
      <c r="I72" s="2709"/>
      <c r="J72" s="2708"/>
      <c r="K72" s="2708"/>
      <c r="L72" s="2709"/>
      <c r="M72" s="2708"/>
      <c r="N72" s="2708"/>
      <c r="O72" s="2709"/>
      <c r="P72" s="2708"/>
      <c r="Q72" s="2708"/>
      <c r="R72" s="2710"/>
    </row>
    <row r="73" spans="2:18" s="904" customFormat="1">
      <c r="B73" s="2708"/>
      <c r="C73" s="2708"/>
      <c r="D73" s="2708"/>
      <c r="E73" s="2708"/>
      <c r="F73" s="2708"/>
      <c r="G73" s="2709"/>
      <c r="H73" s="2708"/>
      <c r="I73" s="2709"/>
      <c r="J73" s="2708"/>
      <c r="K73" s="2708"/>
      <c r="L73" s="2709"/>
      <c r="M73" s="2708"/>
      <c r="N73" s="2708"/>
      <c r="O73" s="2709"/>
      <c r="P73" s="2708"/>
      <c r="Q73" s="2708"/>
      <c r="R73" s="2710"/>
    </row>
    <row r="74" spans="2:18" s="904" customFormat="1">
      <c r="B74" s="2708"/>
      <c r="C74" s="2708"/>
      <c r="D74" s="2708"/>
      <c r="E74" s="2708"/>
      <c r="F74" s="2708"/>
      <c r="G74" s="2709"/>
      <c r="H74" s="2708"/>
      <c r="I74" s="2709"/>
      <c r="J74" s="2708"/>
      <c r="K74" s="2708"/>
      <c r="L74" s="2709"/>
      <c r="M74" s="2708"/>
      <c r="N74" s="2708"/>
      <c r="O74" s="2709"/>
      <c r="P74" s="2708"/>
      <c r="Q74" s="2708"/>
      <c r="R74" s="2710"/>
    </row>
    <row r="75" spans="2:18" s="904" customFormat="1">
      <c r="B75" s="2708"/>
      <c r="C75" s="2708"/>
      <c r="D75" s="2708"/>
      <c r="E75" s="2708"/>
      <c r="F75" s="2708"/>
      <c r="G75" s="2709"/>
      <c r="H75" s="2708"/>
      <c r="I75" s="2709"/>
      <c r="J75" s="2708"/>
      <c r="K75" s="2708"/>
      <c r="L75" s="2709"/>
      <c r="M75" s="2708"/>
      <c r="N75" s="2708"/>
      <c r="O75" s="2709"/>
      <c r="P75" s="2708"/>
      <c r="Q75" s="2708"/>
      <c r="R75" s="2710"/>
    </row>
    <row r="76" spans="2:18" s="904" customFormat="1">
      <c r="B76" s="2708"/>
      <c r="C76" s="2708"/>
      <c r="D76" s="2708"/>
      <c r="E76" s="2708"/>
      <c r="F76" s="2708"/>
      <c r="G76" s="2709"/>
      <c r="H76" s="2708"/>
      <c r="I76" s="2709"/>
      <c r="J76" s="2708"/>
      <c r="K76" s="2708"/>
      <c r="L76" s="2709"/>
      <c r="M76" s="2708"/>
      <c r="N76" s="2708"/>
      <c r="O76" s="2709"/>
      <c r="P76" s="2708"/>
      <c r="Q76" s="2708"/>
      <c r="R76" s="2710"/>
    </row>
    <row r="77" spans="2:18" s="904" customFormat="1">
      <c r="B77" s="2708"/>
      <c r="C77" s="2708"/>
      <c r="D77" s="2708"/>
      <c r="E77" s="2708"/>
      <c r="F77" s="2708"/>
      <c r="G77" s="2709"/>
      <c r="H77" s="2708"/>
      <c r="I77" s="2709"/>
      <c r="J77" s="2708"/>
      <c r="K77" s="2708"/>
      <c r="L77" s="2709"/>
      <c r="M77" s="2708"/>
      <c r="N77" s="2708"/>
      <c r="O77" s="2709"/>
      <c r="P77" s="2708"/>
      <c r="Q77" s="2708"/>
      <c r="R77" s="2710"/>
    </row>
    <row r="78" spans="2:18" s="904" customFormat="1">
      <c r="B78" s="2708"/>
      <c r="C78" s="2708"/>
      <c r="D78" s="2708"/>
      <c r="E78" s="2708"/>
      <c r="F78" s="2708"/>
      <c r="G78" s="2709"/>
      <c r="H78" s="2708"/>
      <c r="I78" s="2709"/>
      <c r="J78" s="2708"/>
      <c r="K78" s="2708"/>
      <c r="L78" s="2709"/>
      <c r="M78" s="2708"/>
      <c r="N78" s="2708"/>
      <c r="O78" s="2709"/>
      <c r="P78" s="2708"/>
      <c r="Q78" s="2708"/>
      <c r="R78" s="2710"/>
    </row>
    <row r="79" spans="2:18" s="904" customFormat="1">
      <c r="B79" s="2708"/>
      <c r="C79" s="2708"/>
      <c r="D79" s="2708"/>
      <c r="E79" s="2708"/>
      <c r="F79" s="2708"/>
      <c r="G79" s="2709"/>
      <c r="H79" s="2708"/>
      <c r="I79" s="2709"/>
      <c r="J79" s="2708"/>
      <c r="K79" s="2708"/>
      <c r="L79" s="2709"/>
      <c r="M79" s="2708"/>
      <c r="N79" s="2708"/>
      <c r="O79" s="2709"/>
      <c r="P79" s="2708"/>
      <c r="Q79" s="2708"/>
      <c r="R79" s="2710"/>
    </row>
    <row r="80" spans="2:18" s="904" customFormat="1">
      <c r="B80" s="2708"/>
      <c r="C80" s="2708"/>
      <c r="D80" s="2708"/>
      <c r="E80" s="2708"/>
      <c r="F80" s="2708"/>
      <c r="G80" s="2709"/>
      <c r="H80" s="2708"/>
      <c r="I80" s="2709"/>
      <c r="J80" s="2708"/>
      <c r="K80" s="2708"/>
      <c r="L80" s="2709"/>
      <c r="M80" s="2708"/>
      <c r="N80" s="2708"/>
      <c r="O80" s="2709"/>
      <c r="P80" s="2708"/>
      <c r="Q80" s="2708"/>
      <c r="R80" s="2710"/>
    </row>
    <row r="81" spans="2:18" s="904" customFormat="1">
      <c r="B81" s="2708"/>
      <c r="C81" s="2708"/>
      <c r="D81" s="2708"/>
      <c r="E81" s="2708"/>
      <c r="F81" s="2708"/>
      <c r="G81" s="2709"/>
      <c r="H81" s="2708"/>
      <c r="I81" s="2709"/>
      <c r="J81" s="2708"/>
      <c r="K81" s="2708"/>
      <c r="L81" s="2709"/>
      <c r="M81" s="2708"/>
      <c r="N81" s="2708"/>
      <c r="O81" s="2709"/>
      <c r="P81" s="2708"/>
      <c r="Q81" s="2708"/>
      <c r="R81" s="2710"/>
    </row>
    <row r="82" spans="2:18" s="904" customFormat="1">
      <c r="B82" s="2708"/>
      <c r="C82" s="2708"/>
      <c r="D82" s="2708"/>
      <c r="E82" s="2708"/>
      <c r="F82" s="2708"/>
      <c r="G82" s="2709"/>
      <c r="H82" s="2708"/>
      <c r="I82" s="2709"/>
      <c r="J82" s="2708"/>
      <c r="K82" s="2708"/>
      <c r="L82" s="2709"/>
      <c r="M82" s="2708"/>
      <c r="N82" s="2708"/>
      <c r="O82" s="2709"/>
      <c r="P82" s="2708"/>
      <c r="Q82" s="2708"/>
      <c r="R82" s="2710"/>
    </row>
    <row r="83" spans="2:18" s="904" customFormat="1">
      <c r="B83" s="2708"/>
      <c r="C83" s="2708"/>
      <c r="D83" s="2708"/>
      <c r="E83" s="2708"/>
      <c r="F83" s="2708"/>
      <c r="G83" s="2709"/>
      <c r="H83" s="2708"/>
      <c r="I83" s="2709"/>
      <c r="J83" s="2708"/>
      <c r="K83" s="2708"/>
      <c r="L83" s="2709"/>
      <c r="M83" s="2708"/>
      <c r="N83" s="2708"/>
      <c r="O83" s="2709"/>
      <c r="P83" s="2708"/>
      <c r="Q83" s="2708"/>
      <c r="R83" s="2710"/>
    </row>
    <row r="84" spans="2:18" s="904" customFormat="1">
      <c r="B84" s="2708"/>
      <c r="C84" s="2708"/>
      <c r="D84" s="2708"/>
      <c r="E84" s="2708"/>
      <c r="F84" s="2708"/>
      <c r="G84" s="2709"/>
      <c r="H84" s="2708"/>
      <c r="I84" s="2709"/>
      <c r="J84" s="2708"/>
      <c r="K84" s="2708"/>
      <c r="L84" s="2709"/>
      <c r="M84" s="2708"/>
      <c r="N84" s="2708"/>
      <c r="O84" s="2709"/>
      <c r="P84" s="2708"/>
      <c r="Q84" s="2708"/>
      <c r="R84" s="2710"/>
    </row>
    <row r="85" spans="2:18" s="904" customFormat="1">
      <c r="B85" s="2708"/>
      <c r="C85" s="2708"/>
      <c r="D85" s="2708"/>
      <c r="E85" s="2708"/>
      <c r="F85" s="2708"/>
      <c r="G85" s="2709"/>
      <c r="H85" s="2708"/>
      <c r="I85" s="2709"/>
      <c r="J85" s="2708"/>
      <c r="K85" s="2708"/>
      <c r="L85" s="2709"/>
      <c r="M85" s="2708"/>
      <c r="N85" s="2708"/>
      <c r="O85" s="2709"/>
      <c r="P85" s="2708"/>
      <c r="Q85" s="2708"/>
      <c r="R85" s="2710"/>
    </row>
    <row r="86" spans="2:18" s="904" customFormat="1">
      <c r="B86" s="2708"/>
      <c r="C86" s="2708"/>
      <c r="D86" s="2708"/>
      <c r="E86" s="2708"/>
      <c r="F86" s="2708"/>
      <c r="G86" s="2709"/>
      <c r="H86" s="2708"/>
      <c r="I86" s="2709"/>
      <c r="J86" s="2708"/>
      <c r="K86" s="2708"/>
      <c r="L86" s="2709"/>
      <c r="M86" s="2708"/>
      <c r="N86" s="2708"/>
      <c r="O86" s="2709"/>
      <c r="P86" s="2708"/>
      <c r="Q86" s="2708"/>
      <c r="R86" s="2710"/>
    </row>
    <row r="87" spans="2:18" s="904" customFormat="1">
      <c r="B87" s="2708"/>
      <c r="C87" s="2708"/>
      <c r="D87" s="2708"/>
      <c r="E87" s="2708"/>
      <c r="F87" s="2708"/>
      <c r="G87" s="2709"/>
      <c r="H87" s="2708"/>
      <c r="I87" s="2709"/>
      <c r="J87" s="2708"/>
      <c r="K87" s="2708"/>
      <c r="L87" s="2709"/>
      <c r="M87" s="2708"/>
      <c r="N87" s="2708"/>
      <c r="O87" s="2709"/>
      <c r="P87" s="2708"/>
      <c r="Q87" s="2708"/>
      <c r="R87" s="2710"/>
    </row>
    <row r="88" spans="2:18" s="904" customFormat="1">
      <c r="B88" s="2708"/>
      <c r="C88" s="2708"/>
      <c r="D88" s="2708"/>
      <c r="E88" s="2708"/>
      <c r="F88" s="2708"/>
      <c r="G88" s="2709"/>
      <c r="H88" s="2708"/>
      <c r="I88" s="2709"/>
      <c r="J88" s="2708"/>
      <c r="K88" s="2708"/>
      <c r="L88" s="2709"/>
      <c r="M88" s="2708"/>
      <c r="N88" s="2708"/>
      <c r="O88" s="2709"/>
      <c r="P88" s="2708"/>
      <c r="Q88" s="2708"/>
      <c r="R88" s="2710"/>
    </row>
    <row r="89" spans="2:18" s="904" customFormat="1">
      <c r="B89" s="2708"/>
      <c r="C89" s="2708"/>
      <c r="D89" s="2708"/>
      <c r="E89" s="2708"/>
      <c r="F89" s="2708"/>
      <c r="G89" s="2709"/>
      <c r="H89" s="2708"/>
      <c r="I89" s="2709"/>
      <c r="J89" s="2708"/>
      <c r="K89" s="2708"/>
      <c r="L89" s="2709"/>
      <c r="M89" s="2708"/>
      <c r="N89" s="2708"/>
      <c r="O89" s="2709"/>
      <c r="P89" s="2708"/>
      <c r="Q89" s="2708"/>
      <c r="R89" s="2710"/>
    </row>
    <row r="90" spans="2:18" s="904" customFormat="1">
      <c r="B90" s="2708"/>
      <c r="C90" s="2708"/>
      <c r="D90" s="2708"/>
      <c r="E90" s="2708"/>
      <c r="F90" s="2708"/>
      <c r="G90" s="2709"/>
      <c r="H90" s="2708"/>
      <c r="I90" s="2709"/>
      <c r="J90" s="2708"/>
      <c r="K90" s="2708"/>
      <c r="L90" s="2709"/>
      <c r="M90" s="2708"/>
      <c r="N90" s="2708"/>
      <c r="O90" s="2709"/>
      <c r="P90" s="2708"/>
      <c r="Q90" s="2708"/>
      <c r="R90" s="2710"/>
    </row>
    <row r="91" spans="2:18" s="904" customFormat="1">
      <c r="B91" s="2708"/>
      <c r="C91" s="2708"/>
      <c r="D91" s="2708"/>
      <c r="E91" s="2708"/>
      <c r="F91" s="2708"/>
      <c r="G91" s="2709"/>
      <c r="H91" s="2708"/>
      <c r="I91" s="2709"/>
      <c r="J91" s="2708"/>
      <c r="K91" s="2708"/>
      <c r="L91" s="2709"/>
      <c r="M91" s="2708"/>
      <c r="N91" s="2708"/>
      <c r="O91" s="2709"/>
      <c r="P91" s="2708"/>
      <c r="Q91" s="2708"/>
      <c r="R91" s="2710"/>
    </row>
    <row r="92" spans="2:18" s="904" customFormat="1">
      <c r="B92" s="2708"/>
      <c r="C92" s="2708"/>
      <c r="D92" s="2708"/>
      <c r="E92" s="2708"/>
      <c r="F92" s="2708"/>
      <c r="G92" s="2709"/>
      <c r="H92" s="2708"/>
      <c r="I92" s="2709"/>
      <c r="J92" s="2708"/>
      <c r="K92" s="2708"/>
      <c r="L92" s="2709"/>
      <c r="M92" s="2708"/>
      <c r="N92" s="2708"/>
      <c r="O92" s="2709"/>
      <c r="P92" s="2708"/>
      <c r="Q92" s="2708"/>
      <c r="R92" s="2710"/>
    </row>
    <row r="93" spans="2:18" s="904" customFormat="1">
      <c r="B93" s="2708"/>
      <c r="C93" s="2708"/>
      <c r="D93" s="2708"/>
      <c r="E93" s="2708"/>
      <c r="F93" s="2708"/>
      <c r="G93" s="2709"/>
      <c r="H93" s="2708"/>
      <c r="I93" s="2709"/>
      <c r="J93" s="2708"/>
      <c r="K93" s="2708"/>
      <c r="L93" s="2709"/>
      <c r="M93" s="2708"/>
      <c r="N93" s="2708"/>
      <c r="O93" s="2709"/>
      <c r="P93" s="2708"/>
      <c r="Q93" s="2708"/>
      <c r="R93" s="2710"/>
    </row>
    <row r="94" spans="2:18" s="904" customFormat="1">
      <c r="B94" s="2708"/>
      <c r="C94" s="2708"/>
      <c r="D94" s="2708"/>
      <c r="E94" s="2708"/>
      <c r="F94" s="2708"/>
      <c r="G94" s="2709"/>
      <c r="H94" s="2708"/>
      <c r="I94" s="2709"/>
      <c r="J94" s="2708"/>
      <c r="K94" s="2708"/>
      <c r="L94" s="2709"/>
      <c r="M94" s="2708"/>
      <c r="N94" s="2708"/>
      <c r="O94" s="2709"/>
      <c r="P94" s="2708"/>
      <c r="Q94" s="2708"/>
      <c r="R94" s="2710"/>
    </row>
    <row r="95" spans="2:18" s="904" customFormat="1">
      <c r="B95" s="2708"/>
      <c r="C95" s="2708"/>
      <c r="D95" s="2708"/>
      <c r="E95" s="2708"/>
      <c r="F95" s="2708"/>
      <c r="G95" s="2709"/>
      <c r="H95" s="2708"/>
      <c r="I95" s="2709"/>
      <c r="J95" s="2708"/>
      <c r="K95" s="2708"/>
      <c r="L95" s="2709"/>
      <c r="M95" s="2708"/>
      <c r="N95" s="2708"/>
      <c r="O95" s="2709"/>
      <c r="P95" s="2708"/>
      <c r="Q95" s="2708"/>
      <c r="R95" s="2710"/>
    </row>
    <row r="96" spans="2:18" s="904" customFormat="1">
      <c r="B96" s="2708"/>
      <c r="C96" s="2708"/>
      <c r="D96" s="2708"/>
      <c r="E96" s="2708"/>
      <c r="F96" s="2708"/>
      <c r="G96" s="2709"/>
      <c r="H96" s="2708"/>
      <c r="I96" s="2709"/>
      <c r="J96" s="2708"/>
      <c r="K96" s="2708"/>
      <c r="L96" s="2709"/>
      <c r="M96" s="2708"/>
      <c r="N96" s="2708"/>
      <c r="O96" s="2709"/>
      <c r="P96" s="2708"/>
      <c r="Q96" s="2708"/>
      <c r="R96" s="2710"/>
    </row>
    <row r="97" spans="2:18" s="904" customFormat="1">
      <c r="B97" s="2708"/>
      <c r="C97" s="2708"/>
      <c r="D97" s="2708"/>
      <c r="E97" s="2708"/>
      <c r="F97" s="2708"/>
      <c r="G97" s="2709"/>
      <c r="H97" s="2708"/>
      <c r="I97" s="2709"/>
      <c r="J97" s="2708"/>
      <c r="K97" s="2708"/>
      <c r="L97" s="2709"/>
      <c r="M97" s="2708"/>
      <c r="N97" s="2708"/>
      <c r="O97" s="2709"/>
      <c r="P97" s="2708"/>
      <c r="Q97" s="2708"/>
      <c r="R97" s="2710"/>
    </row>
    <row r="98" spans="2:18" s="904" customFormat="1">
      <c r="B98" s="2708"/>
      <c r="C98" s="2708"/>
      <c r="D98" s="2708"/>
      <c r="E98" s="2708"/>
      <c r="F98" s="2708"/>
      <c r="G98" s="2709"/>
      <c r="H98" s="2708"/>
      <c r="I98" s="2709"/>
      <c r="J98" s="2708"/>
      <c r="K98" s="2708"/>
      <c r="L98" s="2709"/>
      <c r="M98" s="2708"/>
      <c r="N98" s="2708"/>
      <c r="O98" s="2709"/>
      <c r="P98" s="2708"/>
      <c r="Q98" s="2708"/>
      <c r="R98" s="2710"/>
    </row>
    <row r="99" spans="2:18" s="904" customFormat="1">
      <c r="B99" s="2708"/>
      <c r="C99" s="2708"/>
      <c r="D99" s="2708"/>
      <c r="E99" s="2708"/>
      <c r="F99" s="2708"/>
      <c r="G99" s="2709"/>
      <c r="H99" s="2708"/>
      <c r="I99" s="2709"/>
      <c r="J99" s="2708"/>
      <c r="K99" s="2708"/>
      <c r="L99" s="2709"/>
      <c r="M99" s="2708"/>
      <c r="N99" s="2708"/>
      <c r="O99" s="2709"/>
      <c r="P99" s="2708"/>
      <c r="Q99" s="2708"/>
      <c r="R99" s="2710"/>
    </row>
    <row r="100" spans="2:18" s="904" customFormat="1">
      <c r="B100" s="2708"/>
      <c r="C100" s="2708"/>
      <c r="D100" s="2708"/>
      <c r="E100" s="2708"/>
      <c r="F100" s="2708"/>
      <c r="G100" s="2709"/>
      <c r="H100" s="2708"/>
      <c r="I100" s="2709"/>
      <c r="J100" s="2708"/>
      <c r="K100" s="2708"/>
      <c r="L100" s="2709"/>
      <c r="M100" s="2708"/>
      <c r="N100" s="2708"/>
      <c r="O100" s="2709"/>
      <c r="P100" s="2708"/>
      <c r="Q100" s="2708"/>
      <c r="R100" s="2710"/>
    </row>
    <row r="101" spans="2:18" s="904" customFormat="1">
      <c r="B101" s="2708"/>
      <c r="C101" s="2708"/>
      <c r="D101" s="2708"/>
      <c r="E101" s="2708"/>
      <c r="F101" s="2708"/>
      <c r="G101" s="2709"/>
      <c r="H101" s="2708"/>
      <c r="I101" s="2709"/>
      <c r="J101" s="2708"/>
      <c r="K101" s="2708"/>
      <c r="L101" s="2709"/>
      <c r="M101" s="2708"/>
      <c r="N101" s="2708"/>
      <c r="O101" s="2709"/>
      <c r="P101" s="2708"/>
      <c r="Q101" s="2708"/>
      <c r="R101" s="2710"/>
    </row>
    <row r="102" spans="2:18" s="904" customFormat="1">
      <c r="B102" s="2708"/>
      <c r="C102" s="2708"/>
      <c r="D102" s="2708"/>
      <c r="E102" s="2708"/>
      <c r="F102" s="2708"/>
      <c r="G102" s="2709"/>
      <c r="H102" s="2708"/>
      <c r="I102" s="2709"/>
      <c r="J102" s="2708"/>
      <c r="K102" s="2708"/>
      <c r="L102" s="2709"/>
      <c r="M102" s="2708"/>
      <c r="N102" s="2708"/>
      <c r="O102" s="2709"/>
      <c r="P102" s="2708"/>
      <c r="Q102" s="2708"/>
      <c r="R102" s="2710"/>
    </row>
    <row r="103" spans="2:18" s="904" customFormat="1">
      <c r="B103" s="2708"/>
      <c r="C103" s="2708"/>
      <c r="D103" s="2708"/>
      <c r="E103" s="2708"/>
      <c r="F103" s="2708"/>
      <c r="G103" s="2709"/>
      <c r="H103" s="2708"/>
      <c r="I103" s="2709"/>
      <c r="J103" s="2708"/>
      <c r="K103" s="2708"/>
      <c r="L103" s="2709"/>
      <c r="M103" s="2708"/>
      <c r="N103" s="2708"/>
      <c r="O103" s="2709"/>
      <c r="P103" s="2708"/>
      <c r="Q103" s="2708"/>
      <c r="R103" s="2710"/>
    </row>
    <row r="104" spans="2:18" s="904" customFormat="1">
      <c r="B104" s="2708"/>
      <c r="C104" s="2708"/>
      <c r="D104" s="2708"/>
      <c r="E104" s="2708"/>
      <c r="F104" s="2708"/>
      <c r="G104" s="2709"/>
      <c r="H104" s="2708"/>
      <c r="I104" s="2709"/>
      <c r="J104" s="2708"/>
      <c r="K104" s="2708"/>
      <c r="L104" s="2709"/>
      <c r="M104" s="2708"/>
      <c r="N104" s="2708"/>
      <c r="O104" s="2709"/>
      <c r="P104" s="2708"/>
      <c r="Q104" s="2708"/>
      <c r="R104" s="2710"/>
    </row>
    <row r="105" spans="2:18" s="904" customFormat="1">
      <c r="B105" s="2708"/>
      <c r="C105" s="2708"/>
      <c r="D105" s="2708"/>
      <c r="E105" s="2708"/>
      <c r="F105" s="2708"/>
      <c r="G105" s="2709"/>
      <c r="H105" s="2708"/>
      <c r="I105" s="2709"/>
      <c r="J105" s="2708"/>
      <c r="K105" s="2708"/>
      <c r="L105" s="2709"/>
      <c r="M105" s="2708"/>
      <c r="N105" s="2708"/>
      <c r="O105" s="2709"/>
      <c r="P105" s="2708"/>
      <c r="Q105" s="2708"/>
      <c r="R105" s="2710"/>
    </row>
    <row r="106" spans="2:18" s="904" customFormat="1">
      <c r="B106" s="2708"/>
      <c r="C106" s="2708"/>
      <c r="D106" s="2708"/>
      <c r="E106" s="2708"/>
      <c r="F106" s="2708"/>
      <c r="G106" s="2709"/>
      <c r="H106" s="2708"/>
      <c r="I106" s="2709"/>
      <c r="J106" s="2708"/>
      <c r="K106" s="2708"/>
      <c r="L106" s="2709"/>
      <c r="M106" s="2708"/>
      <c r="N106" s="2708"/>
      <c r="O106" s="2709"/>
      <c r="P106" s="2708"/>
      <c r="Q106" s="2708"/>
      <c r="R106" s="2710"/>
    </row>
    <row r="107" spans="2:18" s="904" customFormat="1">
      <c r="B107" s="2708"/>
      <c r="C107" s="2708"/>
      <c r="D107" s="2708"/>
      <c r="E107" s="2708"/>
      <c r="F107" s="2708"/>
      <c r="G107" s="2709"/>
      <c r="H107" s="2708"/>
      <c r="I107" s="2709"/>
      <c r="J107" s="2708"/>
      <c r="K107" s="2708"/>
      <c r="L107" s="2709"/>
      <c r="M107" s="2708"/>
      <c r="N107" s="2708"/>
      <c r="O107" s="2709"/>
      <c r="P107" s="2708"/>
      <c r="Q107" s="2708"/>
      <c r="R107" s="2710"/>
    </row>
    <row r="108" spans="2:18" s="904" customFormat="1">
      <c r="B108" s="2708"/>
      <c r="C108" s="2708"/>
      <c r="D108" s="2708"/>
      <c r="E108" s="2708"/>
      <c r="F108" s="2708"/>
      <c r="G108" s="2709"/>
      <c r="H108" s="2708"/>
      <c r="I108" s="2709"/>
      <c r="J108" s="2708"/>
      <c r="K108" s="2708"/>
      <c r="L108" s="2709"/>
      <c r="M108" s="2708"/>
      <c r="N108" s="2708"/>
      <c r="O108" s="2709"/>
      <c r="P108" s="2708"/>
      <c r="Q108" s="2708"/>
      <c r="R108" s="2710"/>
    </row>
    <row r="109" spans="2:18" s="904" customFormat="1">
      <c r="B109" s="2708"/>
      <c r="C109" s="2708"/>
      <c r="D109" s="2708"/>
      <c r="E109" s="2708"/>
      <c r="F109" s="2708"/>
      <c r="G109" s="2709"/>
      <c r="H109" s="2708"/>
      <c r="I109" s="2709"/>
      <c r="J109" s="2708"/>
      <c r="K109" s="2708"/>
      <c r="L109" s="2709"/>
      <c r="M109" s="2708"/>
      <c r="N109" s="2708"/>
      <c r="O109" s="2709"/>
      <c r="P109" s="2708"/>
      <c r="Q109" s="2708"/>
      <c r="R109" s="2710"/>
    </row>
    <row r="110" spans="2:18" s="904" customFormat="1">
      <c r="B110" s="2708"/>
      <c r="C110" s="2708"/>
      <c r="D110" s="2708"/>
      <c r="E110" s="2708"/>
      <c r="F110" s="2708"/>
      <c r="G110" s="2709"/>
      <c r="H110" s="2708"/>
      <c r="I110" s="2709"/>
      <c r="J110" s="2708"/>
      <c r="K110" s="2708"/>
      <c r="L110" s="2709"/>
      <c r="M110" s="2708"/>
      <c r="N110" s="2708"/>
      <c r="O110" s="2709"/>
      <c r="P110" s="2708"/>
      <c r="Q110" s="2708"/>
      <c r="R110" s="2710"/>
    </row>
    <row r="111" spans="2:18" s="904" customFormat="1">
      <c r="B111" s="2708"/>
      <c r="C111" s="2708"/>
      <c r="D111" s="2708"/>
      <c r="E111" s="2708"/>
      <c r="F111" s="2708"/>
      <c r="G111" s="2709"/>
      <c r="H111" s="2708"/>
      <c r="I111" s="2709"/>
      <c r="J111" s="2708"/>
      <c r="K111" s="2708"/>
      <c r="L111" s="2709"/>
      <c r="M111" s="2708"/>
      <c r="N111" s="2708"/>
      <c r="O111" s="2709"/>
      <c r="P111" s="2708"/>
      <c r="Q111" s="2708"/>
      <c r="R111" s="2710"/>
    </row>
    <row r="112" spans="2:18" s="904" customFormat="1">
      <c r="B112" s="2708"/>
      <c r="C112" s="2708"/>
      <c r="D112" s="2708"/>
      <c r="E112" s="2708"/>
      <c r="F112" s="2708"/>
      <c r="G112" s="2709"/>
      <c r="H112" s="2708"/>
      <c r="I112" s="2709"/>
      <c r="J112" s="2708"/>
      <c r="K112" s="2708"/>
      <c r="L112" s="2709"/>
      <c r="M112" s="2708"/>
      <c r="N112" s="2708"/>
      <c r="O112" s="2709"/>
      <c r="P112" s="2708"/>
      <c r="Q112" s="2708"/>
      <c r="R112" s="2710"/>
    </row>
    <row r="113" spans="2:18" s="904" customFormat="1">
      <c r="B113" s="2708"/>
      <c r="C113" s="2708"/>
      <c r="D113" s="2708"/>
      <c r="E113" s="2708"/>
      <c r="F113" s="2708"/>
      <c r="G113" s="2709"/>
      <c r="H113" s="2708"/>
      <c r="I113" s="2709"/>
      <c r="J113" s="2708"/>
      <c r="K113" s="2708"/>
      <c r="L113" s="2709"/>
      <c r="M113" s="2708"/>
      <c r="N113" s="2708"/>
      <c r="O113" s="2709"/>
      <c r="P113" s="2708"/>
      <c r="Q113" s="2708"/>
      <c r="R113" s="2710"/>
    </row>
    <row r="114" spans="2:18" s="904" customFormat="1">
      <c r="B114" s="2708"/>
      <c r="C114" s="2708"/>
      <c r="D114" s="2708"/>
      <c r="E114" s="2708"/>
      <c r="F114" s="2708"/>
      <c r="G114" s="2709"/>
      <c r="H114" s="2708"/>
      <c r="I114" s="2709"/>
      <c r="J114" s="2708"/>
      <c r="K114" s="2708"/>
      <c r="L114" s="2709"/>
      <c r="M114" s="2708"/>
      <c r="N114" s="2708"/>
      <c r="O114" s="2709"/>
      <c r="P114" s="2708"/>
      <c r="Q114" s="2708"/>
      <c r="R114" s="2710"/>
    </row>
    <row r="115" spans="2:18" s="904" customFormat="1">
      <c r="B115" s="2708"/>
      <c r="C115" s="2708"/>
      <c r="D115" s="2708"/>
      <c r="E115" s="2708"/>
      <c r="F115" s="2708"/>
      <c r="G115" s="2709"/>
      <c r="H115" s="2708"/>
      <c r="I115" s="2709"/>
      <c r="J115" s="2708"/>
      <c r="K115" s="2708"/>
      <c r="L115" s="2709"/>
      <c r="M115" s="2708"/>
      <c r="N115" s="2708"/>
      <c r="O115" s="2709"/>
      <c r="P115" s="2708"/>
      <c r="Q115" s="2708"/>
      <c r="R115" s="2710"/>
    </row>
    <row r="116" spans="2:18" s="904" customFormat="1">
      <c r="B116" s="2708"/>
      <c r="C116" s="2708"/>
      <c r="D116" s="2708"/>
      <c r="E116" s="2708"/>
      <c r="F116" s="2708"/>
      <c r="G116" s="2709"/>
      <c r="H116" s="2708"/>
      <c r="I116" s="2709"/>
      <c r="J116" s="2708"/>
      <c r="K116" s="2708"/>
      <c r="L116" s="2709"/>
      <c r="M116" s="2708"/>
      <c r="N116" s="2708"/>
      <c r="O116" s="2709"/>
      <c r="P116" s="2708"/>
      <c r="Q116" s="2708"/>
      <c r="R116" s="2710"/>
    </row>
    <row r="117" spans="2:18" s="904" customFormat="1">
      <c r="B117" s="2708"/>
      <c r="C117" s="2708"/>
      <c r="D117" s="2708"/>
      <c r="E117" s="2708"/>
      <c r="F117" s="2708"/>
      <c r="G117" s="2709"/>
      <c r="H117" s="2708"/>
      <c r="I117" s="2709"/>
      <c r="J117" s="2708"/>
      <c r="K117" s="2708"/>
      <c r="L117" s="2709"/>
      <c r="M117" s="2708"/>
      <c r="N117" s="2708"/>
      <c r="O117" s="2709"/>
      <c r="P117" s="2708"/>
      <c r="Q117" s="2708"/>
      <c r="R117" s="2710"/>
    </row>
    <row r="118" spans="2:18" s="904" customFormat="1">
      <c r="B118" s="2708"/>
      <c r="C118" s="2708"/>
      <c r="D118" s="2708"/>
      <c r="E118" s="2708"/>
      <c r="F118" s="2708"/>
      <c r="G118" s="2709"/>
      <c r="H118" s="2708"/>
      <c r="I118" s="2709"/>
      <c r="J118" s="2708"/>
      <c r="K118" s="2708"/>
      <c r="L118" s="2709"/>
      <c r="M118" s="2708"/>
      <c r="N118" s="2708"/>
      <c r="O118" s="2709"/>
      <c r="P118" s="2708"/>
      <c r="Q118" s="2708"/>
      <c r="R118" s="2710"/>
    </row>
    <row r="119" spans="2:18" s="904" customFormat="1">
      <c r="B119" s="2708"/>
      <c r="C119" s="2708"/>
      <c r="D119" s="2708"/>
      <c r="E119" s="2708"/>
      <c r="F119" s="2708"/>
      <c r="G119" s="2709"/>
      <c r="H119" s="2708"/>
      <c r="I119" s="2709"/>
      <c r="J119" s="2708"/>
      <c r="K119" s="2708"/>
      <c r="L119" s="2709"/>
      <c r="M119" s="2708"/>
      <c r="N119" s="2708"/>
      <c r="O119" s="2709"/>
      <c r="P119" s="2708"/>
      <c r="Q119" s="2708"/>
      <c r="R119" s="2710"/>
    </row>
    <row r="120" spans="2:18" s="904" customFormat="1">
      <c r="B120" s="2708"/>
      <c r="C120" s="2708"/>
      <c r="D120" s="2708"/>
      <c r="E120" s="2708"/>
      <c r="F120" s="2708"/>
      <c r="G120" s="2709"/>
      <c r="H120" s="2708"/>
      <c r="I120" s="2709"/>
      <c r="J120" s="2708"/>
      <c r="K120" s="2708"/>
      <c r="L120" s="2709"/>
      <c r="M120" s="2708"/>
      <c r="N120" s="2708"/>
      <c r="O120" s="2709"/>
      <c r="P120" s="2708"/>
      <c r="Q120" s="2708"/>
      <c r="R120" s="2710"/>
    </row>
    <row r="121" spans="2:18" s="904" customFormat="1">
      <c r="B121" s="2708"/>
      <c r="C121" s="2708"/>
      <c r="D121" s="2708"/>
      <c r="E121" s="2708"/>
      <c r="F121" s="2708"/>
      <c r="G121" s="2709"/>
      <c r="H121" s="2708"/>
      <c r="I121" s="2709"/>
      <c r="J121" s="2708"/>
      <c r="K121" s="2708"/>
      <c r="L121" s="2709"/>
      <c r="M121" s="2708"/>
      <c r="N121" s="2708"/>
      <c r="O121" s="2709"/>
      <c r="P121" s="2708"/>
      <c r="Q121" s="2708"/>
      <c r="R121" s="2710"/>
    </row>
    <row r="122" spans="2:18" s="904" customFormat="1">
      <c r="B122" s="2708"/>
      <c r="C122" s="2708"/>
      <c r="D122" s="2708"/>
      <c r="E122" s="2708"/>
      <c r="F122" s="2708"/>
      <c r="G122" s="2709"/>
      <c r="H122" s="2708"/>
      <c r="I122" s="2709"/>
      <c r="J122" s="2708"/>
      <c r="K122" s="2708"/>
      <c r="L122" s="2709"/>
      <c r="M122" s="2708"/>
      <c r="N122" s="2708"/>
      <c r="O122" s="2709"/>
      <c r="P122" s="2708"/>
      <c r="Q122" s="2708"/>
      <c r="R122" s="2710"/>
    </row>
    <row r="123" spans="2:18" s="904" customFormat="1">
      <c r="B123" s="2708"/>
      <c r="C123" s="2708"/>
      <c r="D123" s="2708"/>
      <c r="E123" s="2708"/>
      <c r="F123" s="2708"/>
      <c r="G123" s="2709"/>
      <c r="H123" s="2708"/>
      <c r="I123" s="2709"/>
      <c r="J123" s="2708"/>
      <c r="K123" s="2708"/>
      <c r="L123" s="2709"/>
      <c r="M123" s="2708"/>
      <c r="N123" s="2708"/>
      <c r="O123" s="2709"/>
      <c r="P123" s="2708"/>
      <c r="Q123" s="2708"/>
      <c r="R123" s="2710"/>
    </row>
    <row r="124" spans="2:18" s="904" customFormat="1">
      <c r="B124" s="2708"/>
      <c r="C124" s="2708"/>
      <c r="D124" s="2708"/>
      <c r="E124" s="2708"/>
      <c r="F124" s="2708"/>
      <c r="G124" s="2709"/>
      <c r="H124" s="2708"/>
      <c r="I124" s="2709"/>
      <c r="J124" s="2708"/>
      <c r="K124" s="2708"/>
      <c r="L124" s="2709"/>
      <c r="M124" s="2708"/>
      <c r="N124" s="2708"/>
      <c r="O124" s="2709"/>
      <c r="P124" s="2708"/>
      <c r="Q124" s="2708"/>
      <c r="R124" s="2710"/>
    </row>
    <row r="125" spans="2:18" s="904" customFormat="1">
      <c r="B125" s="2708"/>
      <c r="C125" s="2708"/>
      <c r="D125" s="2708"/>
      <c r="E125" s="2708"/>
      <c r="F125" s="2708"/>
      <c r="G125" s="2709"/>
      <c r="H125" s="2708"/>
      <c r="I125" s="2709"/>
      <c r="J125" s="2708"/>
      <c r="K125" s="2708"/>
      <c r="L125" s="2709"/>
      <c r="M125" s="2708"/>
      <c r="N125" s="2708"/>
      <c r="O125" s="2709"/>
      <c r="P125" s="2708"/>
      <c r="Q125" s="2708"/>
      <c r="R125" s="2710"/>
    </row>
    <row r="126" spans="2:18" s="904" customFormat="1">
      <c r="B126" s="2708"/>
      <c r="C126" s="2708"/>
      <c r="D126" s="2708"/>
      <c r="E126" s="2708"/>
      <c r="F126" s="2708"/>
      <c r="G126" s="2709"/>
      <c r="H126" s="2708"/>
      <c r="I126" s="2709"/>
      <c r="J126" s="2708"/>
      <c r="K126" s="2708"/>
      <c r="L126" s="2709"/>
      <c r="M126" s="2708"/>
      <c r="N126" s="2708"/>
      <c r="O126" s="2709"/>
      <c r="P126" s="2708"/>
      <c r="Q126" s="2708"/>
      <c r="R126" s="2710"/>
    </row>
    <row r="127" spans="2:18" s="904" customFormat="1">
      <c r="B127" s="2708"/>
      <c r="C127" s="2708"/>
      <c r="D127" s="2708"/>
      <c r="E127" s="2708"/>
      <c r="F127" s="2708"/>
      <c r="G127" s="2709"/>
      <c r="H127" s="2708"/>
      <c r="I127" s="2709"/>
      <c r="J127" s="2708"/>
      <c r="K127" s="2708"/>
      <c r="L127" s="2709"/>
      <c r="M127" s="2708"/>
      <c r="N127" s="2708"/>
      <c r="O127" s="2709"/>
      <c r="P127" s="2708"/>
      <c r="Q127" s="2708"/>
      <c r="R127" s="2710"/>
    </row>
    <row r="128" spans="2:18" s="904" customFormat="1">
      <c r="B128" s="2708"/>
      <c r="C128" s="2708"/>
      <c r="D128" s="2708"/>
      <c r="E128" s="2708"/>
      <c r="F128" s="2708"/>
      <c r="G128" s="2709"/>
      <c r="H128" s="2708"/>
      <c r="I128" s="2709"/>
      <c r="J128" s="2708"/>
      <c r="K128" s="2708"/>
      <c r="L128" s="2709"/>
      <c r="M128" s="2708"/>
      <c r="N128" s="2708"/>
      <c r="O128" s="2709"/>
      <c r="P128" s="2708"/>
      <c r="Q128" s="2708"/>
      <c r="R128" s="2710"/>
    </row>
    <row r="129" spans="2:18" s="904" customFormat="1">
      <c r="B129" s="2708"/>
      <c r="C129" s="2708"/>
      <c r="D129" s="2708"/>
      <c r="E129" s="2708"/>
      <c r="F129" s="2708"/>
      <c r="G129" s="2709"/>
      <c r="H129" s="2708"/>
      <c r="I129" s="2709"/>
      <c r="J129" s="2708"/>
      <c r="K129" s="2708"/>
      <c r="L129" s="2709"/>
      <c r="M129" s="2708"/>
      <c r="N129" s="2708"/>
      <c r="O129" s="2709"/>
      <c r="P129" s="2708"/>
      <c r="Q129" s="2708"/>
      <c r="R129" s="2710"/>
    </row>
    <row r="130" spans="2:18" s="904" customFormat="1">
      <c r="B130" s="2708"/>
      <c r="C130" s="2708"/>
      <c r="D130" s="2708"/>
      <c r="E130" s="2708"/>
      <c r="F130" s="2708"/>
      <c r="G130" s="2709"/>
      <c r="H130" s="2708"/>
      <c r="I130" s="2709"/>
      <c r="J130" s="2708"/>
      <c r="K130" s="2708"/>
      <c r="L130" s="2709"/>
      <c r="M130" s="2708"/>
      <c r="N130" s="2708"/>
      <c r="O130" s="2709"/>
      <c r="P130" s="2708"/>
      <c r="Q130" s="2708"/>
      <c r="R130" s="2710"/>
    </row>
    <row r="131" spans="2:18" s="904" customFormat="1">
      <c r="B131" s="2708"/>
      <c r="C131" s="2708"/>
      <c r="D131" s="2708"/>
      <c r="E131" s="2708"/>
      <c r="F131" s="2708"/>
      <c r="G131" s="2709"/>
      <c r="H131" s="2708"/>
      <c r="I131" s="2709"/>
      <c r="J131" s="2708"/>
      <c r="K131" s="2708"/>
      <c r="L131" s="2709"/>
      <c r="M131" s="2708"/>
      <c r="N131" s="2708"/>
      <c r="O131" s="2709"/>
      <c r="P131" s="2708"/>
      <c r="Q131" s="2708"/>
      <c r="R131" s="2710"/>
    </row>
    <row r="132" spans="2:18" s="904" customFormat="1">
      <c r="B132" s="2708"/>
      <c r="C132" s="2708"/>
      <c r="D132" s="2708"/>
      <c r="E132" s="2708"/>
      <c r="F132" s="2708"/>
      <c r="G132" s="2709"/>
      <c r="H132" s="2708"/>
      <c r="I132" s="2709"/>
      <c r="J132" s="2708"/>
      <c r="K132" s="2708"/>
      <c r="L132" s="2709"/>
      <c r="M132" s="2708"/>
      <c r="N132" s="2708"/>
      <c r="O132" s="2709"/>
      <c r="P132" s="2708"/>
      <c r="Q132" s="2708"/>
      <c r="R132" s="2710"/>
    </row>
    <row r="133" spans="2:18" s="904" customFormat="1">
      <c r="B133" s="2708"/>
      <c r="C133" s="2708"/>
      <c r="D133" s="2708"/>
      <c r="E133" s="2708"/>
      <c r="F133" s="2708"/>
      <c r="G133" s="2709"/>
      <c r="H133" s="2708"/>
      <c r="I133" s="2709"/>
      <c r="J133" s="2708"/>
      <c r="K133" s="2708"/>
      <c r="L133" s="2709"/>
      <c r="M133" s="2708"/>
      <c r="N133" s="2708"/>
      <c r="O133" s="2709"/>
      <c r="P133" s="2708"/>
      <c r="Q133" s="2708"/>
      <c r="R133" s="2710"/>
    </row>
    <row r="134" spans="2:18" s="904" customFormat="1">
      <c r="B134" s="2708"/>
      <c r="C134" s="2708"/>
      <c r="D134" s="2708"/>
      <c r="E134" s="2708"/>
      <c r="F134" s="2708"/>
      <c r="G134" s="2709"/>
      <c r="H134" s="2708"/>
      <c r="I134" s="2709"/>
      <c r="J134" s="2708"/>
      <c r="K134" s="2708"/>
      <c r="L134" s="2709"/>
      <c r="M134" s="2708"/>
      <c r="N134" s="2708"/>
      <c r="O134" s="2709"/>
      <c r="P134" s="2708"/>
      <c r="Q134" s="2708"/>
      <c r="R134" s="2710"/>
    </row>
    <row r="135" spans="2:18" s="904" customFormat="1">
      <c r="B135" s="2708"/>
      <c r="C135" s="2708"/>
      <c r="D135" s="2708"/>
      <c r="E135" s="2708"/>
      <c r="F135" s="2708"/>
      <c r="G135" s="2709"/>
      <c r="H135" s="2708"/>
      <c r="I135" s="2709"/>
      <c r="J135" s="2708"/>
      <c r="K135" s="2708"/>
      <c r="L135" s="2709"/>
      <c r="M135" s="2708"/>
      <c r="N135" s="2708"/>
      <c r="O135" s="2709"/>
      <c r="P135" s="2708"/>
      <c r="Q135" s="2708"/>
      <c r="R135" s="2710"/>
    </row>
    <row r="136" spans="2:18" s="904" customFormat="1">
      <c r="B136" s="2708"/>
      <c r="C136" s="2708"/>
      <c r="D136" s="2708"/>
      <c r="E136" s="2708"/>
      <c r="F136" s="2708"/>
      <c r="G136" s="2709"/>
      <c r="H136" s="2708"/>
      <c r="I136" s="2709"/>
      <c r="J136" s="2708"/>
      <c r="K136" s="2708"/>
      <c r="L136" s="2709"/>
      <c r="M136" s="2708"/>
      <c r="N136" s="2708"/>
      <c r="O136" s="2709"/>
      <c r="P136" s="2708"/>
      <c r="Q136" s="2708"/>
      <c r="R136" s="2710"/>
    </row>
    <row r="137" spans="2:18" s="904" customFormat="1">
      <c r="B137" s="2708"/>
      <c r="C137" s="2708"/>
      <c r="D137" s="2708"/>
      <c r="E137" s="2708"/>
      <c r="F137" s="2708"/>
      <c r="G137" s="2709"/>
      <c r="H137" s="2708"/>
      <c r="I137" s="2709"/>
      <c r="J137" s="2708"/>
      <c r="K137" s="2708"/>
      <c r="L137" s="2709"/>
      <c r="M137" s="2708"/>
      <c r="N137" s="2708"/>
      <c r="O137" s="2709"/>
      <c r="P137" s="2708"/>
      <c r="Q137" s="2708"/>
      <c r="R137" s="2710"/>
    </row>
    <row r="138" spans="2:18" s="904" customFormat="1">
      <c r="B138" s="2708"/>
      <c r="C138" s="2708"/>
      <c r="D138" s="2708"/>
      <c r="E138" s="2708"/>
      <c r="F138" s="2708"/>
      <c r="G138" s="2709"/>
      <c r="H138" s="2708"/>
      <c r="I138" s="2709"/>
      <c r="J138" s="2708"/>
      <c r="K138" s="2708"/>
      <c r="L138" s="2709"/>
      <c r="M138" s="2708"/>
      <c r="N138" s="2708"/>
      <c r="O138" s="2709"/>
      <c r="P138" s="2708"/>
      <c r="Q138" s="2708"/>
      <c r="R138" s="2710"/>
    </row>
    <row r="139" spans="2:18" s="904" customFormat="1">
      <c r="B139" s="2708"/>
      <c r="C139" s="2708"/>
      <c r="D139" s="2708"/>
      <c r="E139" s="2708"/>
      <c r="F139" s="2708"/>
      <c r="G139" s="2709"/>
      <c r="H139" s="2708"/>
      <c r="I139" s="2709"/>
      <c r="J139" s="2708"/>
      <c r="K139" s="2708"/>
      <c r="L139" s="2709"/>
      <c r="M139" s="2708"/>
      <c r="N139" s="2708"/>
      <c r="O139" s="2709"/>
      <c r="P139" s="2708"/>
      <c r="Q139" s="2708"/>
      <c r="R139" s="2710"/>
    </row>
    <row r="140" spans="2:18" s="904" customFormat="1">
      <c r="B140" s="2708"/>
      <c r="C140" s="2708"/>
      <c r="D140" s="2708"/>
      <c r="E140" s="2708"/>
      <c r="F140" s="2708"/>
      <c r="G140" s="2709"/>
      <c r="H140" s="2708"/>
      <c r="I140" s="2709"/>
      <c r="J140" s="2708"/>
      <c r="K140" s="2708"/>
      <c r="L140" s="2709"/>
      <c r="M140" s="2708"/>
      <c r="N140" s="2708"/>
      <c r="O140" s="2709"/>
      <c r="P140" s="2708"/>
      <c r="Q140" s="2708"/>
      <c r="R140" s="2710"/>
    </row>
    <row r="141" spans="2:18" s="904" customFormat="1">
      <c r="B141" s="2708"/>
      <c r="C141" s="2708"/>
      <c r="D141" s="2708"/>
      <c r="E141" s="2708"/>
      <c r="F141" s="2708"/>
      <c r="G141" s="2709"/>
      <c r="H141" s="2708"/>
      <c r="I141" s="2709"/>
      <c r="J141" s="2708"/>
      <c r="K141" s="2708"/>
      <c r="L141" s="2709"/>
      <c r="M141" s="2708"/>
      <c r="N141" s="2708"/>
      <c r="O141" s="2709"/>
      <c r="P141" s="2708"/>
      <c r="Q141" s="2708"/>
      <c r="R141" s="2710"/>
    </row>
    <row r="142" spans="2:18" s="904" customFormat="1">
      <c r="B142" s="2708"/>
      <c r="C142" s="2708"/>
      <c r="D142" s="2708"/>
      <c r="E142" s="2708"/>
      <c r="F142" s="2708"/>
      <c r="G142" s="2709"/>
      <c r="H142" s="2708"/>
      <c r="I142" s="2709"/>
      <c r="J142" s="2708"/>
      <c r="K142" s="2708"/>
      <c r="L142" s="2709"/>
      <c r="M142" s="2708"/>
      <c r="N142" s="2708"/>
      <c r="O142" s="2709"/>
      <c r="P142" s="2708"/>
      <c r="Q142" s="2708"/>
      <c r="R142" s="2710"/>
    </row>
    <row r="143" spans="2:18" s="904" customFormat="1">
      <c r="B143" s="2708"/>
      <c r="C143" s="2708"/>
      <c r="D143" s="2708"/>
      <c r="E143" s="2708"/>
      <c r="F143" s="2708"/>
      <c r="G143" s="2709"/>
      <c r="H143" s="2708"/>
      <c r="I143" s="2709"/>
      <c r="J143" s="2708"/>
      <c r="K143" s="2708"/>
      <c r="L143" s="2709"/>
      <c r="M143" s="2708"/>
      <c r="N143" s="2708"/>
      <c r="O143" s="2709"/>
      <c r="P143" s="2708"/>
      <c r="Q143" s="2708"/>
      <c r="R143" s="2710"/>
    </row>
    <row r="144" spans="2:18" s="904" customFormat="1">
      <c r="B144" s="2708"/>
      <c r="C144" s="2708"/>
      <c r="D144" s="2708"/>
      <c r="E144" s="2708"/>
      <c r="F144" s="2708"/>
      <c r="G144" s="2709"/>
      <c r="H144" s="2708"/>
      <c r="I144" s="2709"/>
      <c r="J144" s="2708"/>
      <c r="K144" s="2708"/>
      <c r="L144" s="2709"/>
      <c r="M144" s="2708"/>
      <c r="N144" s="2708"/>
      <c r="O144" s="2709"/>
      <c r="P144" s="2708"/>
      <c r="Q144" s="2708"/>
      <c r="R144" s="2710"/>
    </row>
    <row r="145" spans="2:18" s="904" customFormat="1">
      <c r="B145" s="2708"/>
      <c r="C145" s="2708"/>
      <c r="D145" s="2708"/>
      <c r="E145" s="2708"/>
      <c r="F145" s="2708"/>
      <c r="G145" s="2709"/>
      <c r="H145" s="2708"/>
      <c r="I145" s="2709"/>
      <c r="J145" s="2708"/>
      <c r="K145" s="2708"/>
      <c r="L145" s="2709"/>
      <c r="M145" s="2708"/>
      <c r="N145" s="2708"/>
      <c r="O145" s="2709"/>
      <c r="P145" s="2708"/>
      <c r="Q145" s="2708"/>
      <c r="R145" s="2710"/>
    </row>
    <row r="146" spans="2:18" s="904" customFormat="1">
      <c r="B146" s="2708"/>
      <c r="C146" s="2708"/>
      <c r="D146" s="2708"/>
      <c r="E146" s="2708"/>
      <c r="F146" s="2708"/>
      <c r="G146" s="2709"/>
      <c r="H146" s="2708"/>
      <c r="I146" s="2709"/>
      <c r="J146" s="2708"/>
      <c r="K146" s="2708"/>
      <c r="L146" s="2709"/>
      <c r="M146" s="2708"/>
      <c r="N146" s="2708"/>
      <c r="O146" s="2709"/>
      <c r="P146" s="2708"/>
      <c r="Q146" s="2708"/>
      <c r="R146" s="2710"/>
    </row>
    <row r="147" spans="2:18" s="904" customFormat="1">
      <c r="B147" s="2708"/>
      <c r="C147" s="2708"/>
      <c r="D147" s="2708"/>
      <c r="E147" s="2708"/>
      <c r="F147" s="2708"/>
      <c r="G147" s="2709"/>
      <c r="H147" s="2708"/>
      <c r="I147" s="2709"/>
      <c r="J147" s="2708"/>
      <c r="K147" s="2708"/>
      <c r="L147" s="2709"/>
      <c r="M147" s="2708"/>
      <c r="N147" s="2708"/>
      <c r="O147" s="2709"/>
      <c r="P147" s="2708"/>
      <c r="Q147" s="2708"/>
      <c r="R147" s="2710"/>
    </row>
    <row r="148" spans="2:18" s="904" customFormat="1">
      <c r="B148" s="2708"/>
      <c r="C148" s="2708"/>
      <c r="D148" s="2708"/>
      <c r="E148" s="2708"/>
      <c r="F148" s="2708"/>
      <c r="G148" s="2709"/>
      <c r="H148" s="2708"/>
      <c r="I148" s="2709"/>
      <c r="J148" s="2708"/>
      <c r="K148" s="2708"/>
      <c r="L148" s="2709"/>
      <c r="M148" s="2708"/>
      <c r="N148" s="2708"/>
      <c r="O148" s="2709"/>
      <c r="P148" s="2708"/>
      <c r="Q148" s="2708"/>
      <c r="R148" s="2710"/>
    </row>
    <row r="149" spans="2:18" s="904" customFormat="1">
      <c r="B149" s="2708"/>
      <c r="C149" s="2708"/>
      <c r="D149" s="2708"/>
      <c r="E149" s="2708"/>
      <c r="F149" s="2708"/>
      <c r="G149" s="2709"/>
      <c r="H149" s="2708"/>
      <c r="I149" s="2709"/>
      <c r="J149" s="2708"/>
      <c r="K149" s="2708"/>
      <c r="L149" s="2709"/>
      <c r="M149" s="2708"/>
      <c r="N149" s="2708"/>
      <c r="O149" s="2709"/>
      <c r="P149" s="2708"/>
      <c r="Q149" s="2708"/>
      <c r="R149" s="2710"/>
    </row>
    <row r="150" spans="2:18" s="904" customFormat="1">
      <c r="B150" s="2708"/>
      <c r="C150" s="2708"/>
      <c r="D150" s="2708"/>
      <c r="E150" s="2708"/>
      <c r="F150" s="2708"/>
      <c r="G150" s="2709"/>
      <c r="H150" s="2708"/>
      <c r="I150" s="2709"/>
      <c r="J150" s="2708"/>
      <c r="K150" s="2708"/>
      <c r="L150" s="2709"/>
      <c r="M150" s="2708"/>
      <c r="N150" s="2708"/>
      <c r="O150" s="2709"/>
      <c r="P150" s="2708"/>
      <c r="Q150" s="2708"/>
      <c r="R150" s="2710"/>
    </row>
    <row r="151" spans="2:18" s="904" customFormat="1">
      <c r="B151" s="2708"/>
      <c r="C151" s="2708"/>
      <c r="D151" s="2708"/>
      <c r="E151" s="2708"/>
      <c r="F151" s="2708"/>
      <c r="G151" s="2709"/>
      <c r="H151" s="2708"/>
      <c r="I151" s="2709"/>
      <c r="J151" s="2708"/>
      <c r="K151" s="2708"/>
      <c r="L151" s="2709"/>
      <c r="M151" s="2708"/>
      <c r="N151" s="2708"/>
      <c r="O151" s="2709"/>
      <c r="P151" s="2708"/>
      <c r="Q151" s="2708"/>
      <c r="R151" s="2710"/>
    </row>
    <row r="152" spans="2:18" s="904" customFormat="1">
      <c r="B152" s="2708"/>
      <c r="C152" s="2708"/>
      <c r="D152" s="2708"/>
      <c r="E152" s="2708"/>
      <c r="F152" s="2708"/>
      <c r="G152" s="2709"/>
      <c r="H152" s="2708"/>
      <c r="I152" s="2709"/>
      <c r="J152" s="2708"/>
      <c r="K152" s="2708"/>
      <c r="L152" s="2709"/>
      <c r="M152" s="2708"/>
      <c r="N152" s="2708"/>
      <c r="O152" s="2709"/>
      <c r="P152" s="2708"/>
      <c r="Q152" s="2708"/>
      <c r="R152" s="2710"/>
    </row>
    <row r="153" spans="2:18" s="904" customFormat="1">
      <c r="B153" s="2708"/>
      <c r="C153" s="2708"/>
      <c r="D153" s="2708"/>
      <c r="E153" s="2708"/>
      <c r="F153" s="2708"/>
      <c r="G153" s="2709"/>
      <c r="H153" s="2708"/>
      <c r="I153" s="2709"/>
      <c r="J153" s="2708"/>
      <c r="K153" s="2708"/>
      <c r="L153" s="2709"/>
      <c r="M153" s="2708"/>
      <c r="N153" s="2708"/>
      <c r="O153" s="2709"/>
      <c r="P153" s="2708"/>
      <c r="Q153" s="2708"/>
      <c r="R153" s="2710"/>
    </row>
    <row r="154" spans="2:18" s="904" customFormat="1">
      <c r="B154" s="2708"/>
      <c r="C154" s="2708"/>
      <c r="D154" s="2708"/>
      <c r="E154" s="2708"/>
      <c r="F154" s="2708"/>
      <c r="G154" s="2709"/>
      <c r="H154" s="2708"/>
      <c r="I154" s="2709"/>
      <c r="J154" s="2708"/>
      <c r="K154" s="2708"/>
      <c r="L154" s="2709"/>
      <c r="M154" s="2708"/>
      <c r="N154" s="2708"/>
      <c r="O154" s="2709"/>
      <c r="P154" s="2708"/>
      <c r="Q154" s="2708"/>
      <c r="R154" s="2710"/>
    </row>
    <row r="155" spans="2:18" s="904" customFormat="1">
      <c r="B155" s="2708"/>
      <c r="C155" s="2708"/>
      <c r="D155" s="2708"/>
      <c r="E155" s="2708"/>
      <c r="F155" s="2708"/>
      <c r="G155" s="2709"/>
      <c r="H155" s="2708"/>
      <c r="I155" s="2709"/>
      <c r="J155" s="2708"/>
      <c r="K155" s="2708"/>
      <c r="L155" s="2709"/>
      <c r="M155" s="2708"/>
      <c r="N155" s="2708"/>
      <c r="O155" s="2709"/>
      <c r="P155" s="2708"/>
      <c r="Q155" s="2708"/>
      <c r="R155" s="2710"/>
    </row>
    <row r="156" spans="2:18" s="904" customFormat="1">
      <c r="B156" s="2708"/>
      <c r="C156" s="2708"/>
      <c r="D156" s="2708"/>
      <c r="E156" s="2708"/>
      <c r="F156" s="2708"/>
      <c r="G156" s="2709"/>
      <c r="H156" s="2708"/>
      <c r="I156" s="2709"/>
      <c r="J156" s="2708"/>
      <c r="K156" s="2708"/>
      <c r="L156" s="2709"/>
      <c r="M156" s="2708"/>
      <c r="N156" s="2708"/>
      <c r="O156" s="2709"/>
      <c r="P156" s="2708"/>
      <c r="Q156" s="2708"/>
      <c r="R156" s="2710"/>
    </row>
    <row r="157" spans="2:18" s="904" customFormat="1">
      <c r="B157" s="2708"/>
      <c r="C157" s="2708"/>
      <c r="D157" s="2708"/>
      <c r="E157" s="2708"/>
      <c r="F157" s="2708"/>
      <c r="G157" s="2709"/>
      <c r="H157" s="2708"/>
      <c r="I157" s="2709"/>
      <c r="J157" s="2708"/>
      <c r="K157" s="2708"/>
      <c r="L157" s="2709"/>
      <c r="M157" s="2708"/>
      <c r="N157" s="2708"/>
      <c r="O157" s="2709"/>
      <c r="P157" s="2708"/>
      <c r="Q157" s="2708"/>
      <c r="R157" s="2710"/>
    </row>
    <row r="158" spans="2:18" s="904" customFormat="1">
      <c r="B158" s="2708"/>
      <c r="C158" s="2708"/>
      <c r="D158" s="2708"/>
      <c r="E158" s="2708"/>
      <c r="F158" s="2708"/>
      <c r="G158" s="2709"/>
      <c r="H158" s="2708"/>
      <c r="I158" s="2709"/>
      <c r="J158" s="2708"/>
      <c r="K158" s="2708"/>
      <c r="L158" s="2709"/>
      <c r="M158" s="2708"/>
      <c r="N158" s="2708"/>
      <c r="O158" s="2709"/>
      <c r="P158" s="2708"/>
      <c r="Q158" s="2708"/>
      <c r="R158" s="2710"/>
    </row>
    <row r="159" spans="2:18" s="904" customFormat="1">
      <c r="B159" s="2708"/>
      <c r="C159" s="2708"/>
      <c r="D159" s="2708"/>
      <c r="E159" s="2708"/>
      <c r="F159" s="2708"/>
      <c r="G159" s="2709"/>
      <c r="H159" s="2708"/>
      <c r="I159" s="2709"/>
      <c r="J159" s="2708"/>
      <c r="K159" s="2708"/>
      <c r="L159" s="2709"/>
      <c r="M159" s="2708"/>
      <c r="N159" s="2708"/>
      <c r="O159" s="2709"/>
      <c r="P159" s="2708"/>
      <c r="Q159" s="2708"/>
      <c r="R159" s="2710"/>
    </row>
    <row r="160" spans="2:18" s="904" customFormat="1">
      <c r="B160" s="2708"/>
      <c r="C160" s="2708"/>
      <c r="D160" s="2708"/>
      <c r="E160" s="2708"/>
      <c r="F160" s="2708"/>
      <c r="G160" s="2709"/>
      <c r="H160" s="2708"/>
      <c r="I160" s="2709"/>
      <c r="J160" s="2708"/>
      <c r="K160" s="2708"/>
      <c r="L160" s="2709"/>
      <c r="M160" s="2708"/>
      <c r="N160" s="2708"/>
      <c r="O160" s="2709"/>
      <c r="P160" s="2708"/>
      <c r="Q160" s="2708"/>
      <c r="R160" s="2710"/>
    </row>
    <row r="161" spans="2:18" s="904" customFormat="1">
      <c r="B161" s="2708"/>
      <c r="C161" s="2708"/>
      <c r="D161" s="2708"/>
      <c r="E161" s="2708"/>
      <c r="F161" s="2708"/>
      <c r="G161" s="2709"/>
      <c r="H161" s="2708"/>
      <c r="I161" s="2709"/>
      <c r="J161" s="2708"/>
      <c r="K161" s="2708"/>
      <c r="L161" s="2709"/>
      <c r="M161" s="2708"/>
      <c r="N161" s="2708"/>
      <c r="O161" s="2709"/>
      <c r="P161" s="2708"/>
      <c r="Q161" s="2708"/>
      <c r="R161" s="2710"/>
    </row>
    <row r="162" spans="2:18" s="904" customFormat="1">
      <c r="B162" s="2708"/>
      <c r="C162" s="2708"/>
      <c r="D162" s="2708"/>
      <c r="E162" s="2708"/>
      <c r="F162" s="2708"/>
      <c r="G162" s="2709"/>
      <c r="H162" s="2708"/>
      <c r="I162" s="2709"/>
      <c r="J162" s="2708"/>
      <c r="K162" s="2708"/>
      <c r="L162" s="2709"/>
      <c r="M162" s="2708"/>
      <c r="N162" s="2708"/>
      <c r="O162" s="2709"/>
      <c r="P162" s="2708"/>
      <c r="Q162" s="2708"/>
      <c r="R162" s="2710"/>
    </row>
    <row r="163" spans="2:18" s="904" customFormat="1">
      <c r="B163" s="2708"/>
      <c r="C163" s="2708"/>
      <c r="D163" s="2708"/>
      <c r="E163" s="2708"/>
      <c r="F163" s="2708"/>
      <c r="G163" s="2709"/>
      <c r="H163" s="2708"/>
      <c r="I163" s="2709"/>
      <c r="J163" s="2708"/>
      <c r="K163" s="2708"/>
      <c r="L163" s="2709"/>
      <c r="M163" s="2708"/>
      <c r="N163" s="2708"/>
      <c r="O163" s="2709"/>
      <c r="P163" s="2708"/>
      <c r="Q163" s="2708"/>
      <c r="R163" s="2710"/>
    </row>
    <row r="164" spans="2:18" s="904" customFormat="1">
      <c r="B164" s="2708"/>
      <c r="C164" s="2708"/>
      <c r="D164" s="2708"/>
      <c r="E164" s="2708"/>
      <c r="F164" s="2708"/>
      <c r="G164" s="2709"/>
      <c r="H164" s="2708"/>
      <c r="I164" s="2709"/>
      <c r="J164" s="2708"/>
      <c r="K164" s="2708"/>
      <c r="L164" s="2709"/>
      <c r="M164" s="2708"/>
      <c r="N164" s="2708"/>
      <c r="O164" s="2709"/>
      <c r="P164" s="2708"/>
      <c r="Q164" s="2708"/>
      <c r="R164" s="2710"/>
    </row>
    <row r="165" spans="2:18" s="904" customFormat="1">
      <c r="B165" s="2708"/>
      <c r="C165" s="2708"/>
      <c r="D165" s="2708"/>
      <c r="E165" s="2708"/>
      <c r="F165" s="2708"/>
      <c r="G165" s="2709"/>
      <c r="H165" s="2708"/>
      <c r="I165" s="2709"/>
      <c r="J165" s="2708"/>
      <c r="K165" s="2708"/>
      <c r="L165" s="2709"/>
      <c r="M165" s="2708"/>
      <c r="N165" s="2708"/>
      <c r="O165" s="2709"/>
      <c r="P165" s="2708"/>
      <c r="Q165" s="2708"/>
      <c r="R165" s="2710"/>
    </row>
    <row r="166" spans="2:18" s="904" customFormat="1">
      <c r="B166" s="2708"/>
      <c r="C166" s="2708"/>
      <c r="D166" s="2708"/>
      <c r="E166" s="2708"/>
      <c r="F166" s="2708"/>
      <c r="G166" s="2709"/>
      <c r="H166" s="2708"/>
      <c r="I166" s="2709"/>
      <c r="J166" s="2708"/>
      <c r="K166" s="2708"/>
      <c r="L166" s="2709"/>
      <c r="M166" s="2708"/>
      <c r="N166" s="2708"/>
      <c r="O166" s="2709"/>
      <c r="P166" s="2708"/>
      <c r="Q166" s="2708"/>
      <c r="R166" s="2710"/>
    </row>
    <row r="167" spans="2:18" s="904" customFormat="1">
      <c r="B167" s="2708"/>
      <c r="C167" s="2708"/>
      <c r="D167" s="2708"/>
      <c r="E167" s="2708"/>
      <c r="F167" s="2708"/>
      <c r="G167" s="2709"/>
      <c r="H167" s="2708"/>
      <c r="I167" s="2709"/>
      <c r="J167" s="2708"/>
      <c r="K167" s="2708"/>
      <c r="L167" s="2709"/>
      <c r="M167" s="2708"/>
      <c r="N167" s="2708"/>
      <c r="O167" s="2709"/>
      <c r="P167" s="2708"/>
      <c r="Q167" s="2708"/>
      <c r="R167" s="2710"/>
    </row>
    <row r="168" spans="2:18" s="904" customFormat="1">
      <c r="B168" s="2708"/>
      <c r="C168" s="2708"/>
      <c r="D168" s="2708"/>
      <c r="E168" s="2708"/>
      <c r="F168" s="2708"/>
      <c r="G168" s="2709"/>
      <c r="H168" s="2708"/>
      <c r="I168" s="2709"/>
      <c r="J168" s="2708"/>
      <c r="K168" s="2708"/>
      <c r="L168" s="2709"/>
      <c r="M168" s="2708"/>
      <c r="N168" s="2708"/>
      <c r="O168" s="2709"/>
      <c r="P168" s="2708"/>
      <c r="Q168" s="2708"/>
      <c r="R168" s="2710"/>
    </row>
    <row r="169" spans="2:18" s="904" customFormat="1">
      <c r="B169" s="2708"/>
      <c r="C169" s="2708"/>
      <c r="D169" s="2708"/>
      <c r="E169" s="2708"/>
      <c r="F169" s="2708"/>
      <c r="G169" s="2709"/>
      <c r="H169" s="2708"/>
      <c r="I169" s="2709"/>
      <c r="J169" s="2708"/>
      <c r="K169" s="2708"/>
      <c r="L169" s="2709"/>
      <c r="M169" s="2708"/>
      <c r="N169" s="2708"/>
      <c r="O169" s="2709"/>
      <c r="P169" s="2708"/>
      <c r="Q169" s="2708"/>
      <c r="R169" s="2710"/>
    </row>
    <row r="170" spans="2:18" s="904" customFormat="1">
      <c r="B170" s="2708"/>
      <c r="C170" s="2708"/>
      <c r="D170" s="2708"/>
      <c r="E170" s="2708"/>
      <c r="F170" s="2708"/>
      <c r="G170" s="2709"/>
      <c r="H170" s="2708"/>
      <c r="I170" s="2709"/>
      <c r="J170" s="2708"/>
      <c r="K170" s="2708"/>
      <c r="L170" s="2709"/>
      <c r="M170" s="2708"/>
      <c r="N170" s="2708"/>
      <c r="O170" s="2709"/>
      <c r="P170" s="2708"/>
      <c r="Q170" s="2708"/>
      <c r="R170" s="2710"/>
    </row>
    <row r="171" spans="2:18" s="904" customFormat="1">
      <c r="B171" s="2708"/>
      <c r="C171" s="2708"/>
      <c r="D171" s="2708"/>
      <c r="E171" s="2708"/>
      <c r="F171" s="2708"/>
      <c r="G171" s="2709"/>
      <c r="H171" s="2708"/>
      <c r="I171" s="2709"/>
      <c r="J171" s="2708"/>
      <c r="K171" s="2708"/>
      <c r="L171" s="2709"/>
      <c r="M171" s="2708"/>
      <c r="N171" s="2708"/>
      <c r="O171" s="2709"/>
      <c r="P171" s="2708"/>
      <c r="Q171" s="2708"/>
      <c r="R171" s="2710"/>
    </row>
    <row r="172" spans="2:18" s="904" customFormat="1">
      <c r="B172" s="2708"/>
      <c r="C172" s="2708"/>
      <c r="D172" s="2708"/>
      <c r="E172" s="2708"/>
      <c r="F172" s="2708"/>
      <c r="G172" s="2709"/>
      <c r="H172" s="2708"/>
      <c r="I172" s="2709"/>
      <c r="J172" s="2708"/>
      <c r="K172" s="2708"/>
      <c r="L172" s="2709"/>
      <c r="M172" s="2708"/>
      <c r="N172" s="2708"/>
      <c r="O172" s="2709"/>
      <c r="P172" s="2708"/>
      <c r="Q172" s="2708"/>
      <c r="R172" s="2710"/>
    </row>
    <row r="173" spans="2:18" s="904" customFormat="1">
      <c r="B173" s="2708"/>
      <c r="C173" s="2708"/>
      <c r="D173" s="2708"/>
      <c r="E173" s="2708"/>
      <c r="F173" s="2708"/>
      <c r="G173" s="2709"/>
      <c r="H173" s="2708"/>
      <c r="I173" s="2709"/>
      <c r="J173" s="2708"/>
      <c r="K173" s="2708"/>
      <c r="L173" s="2709"/>
      <c r="M173" s="2708"/>
      <c r="N173" s="2708"/>
      <c r="O173" s="2709"/>
      <c r="P173" s="2708"/>
      <c r="Q173" s="2708"/>
      <c r="R173" s="2710"/>
    </row>
    <row r="174" spans="2:18" s="904" customFormat="1">
      <c r="B174" s="2708"/>
      <c r="C174" s="2708"/>
      <c r="D174" s="2708"/>
      <c r="E174" s="2708"/>
      <c r="F174" s="2708"/>
      <c r="G174" s="2709"/>
      <c r="H174" s="2708"/>
      <c r="I174" s="2709"/>
      <c r="J174" s="2708"/>
      <c r="K174" s="2708"/>
      <c r="L174" s="2709"/>
      <c r="M174" s="2708"/>
      <c r="N174" s="2708"/>
      <c r="O174" s="2709"/>
      <c r="P174" s="2708"/>
      <c r="Q174" s="2708"/>
      <c r="R174" s="2710"/>
    </row>
    <row r="175" spans="2:18" s="904" customFormat="1">
      <c r="B175" s="2708"/>
      <c r="C175" s="2708"/>
      <c r="D175" s="2708"/>
      <c r="E175" s="2708"/>
      <c r="F175" s="2708"/>
      <c r="G175" s="2709"/>
      <c r="H175" s="2708"/>
      <c r="I175" s="2709"/>
      <c r="J175" s="2708"/>
      <c r="K175" s="2708"/>
      <c r="L175" s="2709"/>
      <c r="M175" s="2708"/>
      <c r="N175" s="2708"/>
      <c r="O175" s="2709"/>
      <c r="P175" s="2708"/>
      <c r="Q175" s="2708"/>
      <c r="R175" s="2710"/>
    </row>
    <row r="176" spans="2:18" s="904" customFormat="1">
      <c r="B176" s="2708"/>
      <c r="C176" s="2708"/>
      <c r="D176" s="2708"/>
      <c r="E176" s="2708"/>
      <c r="F176" s="2708"/>
      <c r="G176" s="2709"/>
      <c r="H176" s="2708"/>
      <c r="I176" s="2709"/>
      <c r="J176" s="2708"/>
      <c r="K176" s="2708"/>
      <c r="L176" s="2709"/>
      <c r="M176" s="2708"/>
      <c r="N176" s="2708"/>
      <c r="O176" s="2709"/>
      <c r="P176" s="2708"/>
      <c r="Q176" s="2708"/>
      <c r="R176" s="2710"/>
    </row>
    <row r="177" spans="1:18" s="904" customFormat="1">
      <c r="B177" s="2708"/>
      <c r="C177" s="2708"/>
      <c r="D177" s="2708"/>
      <c r="E177" s="2708"/>
      <c r="F177" s="2708"/>
      <c r="G177" s="2709"/>
      <c r="H177" s="2708"/>
      <c r="I177" s="2709"/>
      <c r="J177" s="2708"/>
      <c r="K177" s="2708"/>
      <c r="L177" s="2709"/>
      <c r="M177" s="2708"/>
      <c r="N177" s="2708"/>
      <c r="O177" s="2709"/>
      <c r="P177" s="2708"/>
      <c r="Q177" s="2708"/>
      <c r="R177" s="2710"/>
    </row>
    <row r="178" spans="1:18" s="904" customFormat="1">
      <c r="B178" s="2708"/>
      <c r="C178" s="2708"/>
      <c r="D178" s="2708"/>
      <c r="E178" s="2708"/>
      <c r="F178" s="2708"/>
      <c r="G178" s="2709"/>
      <c r="H178" s="2708"/>
      <c r="I178" s="2709"/>
      <c r="J178" s="2708"/>
      <c r="K178" s="2708"/>
      <c r="L178" s="2709"/>
      <c r="M178" s="2708"/>
      <c r="N178" s="2708"/>
      <c r="O178" s="2709"/>
      <c r="P178" s="2708"/>
      <c r="Q178" s="2708"/>
      <c r="R178" s="2710"/>
    </row>
    <row r="179" spans="1:18" s="904" customFormat="1">
      <c r="B179" s="2708"/>
      <c r="C179" s="2708"/>
      <c r="D179" s="2708"/>
      <c r="E179" s="2708"/>
      <c r="F179" s="2708"/>
      <c r="G179" s="2709"/>
      <c r="H179" s="2708"/>
      <c r="I179" s="2709"/>
      <c r="J179" s="2708"/>
      <c r="K179" s="2708"/>
      <c r="L179" s="2709"/>
      <c r="M179" s="2708"/>
      <c r="N179" s="2708"/>
      <c r="O179" s="2709"/>
      <c r="P179" s="2708"/>
      <c r="Q179" s="2708"/>
      <c r="R179" s="2710"/>
    </row>
    <row r="180" spans="1:18" s="904" customFormat="1">
      <c r="B180" s="2708"/>
      <c r="C180" s="2708"/>
      <c r="D180" s="2708"/>
      <c r="E180" s="2708"/>
      <c r="F180" s="2708"/>
      <c r="G180" s="2709"/>
      <c r="H180" s="2708"/>
      <c r="I180" s="2709"/>
      <c r="J180" s="2708"/>
      <c r="K180" s="2708"/>
      <c r="L180" s="2709"/>
      <c r="M180" s="2708"/>
      <c r="N180" s="2708"/>
      <c r="O180" s="2709"/>
      <c r="P180" s="2708"/>
      <c r="Q180" s="2708"/>
      <c r="R180" s="2710"/>
    </row>
    <row r="181" spans="1:18" s="904" customFormat="1">
      <c r="B181" s="2708"/>
      <c r="C181" s="2708"/>
      <c r="D181" s="2708"/>
      <c r="E181" s="2708"/>
      <c r="F181" s="2708"/>
      <c r="G181" s="2709"/>
      <c r="H181" s="2708"/>
      <c r="I181" s="2709"/>
      <c r="J181" s="2708"/>
      <c r="K181" s="2708"/>
      <c r="L181" s="2709"/>
      <c r="M181" s="2708"/>
      <c r="N181" s="2708"/>
      <c r="O181" s="2709"/>
      <c r="P181" s="2708"/>
      <c r="Q181" s="2708"/>
      <c r="R181" s="2710"/>
    </row>
    <row r="182" spans="1:18" s="904" customFormat="1">
      <c r="B182" s="2708"/>
      <c r="C182" s="2708"/>
      <c r="D182" s="2708"/>
      <c r="E182" s="2708"/>
      <c r="F182" s="2708"/>
      <c r="G182" s="2709"/>
      <c r="H182" s="2708"/>
      <c r="I182" s="2709"/>
      <c r="J182" s="2708"/>
      <c r="K182" s="2708"/>
      <c r="L182" s="2709"/>
      <c r="M182" s="2708"/>
      <c r="N182" s="2708"/>
      <c r="O182" s="2709"/>
      <c r="P182" s="2708"/>
      <c r="Q182" s="2708"/>
      <c r="R182" s="2710"/>
    </row>
    <row r="183" spans="1:18" s="904" customFormat="1">
      <c r="B183" s="2708"/>
      <c r="C183" s="2708"/>
      <c r="D183" s="2708"/>
      <c r="E183" s="2708"/>
      <c r="F183" s="2708"/>
      <c r="G183" s="2709"/>
      <c r="H183" s="2708"/>
      <c r="I183" s="2709"/>
      <c r="J183" s="2708"/>
      <c r="K183" s="2708"/>
      <c r="L183" s="2709"/>
      <c r="M183" s="2708"/>
      <c r="N183" s="2708"/>
      <c r="O183" s="2709"/>
      <c r="P183" s="2708"/>
      <c r="Q183" s="2708"/>
      <c r="R183" s="2710"/>
    </row>
    <row r="184" spans="1:18" s="904" customFormat="1">
      <c r="B184" s="2708"/>
      <c r="C184" s="2708"/>
      <c r="D184" s="2708"/>
      <c r="E184" s="2708"/>
      <c r="F184" s="2708"/>
      <c r="G184" s="2709"/>
      <c r="H184" s="2708"/>
      <c r="I184" s="2709"/>
      <c r="J184" s="2708"/>
      <c r="K184" s="2708"/>
      <c r="L184" s="2709"/>
      <c r="M184" s="2708"/>
      <c r="N184" s="2708"/>
      <c r="O184" s="2709"/>
      <c r="P184" s="2708"/>
      <c r="Q184" s="2708"/>
      <c r="R184" s="2710"/>
    </row>
    <row r="185" spans="1:18" s="904"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4"/>
      <c r="B186" s="2708"/>
      <c r="C186" s="2708"/>
      <c r="E186" s="2708"/>
      <c r="F186" s="2708"/>
      <c r="G186" s="2709"/>
    </row>
    <row r="187" spans="1:18">
      <c r="A187" s="904"/>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6" sqref="F6"/>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96983.22</v>
      </c>
      <c r="C1" s="2906"/>
      <c r="D1" s="2906"/>
      <c r="E1" s="2906"/>
      <c r="F1" s="2906"/>
      <c r="G1" s="2907"/>
      <c r="H1" s="2908"/>
      <c r="I1" s="2908"/>
      <c r="J1" s="2908"/>
      <c r="K1" s="2908"/>
    </row>
    <row r="2" spans="1:11" ht="16.5">
      <c r="A2" s="2729" t="s">
        <v>1319</v>
      </c>
      <c r="B2" s="2729">
        <f>SUM(C14:C23)</f>
        <v>47924.04</v>
      </c>
      <c r="C2" s="2906"/>
      <c r="D2" s="2906"/>
      <c r="E2" s="2906"/>
      <c r="F2" s="2906"/>
      <c r="G2" s="2907"/>
      <c r="H2" s="2908"/>
      <c r="I2" s="2908"/>
      <c r="J2" s="2908"/>
      <c r="K2" s="2908"/>
    </row>
    <row r="3" spans="1:11" ht="16.5">
      <c r="A3" s="2729" t="s">
        <v>1328</v>
      </c>
      <c r="B3" s="2731">
        <f>项目基本情况!D3</f>
        <v>44362</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85587</v>
      </c>
      <c r="C5" s="2729">
        <f ca="1">ROUND(B5*10000/$B$1,0)</f>
        <v>8825</v>
      </c>
      <c r="D5" s="2729">
        <f ca="1">ROUND(B5*10000/$B$2,0)</f>
        <v>17859</v>
      </c>
      <c r="E5" s="2906"/>
      <c r="F5" s="2907"/>
      <c r="G5" s="2907"/>
      <c r="H5" s="2908"/>
      <c r="I5" s="2908"/>
      <c r="J5" s="2908"/>
      <c r="K5" s="2908"/>
    </row>
    <row r="6" spans="1:11" ht="16.5">
      <c r="A6" s="2729" t="s">
        <v>1322</v>
      </c>
      <c r="B6" s="2729">
        <f>SUM(G14:G23)</f>
        <v>0</v>
      </c>
      <c r="C6" s="2729">
        <f>ROUND(B6*10000/$B$1,0)</f>
        <v>0</v>
      </c>
      <c r="D6" s="2729">
        <f>ROUND(B6*10000/$B$2,0)</f>
        <v>0</v>
      </c>
      <c r="E6" s="2906"/>
      <c r="F6" s="2907">
        <f ca="1">B5/B1*10000</f>
        <v>8824.9286835392759</v>
      </c>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SUM(I14:I23)</f>
        <v>0</v>
      </c>
      <c r="C8" s="2729">
        <f>ROUND(B8*10000/$B$1,0)</f>
        <v>0</v>
      </c>
      <c r="D8" s="2729">
        <f>ROUND(B8*10000/$B$2,0)</f>
        <v>0</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96983.22</v>
      </c>
      <c r="C14" s="2735">
        <f>结果表!C118</f>
        <v>47924.04</v>
      </c>
      <c r="D14" s="2735">
        <f ca="1">结果表!H118</f>
        <v>85587</v>
      </c>
      <c r="E14" s="2735">
        <f ca="1">ROUND(D14*10000/B14,0)</f>
        <v>8825</v>
      </c>
      <c r="F14" s="2735">
        <f ca="1">ROUND(D14*10000/C14,0)</f>
        <v>17859</v>
      </c>
      <c r="G14" s="2735"/>
      <c r="H14" s="2735" t="str">
        <f>结果表!D124</f>
        <v>——</v>
      </c>
      <c r="I14" s="2735" t="str">
        <f>结果表!D126</f>
        <v>——</v>
      </c>
      <c r="J14" s="2907" t="s">
        <v>3073</v>
      </c>
      <c r="K14" s="2908"/>
    </row>
    <row r="15" spans="1:11" ht="16.5">
      <c r="A15" s="2734" t="s">
        <v>1315</v>
      </c>
      <c r="B15" s="2736"/>
      <c r="C15" s="2736"/>
      <c r="D15" s="2736"/>
      <c r="E15" s="2735" t="e">
        <f t="shared" ref="E15:E23" si="0">ROUND(D15*10000/B15,0)</f>
        <v>#DIV/0!</v>
      </c>
      <c r="F15" s="2735" t="e">
        <f t="shared" ref="F15:F23" si="1">ROUND(D15*10000/C15,0)</f>
        <v>#DIV/0!</v>
      </c>
      <c r="G15" s="1498"/>
      <c r="H15" s="1498"/>
      <c r="I15" s="2736"/>
      <c r="J15" s="2907" t="s">
        <v>3074</v>
      </c>
      <c r="K15" s="2908"/>
    </row>
    <row r="16" spans="1:11" ht="16.5">
      <c r="A16" s="2734" t="s">
        <v>1314</v>
      </c>
      <c r="B16" s="2736"/>
      <c r="C16" s="2736"/>
      <c r="D16" s="2736"/>
      <c r="E16" s="2735" t="e">
        <f t="shared" si="0"/>
        <v>#DIV/0!</v>
      </c>
      <c r="F16" s="2735" t="e">
        <f t="shared" si="1"/>
        <v>#DIV/0!</v>
      </c>
      <c r="G16" s="1498"/>
      <c r="H16" s="1498"/>
      <c r="I16" s="2736"/>
      <c r="J16" s="2908" t="s">
        <v>3075</v>
      </c>
      <c r="K16" s="2908"/>
    </row>
    <row r="17" spans="1:11" ht="16.5">
      <c r="A17" s="2734" t="s">
        <v>1313</v>
      </c>
      <c r="B17" s="2736"/>
      <c r="C17" s="2736"/>
      <c r="D17" s="2736"/>
      <c r="E17" s="2735" t="e">
        <f t="shared" si="0"/>
        <v>#DIV/0!</v>
      </c>
      <c r="F17" s="2735" t="e">
        <f t="shared" si="1"/>
        <v>#DIV/0!</v>
      </c>
      <c r="G17" s="1498"/>
      <c r="H17" s="1498"/>
      <c r="I17" s="2736"/>
      <c r="J17" s="2908" t="s">
        <v>3076</v>
      </c>
      <c r="K17" s="2908"/>
    </row>
    <row r="18" spans="1:11" ht="16.5">
      <c r="A18" s="2734" t="s">
        <v>1312</v>
      </c>
      <c r="B18" s="2736"/>
      <c r="C18" s="2736"/>
      <c r="D18" s="2736"/>
      <c r="E18" s="2735" t="e">
        <f t="shared" si="0"/>
        <v>#DIV/0!</v>
      </c>
      <c r="F18" s="2735" t="e">
        <f t="shared" si="1"/>
        <v>#DIV/0!</v>
      </c>
      <c r="G18" s="2736"/>
      <c r="H18" s="2736"/>
      <c r="I18" s="2736"/>
      <c r="J18" s="2908" t="s">
        <v>3077</v>
      </c>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935"/>
    <col min="3" max="4" width="12.625" style="1935" customWidth="1"/>
    <col min="5" max="9" width="12.625" style="1935"/>
    <col min="10" max="11" width="12.625" style="731" customWidth="1"/>
    <col min="12" max="12" width="12.625" style="731"/>
    <col min="13" max="13" width="14.125" style="731" bestFit="1" customWidth="1"/>
    <col min="14" max="26" width="12.625" style="731"/>
    <col min="27" max="35" width="12.625" style="1934"/>
    <col min="36" max="16384" width="12.625" style="1935"/>
  </cols>
  <sheetData>
    <row r="1" spans="1:12" ht="21.75" customHeight="1" thickBot="1">
      <c r="A1" s="1819" t="s">
        <v>1946</v>
      </c>
      <c r="B1" s="1929"/>
      <c r="C1" s="1930" t="s">
        <v>1343</v>
      </c>
      <c r="D1" s="1929"/>
      <c r="E1" s="1929"/>
      <c r="F1" s="1931" t="s">
        <v>1947</v>
      </c>
      <c r="G1" s="1744" t="s">
        <v>3069</v>
      </c>
      <c r="H1" s="1932" t="str">
        <f>IF(G1="现房","——","估价对象范围")</f>
        <v>——</v>
      </c>
      <c r="I1" s="1933" t="s">
        <v>3078</v>
      </c>
    </row>
    <row r="2" spans="1:12" ht="21.75" customHeight="1" thickBot="1">
      <c r="A2" s="3242" t="str">
        <f>项目基本情况!S2</f>
        <v>四川省雅安市雨城区熊猫大道66号等6处商业用房房地产</v>
      </c>
      <c r="B2" s="3243"/>
      <c r="C2" s="3243"/>
      <c r="D2" s="3243"/>
      <c r="E2" s="3243"/>
      <c r="F2" s="3243"/>
      <c r="G2" s="3243"/>
      <c r="H2" s="3243"/>
      <c r="I2" s="3244"/>
    </row>
    <row r="3" spans="1:12" ht="12.75">
      <c r="A3" s="3246" t="s">
        <v>1948</v>
      </c>
      <c r="B3" s="3247"/>
      <c r="C3" s="3247"/>
      <c r="D3" s="3247"/>
      <c r="E3" s="3247"/>
      <c r="F3" s="3247"/>
      <c r="G3" s="3247"/>
      <c r="H3" s="3247"/>
      <c r="I3" s="3247"/>
    </row>
    <row r="4" spans="1:12" ht="14.25">
      <c r="A4" s="1936" t="s">
        <v>1949</v>
      </c>
      <c r="B4" s="1937" t="s">
        <v>1950</v>
      </c>
      <c r="C4" s="1938" t="s">
        <v>3065</v>
      </c>
      <c r="D4" s="1938" t="s">
        <v>3048</v>
      </c>
      <c r="E4" s="3251" t="s">
        <v>1951</v>
      </c>
      <c r="F4" s="3252"/>
      <c r="G4" s="3252"/>
      <c r="H4" s="3252"/>
      <c r="I4" s="3253"/>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1952</v>
      </c>
      <c r="B5" s="3245">
        <v>25</v>
      </c>
      <c r="C5" s="3248"/>
      <c r="D5" s="3236"/>
      <c r="E5" s="133" t="s">
        <v>1953</v>
      </c>
      <c r="F5" s="1939"/>
      <c r="G5" s="1939"/>
      <c r="H5" s="1939"/>
      <c r="I5" s="1555"/>
    </row>
    <row r="6" spans="1:12" ht="12.75">
      <c r="A6" s="3187"/>
      <c r="B6" s="3245"/>
      <c r="C6" s="3250"/>
      <c r="D6" s="3236"/>
      <c r="E6" s="133" t="s">
        <v>1954</v>
      </c>
      <c r="F6" s="1939"/>
      <c r="G6" s="1939"/>
      <c r="H6" s="1939"/>
      <c r="I6" s="1555"/>
    </row>
    <row r="7" spans="1:12" ht="12.75">
      <c r="A7" s="3187"/>
      <c r="B7" s="3245"/>
      <c r="C7" s="3249"/>
      <c r="D7" s="3236"/>
      <c r="E7" s="133" t="s">
        <v>1955</v>
      </c>
      <c r="F7" s="1939"/>
      <c r="G7" s="1939"/>
      <c r="H7" s="1939"/>
      <c r="I7" s="1555"/>
    </row>
    <row r="8" spans="1:12" ht="12.75">
      <c r="A8" s="3187" t="s">
        <v>1956</v>
      </c>
      <c r="B8" s="3245">
        <v>15</v>
      </c>
      <c r="C8" s="3248"/>
      <c r="D8" s="3236"/>
      <c r="E8" s="133" t="s">
        <v>1957</v>
      </c>
      <c r="F8" s="1939"/>
      <c r="G8" s="1939"/>
      <c r="H8" s="1939"/>
      <c r="I8" s="1555"/>
    </row>
    <row r="9" spans="1:12" ht="12.75">
      <c r="A9" s="3187"/>
      <c r="B9" s="3245"/>
      <c r="C9" s="3249"/>
      <c r="D9" s="3236"/>
      <c r="E9" s="133" t="s">
        <v>1958</v>
      </c>
      <c r="F9" s="1939"/>
      <c r="G9" s="1939"/>
      <c r="H9" s="1939"/>
      <c r="I9" s="1555"/>
    </row>
    <row r="10" spans="1:12" ht="12.75">
      <c r="A10" s="3187" t="s">
        <v>1959</v>
      </c>
      <c r="B10" s="3245">
        <v>15</v>
      </c>
      <c r="C10" s="3248"/>
      <c r="D10" s="3236"/>
      <c r="E10" s="133" t="s">
        <v>1960</v>
      </c>
      <c r="F10" s="1939"/>
      <c r="G10" s="1939"/>
      <c r="H10" s="1939"/>
      <c r="I10" s="1555"/>
    </row>
    <row r="11" spans="1:12" ht="12.75">
      <c r="A11" s="3187"/>
      <c r="B11" s="3245"/>
      <c r="C11" s="3249"/>
      <c r="D11" s="3236"/>
      <c r="E11" s="133" t="s">
        <v>1961</v>
      </c>
      <c r="F11" s="1939"/>
      <c r="G11" s="1939"/>
      <c r="H11" s="1939"/>
      <c r="I11" s="1555"/>
    </row>
    <row r="12" spans="1:12" ht="12.75">
      <c r="A12" s="3187" t="s">
        <v>1962</v>
      </c>
      <c r="B12" s="3245">
        <v>15</v>
      </c>
      <c r="C12" s="3248"/>
      <c r="D12" s="3236"/>
      <c r="E12" s="133" t="s">
        <v>1963</v>
      </c>
      <c r="F12" s="1939"/>
      <c r="G12" s="1939"/>
      <c r="H12" s="1939"/>
      <c r="I12" s="1555"/>
    </row>
    <row r="13" spans="1:12" ht="12.75">
      <c r="A13" s="3187"/>
      <c r="B13" s="3245"/>
      <c r="C13" s="3249"/>
      <c r="D13" s="3236"/>
      <c r="E13" s="133" t="s">
        <v>1964</v>
      </c>
      <c r="F13" s="1939"/>
      <c r="G13" s="1939"/>
      <c r="H13" s="1939"/>
      <c r="I13" s="1555"/>
    </row>
    <row r="14" spans="1:12" ht="12.75">
      <c r="A14" s="3187" t="s">
        <v>1965</v>
      </c>
      <c r="B14" s="3245">
        <v>30</v>
      </c>
      <c r="C14" s="3248">
        <v>5</v>
      </c>
      <c r="D14" s="3236">
        <v>5</v>
      </c>
      <c r="E14" s="133" t="s">
        <v>1966</v>
      </c>
      <c r="F14" s="1939"/>
      <c r="G14" s="1939"/>
      <c r="H14" s="1939"/>
      <c r="I14" s="1555"/>
    </row>
    <row r="15" spans="1:12" ht="12.75">
      <c r="A15" s="3187"/>
      <c r="B15" s="3245"/>
      <c r="C15" s="3250"/>
      <c r="D15" s="3236"/>
      <c r="E15" s="133" t="s">
        <v>1967</v>
      </c>
      <c r="F15" s="1939"/>
      <c r="G15" s="1939"/>
      <c r="H15" s="1939"/>
      <c r="I15" s="1555"/>
    </row>
    <row r="16" spans="1:12" ht="12.75">
      <c r="A16" s="3187"/>
      <c r="B16" s="3245"/>
      <c r="C16" s="3249"/>
      <c r="D16" s="3236"/>
      <c r="E16" s="133" t="s">
        <v>1968</v>
      </c>
      <c r="F16" s="1939"/>
      <c r="G16" s="1939"/>
      <c r="H16" s="1939"/>
      <c r="I16" s="1555"/>
    </row>
    <row r="17" spans="1:36" ht="15">
      <c r="A17" s="1940" t="s">
        <v>1969</v>
      </c>
      <c r="B17" s="60"/>
      <c r="C17" s="134">
        <f>SUM(C5:C16)</f>
        <v>5</v>
      </c>
      <c r="D17" s="134">
        <f>SUM(D5:D16)</f>
        <v>5</v>
      </c>
      <c r="E17" s="131"/>
      <c r="F17" s="131"/>
      <c r="G17" s="131"/>
      <c r="H17" s="131"/>
      <c r="I17" s="131"/>
      <c r="K17" s="305"/>
      <c r="L17" s="305" t="s">
        <v>1970</v>
      </c>
      <c r="M17" s="305" t="s">
        <v>1971</v>
      </c>
    </row>
    <row r="18" spans="1:36" ht="31.9" customHeight="1" thickBot="1">
      <c r="A18" s="1941" t="s">
        <v>1972</v>
      </c>
      <c r="B18" s="1942"/>
      <c r="C18" s="135">
        <f>ROUND(C17/SUM(C17:D17),2)</f>
        <v>0.5</v>
      </c>
      <c r="D18" s="135">
        <f>1-C18</f>
        <v>0.5</v>
      </c>
      <c r="E18" s="3267" t="s">
        <v>2864</v>
      </c>
      <c r="F18" s="3268"/>
      <c r="G18" s="3268"/>
      <c r="H18" s="3268"/>
      <c r="I18" s="3268"/>
      <c r="J18" s="3077" t="s">
        <v>3281</v>
      </c>
      <c r="K18" s="305" t="s">
        <v>1973</v>
      </c>
      <c r="L18" s="305">
        <f>IF(C1="",'数据-汇总表'!E3,SUMIF(项目类型,C1,'数据-汇总表'!E17:E26)+SUMIF(项目类型,C1,'数据-汇总表'!I17:I26))</f>
        <v>96983.22</v>
      </c>
      <c r="M18" s="305">
        <f>IF(C1="",'数据-汇总表'!E3,SUMIF(项目类型,C1,'数据-汇总表'!E17:E26))</f>
        <v>96983.22</v>
      </c>
    </row>
    <row r="19" spans="1:36" ht="15">
      <c r="A19" s="1943" t="s">
        <v>1974</v>
      </c>
      <c r="B19" s="1944" t="s">
        <v>1975</v>
      </c>
      <c r="C19" s="136">
        <f ca="1">SUMIF(INDIRECT("'"&amp;C4&amp;"'"&amp;"!A:A"),结果表!B19,INDIRECT("'"&amp;C4&amp;"'"&amp;"!B:B"))</f>
        <v>77417</v>
      </c>
      <c r="D19" s="137">
        <f ca="1">SUMIF(INDIRECT("'"&amp;D4&amp;"'"&amp;"!A:A"),结果表!B19,INDIRECT("'"&amp;D4&amp;"'"&amp;"!B:B"))</f>
        <v>93756</v>
      </c>
      <c r="E19" s="1943" t="s">
        <v>1976</v>
      </c>
      <c r="F19" s="1944" t="s">
        <v>1975</v>
      </c>
      <c r="G19" s="138">
        <f ca="1">ROUND(C19*$C$18+D19*$D$18,0)</f>
        <v>85587</v>
      </c>
      <c r="H19" s="1945" t="s">
        <v>1977</v>
      </c>
      <c r="I19" s="131"/>
      <c r="J19" s="731">
        <v>85332</v>
      </c>
      <c r="K19" s="305" t="s">
        <v>1978</v>
      </c>
      <c r="L19" s="305">
        <f>IF(C1="",'数据-汇总表'!D3,SUMIF(项目类型,C1,'数据-汇总表'!D17:D26)+SUMIF(项目类型,C1,'数据-汇总表'!H17:H27))</f>
        <v>47924.04</v>
      </c>
      <c r="M19" s="305">
        <f>IF(C1="",'数据-汇总表'!D3,SUMIF(项目类型,C1,'数据-汇总表'!D17:D26))</f>
        <v>47924.04</v>
      </c>
    </row>
    <row r="20" spans="1:36" ht="15">
      <c r="A20" s="1946"/>
      <c r="B20" s="1154" t="s">
        <v>1979</v>
      </c>
      <c r="C20" s="139">
        <f ca="1">SUMIF(INDIRECT("'"&amp;C4&amp;"'"&amp;"!A:A"),结果表!B20,INDIRECT("'"&amp;C4&amp;"'"&amp;"!B:B"))</f>
        <v>7983</v>
      </c>
      <c r="D20" s="140">
        <f ca="1">SUMIF(INDIRECT("'"&amp;D4&amp;"'"&amp;"!A:A"),结果表!B20,INDIRECT("'"&amp;D4&amp;"'"&amp;"!B:B"))</f>
        <v>9667</v>
      </c>
      <c r="E20" s="1946"/>
      <c r="F20" s="1154" t="s">
        <v>1979</v>
      </c>
      <c r="G20" s="141">
        <f ca="1">ROUND(C20*$C$18+D20*$D$18,0)</f>
        <v>8825</v>
      </c>
      <c r="H20" s="914" t="s">
        <v>1980</v>
      </c>
      <c r="I20" s="131"/>
    </row>
    <row r="21" spans="1:36" ht="15" customHeight="1" thickBot="1">
      <c r="A21" s="934"/>
      <c r="B21" s="1947" t="s">
        <v>1981</v>
      </c>
      <c r="C21" s="725">
        <f ca="1">ROUND(C19*10000/L19,0)</f>
        <v>16154</v>
      </c>
      <c r="D21" s="726">
        <f ca="1">ROUND(D19*10000/L19,0)</f>
        <v>19563</v>
      </c>
      <c r="E21" s="934"/>
      <c r="F21" s="1947" t="s">
        <v>1981</v>
      </c>
      <c r="G21" s="142">
        <f ca="1">ROUND(G19*10000/L19,0)</f>
        <v>17859</v>
      </c>
      <c r="H21" s="1948" t="s">
        <v>1980</v>
      </c>
      <c r="I21" s="131"/>
    </row>
    <row r="22" spans="1:36" ht="15" thickBot="1">
      <c r="A22" s="1871" t="s">
        <v>1982</v>
      </c>
      <c r="B22" s="1949"/>
      <c r="C22" s="1950"/>
      <c r="D22" s="727">
        <f ca="1">IF(C19&lt;D19,D19/C19-1,C19/D19-1)</f>
        <v>0.21105183616001644</v>
      </c>
      <c r="E22" s="131"/>
      <c r="F22" s="131"/>
      <c r="G22" s="131"/>
      <c r="H22" s="131"/>
      <c r="I22" s="131"/>
    </row>
    <row r="23" spans="1:36" ht="13.5" thickBot="1">
      <c r="A23" s="1929"/>
      <c r="B23" s="1929"/>
      <c r="C23" s="1929"/>
      <c r="D23" s="1929"/>
      <c r="E23" s="131"/>
      <c r="F23" s="131"/>
      <c r="G23" s="131"/>
      <c r="H23" s="131"/>
      <c r="I23" s="131"/>
    </row>
    <row r="24" spans="1:36" ht="14.25">
      <c r="A24" s="3260" t="s">
        <v>1983</v>
      </c>
      <c r="B24" s="1944" t="s">
        <v>1975</v>
      </c>
      <c r="C24" s="138">
        <f>IF(B30=0,0,D30)</f>
        <v>0</v>
      </c>
      <c r="D24" s="1951"/>
      <c r="E24" s="131"/>
      <c r="F24" s="131"/>
      <c r="G24" s="131"/>
      <c r="H24" s="131"/>
      <c r="I24" s="131"/>
    </row>
    <row r="25" spans="1:36" ht="14.25">
      <c r="A25" s="3261"/>
      <c r="B25" s="1154" t="s">
        <v>1979</v>
      </c>
      <c r="C25" s="143">
        <f>IF(B30=0,0,C30)</f>
        <v>0</v>
      </c>
      <c r="D25" s="1952"/>
      <c r="E25" s="131"/>
      <c r="F25" s="131"/>
      <c r="G25" s="131"/>
      <c r="H25" s="131"/>
      <c r="I25" s="131"/>
    </row>
    <row r="26" spans="1:36" ht="13.5" customHeight="1">
      <c r="A26" s="1953" t="s">
        <v>1984</v>
      </c>
      <c r="B26" s="144" t="s">
        <v>1985</v>
      </c>
      <c r="C26" s="144" t="s">
        <v>1986</v>
      </c>
      <c r="D26" s="145" t="s">
        <v>1987</v>
      </c>
      <c r="E26" s="131"/>
      <c r="F26" s="131"/>
      <c r="G26" s="131"/>
      <c r="H26" s="131"/>
      <c r="I26" s="131"/>
    </row>
    <row r="27" spans="1:36" ht="14.25">
      <c r="A27" s="1953"/>
      <c r="B27" s="144">
        <v>0</v>
      </c>
      <c r="C27" s="144">
        <v>0</v>
      </c>
      <c r="D27" s="145">
        <f>ROUND(C27*B27/10000,0)</f>
        <v>0</v>
      </c>
      <c r="E27" s="131"/>
      <c r="F27" s="131"/>
      <c r="G27" s="131"/>
      <c r="H27" s="131"/>
      <c r="I27" s="131"/>
    </row>
    <row r="28" spans="1:36" ht="14.25">
      <c r="A28" s="1953"/>
      <c r="B28" s="144"/>
      <c r="C28" s="144"/>
      <c r="D28" s="145"/>
      <c r="E28" s="131"/>
      <c r="F28" s="131"/>
      <c r="G28" s="131"/>
      <c r="H28" s="131"/>
      <c r="I28" s="131"/>
    </row>
    <row r="29" spans="1:36" ht="14.25">
      <c r="A29" s="1953"/>
      <c r="B29" s="144"/>
      <c r="C29" s="144"/>
      <c r="D29" s="145"/>
      <c r="E29" s="131"/>
      <c r="F29" s="131"/>
      <c r="G29" s="131"/>
      <c r="H29" s="131"/>
      <c r="I29" s="131"/>
    </row>
    <row r="30" spans="1:36" ht="15" thickBot="1">
      <c r="A30" s="144" t="s">
        <v>1988</v>
      </c>
      <c r="B30" s="144"/>
      <c r="C30" s="144"/>
      <c r="D30" s="144"/>
      <c r="E30" s="2517" t="s">
        <v>2865</v>
      </c>
      <c r="F30" s="131"/>
      <c r="G30" s="131"/>
      <c r="H30" s="131"/>
      <c r="I30" s="131"/>
    </row>
    <row r="31" spans="1:36" s="2523" customFormat="1" ht="26.45" customHeight="1" thickTop="1" thickBot="1">
      <c r="A31" s="2518"/>
      <c r="B31" s="2519"/>
      <c r="C31" s="2519"/>
      <c r="D31" s="2519"/>
      <c r="E31" s="2519"/>
      <c r="F31" s="2519"/>
      <c r="G31" s="2519"/>
      <c r="H31" s="2519"/>
      <c r="I31" s="2520" t="s">
        <v>2866</v>
      </c>
      <c r="J31" s="2909"/>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1989</v>
      </c>
      <c r="B32" s="1956"/>
      <c r="C32" s="146">
        <f ca="1">IF(D32="总价",G19-C24,G20-C25)</f>
        <v>85587</v>
      </c>
      <c r="D32" s="1957" t="s">
        <v>3079</v>
      </c>
      <c r="E32" s="131"/>
      <c r="F32" s="131"/>
      <c r="G32" s="131"/>
      <c r="H32" s="131"/>
      <c r="I32" s="131"/>
    </row>
    <row r="33" spans="1:15" ht="15">
      <c r="A33" s="891" t="s">
        <v>1990</v>
      </c>
      <c r="B33" s="1958"/>
      <c r="C33" s="1959" t="s">
        <v>3080</v>
      </c>
      <c r="D33" s="1960" t="s">
        <v>3065</v>
      </c>
      <c r="E33" s="1961" t="s">
        <v>1991</v>
      </c>
      <c r="F33" s="1962" t="str">
        <f>IF(D32="楼面单价","取值（单价）","取值（总价）")</f>
        <v>取值（总价）</v>
      </c>
      <c r="G33" s="131"/>
      <c r="H33" s="131"/>
      <c r="I33" s="131"/>
    </row>
    <row r="34" spans="1:15" ht="15">
      <c r="A34" s="1963"/>
      <c r="B34" s="1964" t="s">
        <v>1992</v>
      </c>
      <c r="C34" s="150">
        <f ca="1">IF(C33="自定义",F34,C32-C35)</f>
        <v>24478</v>
      </c>
      <c r="D34" s="967">
        <f ca="1">IF(C33="自定义",ROUND(C34/C32,3),IF(C33="收益比率",SUMIF(INDIRECT("'"&amp;D33&amp;"'"&amp;"!b:b"),"土地收益比率",INDIRECT("'"&amp;D33&amp;"'"&amp;"!c:c")),SUMIF(INDIRECT("'"&amp;D33&amp;"'"&amp;"!b:b"),"土地成本比率",INDIRECT("'"&amp;D33&amp;"'"&amp;"!c:c"))))</f>
        <v>0.28600000000000003</v>
      </c>
      <c r="E34" s="1965" t="s">
        <v>1993</v>
      </c>
      <c r="F34" s="1496"/>
      <c r="G34" s="131"/>
      <c r="H34" s="131"/>
      <c r="I34" s="131"/>
    </row>
    <row r="35" spans="1:15" ht="15.75" thickBot="1">
      <c r="A35" s="1966"/>
      <c r="B35" s="1967" t="s">
        <v>1994</v>
      </c>
      <c r="C35" s="1329">
        <f ca="1">IF(C33="自定义",F35,ROUND(C32*D35,0))</f>
        <v>61109</v>
      </c>
      <c r="D35" s="1330">
        <f ca="1">IF(C33="自定义",ROUND(C35/C32,3),IF(C33="收益比率",SUMIF(INDIRECT("'"&amp;D33&amp;"'"&amp;"!b:b"),"建筑物收益比率",INDIRECT("'"&amp;D33&amp;"'"&amp;"!c:c")),SUMIF(INDIRECT("'"&amp;D33&amp;"'"&amp;"!b:b"),"建筑物成本比率",INDIRECT("'"&amp;D33&amp;"'"&amp;"!c:c"))))</f>
        <v>0.71399999999999997</v>
      </c>
      <c r="E35" s="1968" t="s">
        <v>1995</v>
      </c>
      <c r="F35" s="156"/>
      <c r="G35" s="131"/>
      <c r="H35" s="131"/>
      <c r="I35" s="131"/>
    </row>
    <row r="36" spans="1:15" ht="15.75" thickBot="1">
      <c r="A36" s="3237" t="s">
        <v>1996</v>
      </c>
      <c r="B36" s="1969" t="s">
        <v>1997</v>
      </c>
      <c r="C36" s="147"/>
      <c r="D36" s="1970"/>
      <c r="E36" s="1971"/>
      <c r="F36" s="1972"/>
      <c r="G36" s="131"/>
      <c r="H36" s="131"/>
      <c r="I36" s="131"/>
    </row>
    <row r="37" spans="1:15" ht="15.75" thickBot="1">
      <c r="A37" s="3238"/>
      <c r="B37" s="1857" t="s">
        <v>1998</v>
      </c>
      <c r="C37" s="149"/>
      <c r="D37" s="1298"/>
      <c r="E37" s="1298"/>
      <c r="F37" s="1972"/>
      <c r="G37" s="131"/>
      <c r="H37" s="131"/>
      <c r="I37" s="131"/>
    </row>
    <row r="38" spans="1:15" ht="15.75" thickBot="1">
      <c r="A38" s="3239"/>
      <c r="B38" s="1973" t="s">
        <v>1999</v>
      </c>
      <c r="C38" s="680"/>
      <c r="D38" s="1974" t="s">
        <v>2000</v>
      </c>
      <c r="E38" s="1298"/>
      <c r="F38" s="1972"/>
      <c r="G38" s="131"/>
      <c r="H38" s="131"/>
      <c r="I38" s="131"/>
    </row>
    <row r="39" spans="1:15" ht="15">
      <c r="A39" s="1946" t="s">
        <v>2001</v>
      </c>
      <c r="B39" s="1975" t="s">
        <v>2002</v>
      </c>
      <c r="C39" s="1976" t="s">
        <v>2003</v>
      </c>
      <c r="D39" s="1976" t="s">
        <v>2004</v>
      </c>
      <c r="E39" s="1977" t="s">
        <v>2005</v>
      </c>
      <c r="F39" s="1972"/>
      <c r="G39" s="131"/>
      <c r="H39" s="131"/>
      <c r="I39" s="131"/>
    </row>
    <row r="40" spans="1:15" ht="14.25">
      <c r="A40" s="1978" t="s">
        <v>2006</v>
      </c>
      <c r="B40" s="151"/>
      <c r="C40" s="152"/>
      <c r="D40" s="152"/>
      <c r="E40" s="153"/>
      <c r="F40" s="1972"/>
      <c r="G40" s="131"/>
      <c r="H40" s="131"/>
      <c r="I40" s="131"/>
    </row>
    <row r="41" spans="1:15" ht="14.25">
      <c r="A41" s="1978" t="s">
        <v>2007</v>
      </c>
      <c r="B41" s="151"/>
      <c r="C41" s="152"/>
      <c r="D41" s="152"/>
      <c r="E41" s="153"/>
      <c r="F41" s="1972"/>
      <c r="G41" s="131"/>
      <c r="H41" s="131"/>
      <c r="I41" s="131"/>
    </row>
    <row r="42" spans="1:15" ht="15" thickBot="1">
      <c r="A42" s="1979"/>
      <c r="B42" s="154"/>
      <c r="C42" s="155"/>
      <c r="D42" s="155"/>
      <c r="E42" s="156"/>
      <c r="F42" s="1972"/>
      <c r="G42" s="131"/>
      <c r="H42" s="131"/>
      <c r="I42" s="131"/>
    </row>
    <row r="43" spans="1:15" ht="12.75">
      <c r="A43" s="1759"/>
      <c r="B43" s="1759"/>
      <c r="C43" s="1759"/>
      <c r="D43" s="1759"/>
      <c r="E43" s="1759"/>
      <c r="F43" s="1980"/>
      <c r="G43" s="1980"/>
      <c r="H43" s="1980"/>
      <c r="I43" s="1981"/>
    </row>
    <row r="44" spans="1:15" ht="18.75" hidden="1">
      <c r="A44" s="1982" t="s">
        <v>2008</v>
      </c>
      <c r="B44" s="1983"/>
      <c r="C44" s="1983"/>
      <c r="D44" s="1984"/>
      <c r="E44" s="1984"/>
      <c r="F44" s="1985"/>
      <c r="G44" s="1985"/>
      <c r="H44" s="1985"/>
      <c r="I44" s="1985"/>
      <c r="J44" s="1986" t="s">
        <v>2009</v>
      </c>
      <c r="K44" s="1987"/>
      <c r="L44" s="1987"/>
      <c r="M44" s="1987"/>
      <c r="N44" s="1987"/>
      <c r="O44" s="1987"/>
    </row>
    <row r="45" spans="1:15" ht="14.25" hidden="1" customHeight="1" thickBot="1">
      <c r="A45" s="3257" t="s">
        <v>2010</v>
      </c>
      <c r="B45" s="3258"/>
      <c r="C45" s="3259"/>
      <c r="D45" s="157">
        <f ca="1">ROUND(H101*F45,0)</f>
        <v>51352</v>
      </c>
      <c r="E45" s="158" t="s">
        <v>2011</v>
      </c>
      <c r="F45" s="159">
        <v>0.6</v>
      </c>
      <c r="G45" s="160" t="s">
        <v>2012</v>
      </c>
      <c r="H45" s="131"/>
      <c r="I45" s="131"/>
      <c r="J45" s="3174" t="s">
        <v>2013</v>
      </c>
      <c r="K45" s="3174"/>
      <c r="L45" s="3174"/>
      <c r="M45" s="3174"/>
      <c r="N45" s="3174"/>
      <c r="O45" s="3174"/>
    </row>
    <row r="46" spans="1:15" ht="14.25" hidden="1" customHeight="1">
      <c r="A46" s="3254" t="s">
        <v>2014</v>
      </c>
      <c r="B46" s="3255"/>
      <c r="C46" s="3255"/>
      <c r="D46" s="3255"/>
      <c r="E46" s="3255"/>
      <c r="F46" s="3255"/>
      <c r="G46" s="3256"/>
      <c r="H46" s="1988"/>
      <c r="I46" s="161"/>
      <c r="J46" s="2740">
        <v>1</v>
      </c>
      <c r="K46" s="3175" t="s">
        <v>2015</v>
      </c>
      <c r="L46" s="3175"/>
      <c r="M46" s="3176"/>
      <c r="N46" s="3176"/>
      <c r="O46" s="3176"/>
    </row>
    <row r="47" spans="1:15" ht="12" hidden="1" customHeight="1">
      <c r="A47" s="162" t="s">
        <v>2016</v>
      </c>
      <c r="B47" s="163"/>
      <c r="C47" s="164"/>
      <c r="D47" s="1244" t="s">
        <v>2017</v>
      </c>
      <c r="E47" s="305" t="s">
        <v>2018</v>
      </c>
      <c r="F47" s="165" t="s">
        <v>2019</v>
      </c>
      <c r="G47" s="2763" t="s">
        <v>2020</v>
      </c>
      <c r="H47" s="2764"/>
      <c r="I47" s="161"/>
      <c r="J47" s="2740">
        <v>2</v>
      </c>
      <c r="K47" s="3175" t="s">
        <v>2021</v>
      </c>
      <c r="L47" s="3175"/>
      <c r="M47" s="3177">
        <f>'数据-取费表'!B2</f>
        <v>44362</v>
      </c>
      <c r="N47" s="3177"/>
      <c r="O47" s="3177"/>
    </row>
    <row r="48" spans="1:15" ht="25.5" hidden="1">
      <c r="A48" s="3240" t="s">
        <v>2022</v>
      </c>
      <c r="B48" s="3241"/>
      <c r="C48" s="3241"/>
      <c r="D48" s="2543">
        <f ca="1">IF(H48="情况1",0,IF(H48="情况2",D52,IF(H48="情况3",D53,IF(H48="情况4",D54))))</f>
        <v>2030</v>
      </c>
      <c r="E48" s="2553" t="str">
        <f>IF(H48="情况4","(销售额-原购置价)×税（费）率","销售额×税（费）率")</f>
        <v>(销售额-原购置价)×税（费）率</v>
      </c>
      <c r="F48" s="2765">
        <f>IF(H48="情况1","免征",'数据-取费表'!B41)</f>
        <v>5.5000000000000007E-2</v>
      </c>
      <c r="G48" s="2766" t="s">
        <v>2023</v>
      </c>
      <c r="H48" s="2767" t="s">
        <v>3099</v>
      </c>
      <c r="I48" s="1988"/>
      <c r="J48" s="2740">
        <v>3</v>
      </c>
      <c r="K48" s="3175" t="s">
        <v>2024</v>
      </c>
      <c r="L48" s="3175"/>
      <c r="M48" s="3178">
        <f ca="1">H101</f>
        <v>85587</v>
      </c>
      <c r="N48" s="3178"/>
      <c r="O48" s="3178"/>
    </row>
    <row r="49" spans="1:35" ht="25.5" hidden="1" customHeight="1">
      <c r="A49" s="2552" t="s">
        <v>2025</v>
      </c>
      <c r="B49" s="3223" t="s">
        <v>2026</v>
      </c>
      <c r="C49" s="3223"/>
      <c r="D49" s="1772">
        <v>0</v>
      </c>
      <c r="E49" s="327" t="s">
        <v>2027</v>
      </c>
      <c r="F49" s="2642" t="s">
        <v>34</v>
      </c>
      <c r="G49" s="3206"/>
      <c r="H49" s="2524" t="s">
        <v>2867</v>
      </c>
      <c r="I49" s="2525"/>
      <c r="J49" s="2740">
        <v>4</v>
      </c>
      <c r="K49" s="3175" t="str">
        <f>IF(项目基本情况!E8="房地产抵押价值","房地产抵押价值","抵押担保权已注销时的房地产抵押价值")</f>
        <v>房地产抵押价值</v>
      </c>
      <c r="L49" s="3175"/>
      <c r="M49" s="3178">
        <f ca="1">IF(项目基本情况!E8="房地产抵押价值",H107,H109)</f>
        <v>85587</v>
      </c>
      <c r="N49" s="3178"/>
      <c r="O49" s="3178"/>
    </row>
    <row r="50" spans="1:35" ht="25.5" hidden="1" customHeight="1">
      <c r="A50" s="2768"/>
      <c r="B50" s="3223" t="s">
        <v>2028</v>
      </c>
      <c r="C50" s="3223"/>
      <c r="D50" s="2769"/>
      <c r="E50" s="335"/>
      <c r="F50" s="2642"/>
      <c r="G50" s="3207"/>
      <c r="H50" s="2526" t="s">
        <v>2868</v>
      </c>
      <c r="I50" s="2525"/>
      <c r="J50" s="3174" t="s">
        <v>2029</v>
      </c>
      <c r="K50" s="3174"/>
      <c r="L50" s="3174"/>
      <c r="M50" s="3174"/>
      <c r="N50" s="3174"/>
      <c r="O50" s="3174"/>
    </row>
    <row r="51" spans="1:35" ht="20.45" hidden="1" customHeight="1">
      <c r="A51" s="2770"/>
      <c r="B51" s="3223" t="s">
        <v>2030</v>
      </c>
      <c r="C51" s="3223"/>
      <c r="D51" s="1244"/>
      <c r="E51" s="330"/>
      <c r="F51" s="2642"/>
      <c r="G51" s="3208"/>
      <c r="H51" s="2526" t="s">
        <v>2869</v>
      </c>
      <c r="I51" s="2525"/>
      <c r="J51" s="2741" t="s">
        <v>2031</v>
      </c>
      <c r="K51" s="3175" t="s">
        <v>2032</v>
      </c>
      <c r="L51" s="3175"/>
      <c r="M51" s="2741" t="s">
        <v>2033</v>
      </c>
      <c r="N51" s="2741" t="s">
        <v>2034</v>
      </c>
      <c r="O51" s="2741" t="s">
        <v>2035</v>
      </c>
    </row>
    <row r="52" spans="1:35" ht="24" hidden="1" customHeight="1">
      <c r="A52" s="2554" t="s">
        <v>2036</v>
      </c>
      <c r="B52" s="3223" t="s">
        <v>2037</v>
      </c>
      <c r="C52" s="3223"/>
      <c r="D52" s="1244">
        <f ca="1">ROUND(D45*'数据-取费表'!B41/(1+'数据-取费表'!C42),0)</f>
        <v>2690</v>
      </c>
      <c r="E52" s="2553" t="s">
        <v>2038</v>
      </c>
      <c r="F52" s="2771">
        <f>'数据-取费表'!B41</f>
        <v>5.5000000000000007E-2</v>
      </c>
      <c r="G52" s="2772"/>
      <c r="H52" s="2761"/>
      <c r="I52" s="1989"/>
      <c r="J52" s="2740">
        <v>1</v>
      </c>
      <c r="K52" s="3200" t="s">
        <v>2039</v>
      </c>
      <c r="L52" s="3200"/>
      <c r="M52" s="2742">
        <f ca="1">D48</f>
        <v>2030</v>
      </c>
      <c r="N52" s="2740" t="str">
        <f>E48</f>
        <v>(销售额-原购置价)×税（费）率</v>
      </c>
      <c r="O52" s="2743">
        <f>F48</f>
        <v>5.5000000000000007E-2</v>
      </c>
    </row>
    <row r="53" spans="1:35" ht="12" hidden="1" customHeight="1">
      <c r="A53" s="2554" t="s">
        <v>2040</v>
      </c>
      <c r="B53" s="3224" t="s">
        <v>3019</v>
      </c>
      <c r="C53" s="3225"/>
      <c r="D53" s="1244">
        <f ca="1">ROUND(D45*'数据-取费表'!B41/(1+'数据-取费表'!C42),0)</f>
        <v>2690</v>
      </c>
      <c r="E53" s="2553" t="s">
        <v>2038</v>
      </c>
      <c r="F53" s="2771">
        <f>'数据-取费表'!B41</f>
        <v>5.5000000000000007E-2</v>
      </c>
      <c r="G53" s="2772"/>
      <c r="H53" s="2761"/>
      <c r="I53" s="1989"/>
      <c r="J53" s="2740">
        <v>2</v>
      </c>
      <c r="K53" s="3200" t="s">
        <v>2041</v>
      </c>
      <c r="L53" s="3200"/>
      <c r="M53" s="2742">
        <f t="shared" ref="M53:O54" ca="1" si="0">D55</f>
        <v>26</v>
      </c>
      <c r="N53" s="2740" t="str">
        <f t="shared" si="0"/>
        <v>销售额×税（费）率</v>
      </c>
      <c r="O53" s="2743">
        <f t="shared" si="0"/>
        <v>5.0000000000000001E-4</v>
      </c>
    </row>
    <row r="54" spans="1:35" ht="12" hidden="1" customHeight="1">
      <c r="A54" s="2554" t="s">
        <v>2042</v>
      </c>
      <c r="B54" s="3224" t="s">
        <v>3020</v>
      </c>
      <c r="C54" s="3225"/>
      <c r="D54" s="1244">
        <f ca="1">C68</f>
        <v>2030</v>
      </c>
      <c r="E54" s="330" t="s">
        <v>2043</v>
      </c>
      <c r="F54" s="2771">
        <f>'数据-取费表'!B41</f>
        <v>5.5000000000000007E-2</v>
      </c>
      <c r="G54" s="2772"/>
      <c r="H54" s="2773"/>
      <c r="I54" s="1989"/>
      <c r="J54" s="2740">
        <v>3</v>
      </c>
      <c r="K54" s="3200" t="s">
        <v>2044</v>
      </c>
      <c r="L54" s="3200"/>
      <c r="M54" s="2742">
        <f t="shared" ca="1" si="0"/>
        <v>17380</v>
      </c>
      <c r="N54" s="2740" t="str">
        <f t="shared" si="0"/>
        <v>增值额×税（费）率</v>
      </c>
      <c r="O54" s="2744" t="str">
        <f t="shared" si="0"/>
        <v>——</v>
      </c>
    </row>
    <row r="55" spans="1:35" ht="24" hidden="1" customHeight="1">
      <c r="A55" s="3263" t="s">
        <v>2045</v>
      </c>
      <c r="B55" s="3241"/>
      <c r="C55" s="3241"/>
      <c r="D55" s="2543">
        <f ca="1">IF(H55="个人住宅",0,ROUND(D45*I55,0))</f>
        <v>26</v>
      </c>
      <c r="E55" s="2553" t="s">
        <v>2046</v>
      </c>
      <c r="F55" s="2771">
        <f>IF(H55="正常",I55,"免征")</f>
        <v>5.0000000000000001E-4</v>
      </c>
      <c r="G55" s="2772"/>
      <c r="H55" s="2767" t="s">
        <v>3100</v>
      </c>
      <c r="I55" s="167">
        <f>'数据-取费表'!B49</f>
        <v>5.0000000000000001E-4</v>
      </c>
      <c r="J55" s="2740" t="str">
        <f>IF(H59="非个人房产","",4)</f>
        <v/>
      </c>
      <c r="K55" s="3200" t="str">
        <f>IF(H59="非个人房产","——","个人所得税")</f>
        <v>——</v>
      </c>
      <c r="L55" s="3200"/>
      <c r="M55" s="2745" t="str">
        <f>D59</f>
        <v>——</v>
      </c>
      <c r="N55" s="2224" t="str">
        <f>E59</f>
        <v>——</v>
      </c>
      <c r="O55" s="2746" t="str">
        <f>F59</f>
        <v>——</v>
      </c>
    </row>
    <row r="56" spans="1:35" ht="24.75" hidden="1">
      <c r="A56" s="3263" t="s">
        <v>2047</v>
      </c>
      <c r="B56" s="3241"/>
      <c r="C56" s="3241"/>
      <c r="D56" s="2543">
        <f ca="1">IF(H56="个人住宅",D57,D58)</f>
        <v>17380</v>
      </c>
      <c r="E56" s="2553" t="s">
        <v>2048</v>
      </c>
      <c r="F56" s="2771" t="str">
        <f>IF(H56="正常",F58,"免征")</f>
        <v>——</v>
      </c>
      <c r="G56" s="2774" t="s">
        <v>2049</v>
      </c>
      <c r="H56" s="2775" t="s">
        <v>3100</v>
      </c>
      <c r="I56" s="1990"/>
      <c r="J56" s="2740" t="str">
        <f>IF(项目基本情况!K6="上海银行",IF(J55="",4,J55+1),"")</f>
        <v/>
      </c>
      <c r="K56" s="3181" t="str">
        <f>IF(项目基本情况!K6="上海银行","其他处置费用","")</f>
        <v/>
      </c>
      <c r="L56" s="3182"/>
      <c r="M56" s="2742" t="str">
        <f>IF(项目基本情况!K6="上海银行",M69,"")</f>
        <v/>
      </c>
      <c r="N56" s="3181" t="str">
        <f>IF(项目基本情况!K6="上海银行","包含处置中涉及的律师、诉讼、拍卖、评估等费用","")</f>
        <v/>
      </c>
      <c r="O56" s="3184"/>
    </row>
    <row r="57" spans="1:35" ht="12.75" hidden="1">
      <c r="A57" s="2554" t="s">
        <v>2025</v>
      </c>
      <c r="B57" s="3224" t="s">
        <v>2050</v>
      </c>
      <c r="C57" s="3225"/>
      <c r="D57" s="1772">
        <v>0</v>
      </c>
      <c r="E57" s="327" t="s">
        <v>2027</v>
      </c>
      <c r="F57" s="305"/>
      <c r="G57" s="2772"/>
      <c r="H57" s="2776"/>
      <c r="I57" s="1990"/>
      <c r="J57" s="3200">
        <f>IF(AND(J55="",J56=""),4,IF(项目基本情况!K6="上海银行",结果表!J56+1,结果表!J55+1))</f>
        <v>4</v>
      </c>
      <c r="K57" s="3200" t="s">
        <v>2051</v>
      </c>
      <c r="L57" s="2747" t="s">
        <v>2052</v>
      </c>
      <c r="M57" s="2748"/>
      <c r="N57" s="2749">
        <f ca="1">SUMIF(M52:M56,"&lt;9e307")</f>
        <v>19436</v>
      </c>
      <c r="O57" s="2750"/>
      <c r="P57" s="2910">
        <f ca="1">N57/M49</f>
        <v>0.22709056281911971</v>
      </c>
    </row>
    <row r="58" spans="1:35" ht="24.75" hidden="1">
      <c r="A58" s="2554" t="s">
        <v>2036</v>
      </c>
      <c r="B58" s="3224" t="s">
        <v>2053</v>
      </c>
      <c r="C58" s="3223"/>
      <c r="D58" s="2543">
        <f ca="1">IF(H58="转让取得",C81,C97)</f>
        <v>17380</v>
      </c>
      <c r="E58" s="2553" t="s">
        <v>2048</v>
      </c>
      <c r="F58" s="305" t="s">
        <v>34</v>
      </c>
      <c r="G58" s="2772"/>
      <c r="H58" s="2775" t="s">
        <v>3101</v>
      </c>
      <c r="I58" s="1990"/>
      <c r="J58" s="3200"/>
      <c r="K58" s="3200"/>
      <c r="L58" s="2747" t="s">
        <v>2054</v>
      </c>
      <c r="M58" s="2751"/>
      <c r="N58" s="2752" t="str">
        <f ca="1">NUMBERSTRING(INT(N57*10000),2)&amp;"元整"</f>
        <v>壹亿玖仟肆佰叁拾陆万元整</v>
      </c>
      <c r="O58" s="2753"/>
    </row>
    <row r="59" spans="1:35" ht="24.75" hidden="1" thickBot="1">
      <c r="A59" s="3204" t="s">
        <v>2055</v>
      </c>
      <c r="B59" s="3205"/>
      <c r="C59" s="3205"/>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2049</v>
      </c>
      <c r="H59" s="2528" t="s">
        <v>3103</v>
      </c>
      <c r="I59" s="2527" t="s">
        <v>2870</v>
      </c>
      <c r="J59" s="3202">
        <f>J57+1</f>
        <v>5</v>
      </c>
      <c r="K59" s="3200" t="s">
        <v>2056</v>
      </c>
      <c r="L59" s="2740" t="s">
        <v>2052</v>
      </c>
      <c r="M59" s="2754"/>
      <c r="N59" s="2755">
        <f ca="1">M49-N57</f>
        <v>66151</v>
      </c>
      <c r="O59" s="2756"/>
    </row>
    <row r="60" spans="1:35" ht="12" hidden="1" customHeight="1">
      <c r="A60" s="1991"/>
      <c r="B60" s="1929"/>
      <c r="C60" s="1929"/>
      <c r="D60" s="1929"/>
      <c r="E60" s="1760"/>
      <c r="F60" s="1990"/>
      <c r="G60" s="1990"/>
      <c r="H60" s="1992"/>
      <c r="I60" s="131"/>
      <c r="J60" s="3203"/>
      <c r="K60" s="3200"/>
      <c r="L60" s="2747" t="s">
        <v>2054</v>
      </c>
      <c r="M60" s="2751"/>
      <c r="N60" s="2752" t="str">
        <f ca="1">NUMBERSTRING(INT(N59*10000),2)&amp;"元整"</f>
        <v>陆亿陆仟壹佰伍拾壹万元整</v>
      </c>
      <c r="O60" s="2753"/>
    </row>
    <row r="61" spans="1:35" ht="13.5" hidden="1" thickBot="1">
      <c r="A61" s="3262" t="s">
        <v>2057</v>
      </c>
      <c r="B61" s="3262"/>
      <c r="C61" s="3262"/>
      <c r="D61" s="3262"/>
      <c r="E61" s="3262"/>
      <c r="F61" s="1990"/>
      <c r="G61" s="1990"/>
      <c r="H61" s="1992"/>
      <c r="I61" s="131"/>
      <c r="J61" s="2740">
        <f>J59+1</f>
        <v>6</v>
      </c>
      <c r="K61" s="3200" t="s">
        <v>2058</v>
      </c>
      <c r="L61" s="3200"/>
      <c r="M61" s="2757"/>
      <c r="N61" s="2758">
        <f ca="1">ROUND(N59*10000/'数据-汇总表'!E3,0)</f>
        <v>6821</v>
      </c>
      <c r="O61" s="2759"/>
    </row>
    <row r="62" spans="1:35" ht="12.75" hidden="1">
      <c r="A62" s="3219" t="s">
        <v>2059</v>
      </c>
      <c r="B62" s="3220"/>
      <c r="C62" s="2205"/>
      <c r="D62" s="2205" t="s">
        <v>2060</v>
      </c>
      <c r="E62" s="168" t="s">
        <v>2061</v>
      </c>
      <c r="F62" s="1990"/>
      <c r="G62" s="1990"/>
      <c r="H62" s="1992"/>
      <c r="I62" s="131"/>
    </row>
    <row r="63" spans="1:35" ht="12.75" hidden="1">
      <c r="A63" s="175" t="s">
        <v>775</v>
      </c>
      <c r="B63" s="169" t="s">
        <v>2062</v>
      </c>
      <c r="C63" s="2781">
        <f ca="1">ROUND((C64+C65)/(1+'数据-取费表'!C42),0)</f>
        <v>48907</v>
      </c>
      <c r="D63" s="169"/>
      <c r="E63" s="170"/>
      <c r="F63" s="1990"/>
      <c r="G63" s="1990"/>
      <c r="H63" s="1992"/>
      <c r="I63" s="131"/>
      <c r="J63" s="3183" t="s">
        <v>2063</v>
      </c>
      <c r="K63" s="1499" t="s">
        <v>2064</v>
      </c>
      <c r="L63" s="1499">
        <f ca="1">IF(M49&gt;10000,M49*0.5%,IF(AND(M49&gt;1000,M49&lt;=10000),M49*1%,IF(AND(M49&gt;100,M49&lt;=1000),M49*3%,IF(AND(M49&gt;10,M49&lt;=100),M49*5%,M49*8%))))</f>
        <v>427.935</v>
      </c>
      <c r="M63" s="305">
        <f ca="1">ROUND(L63,1)</f>
        <v>427.9</v>
      </c>
      <c r="N63" s="2760"/>
      <c r="Z63" s="1934"/>
      <c r="AI63" s="1935"/>
    </row>
    <row r="64" spans="1:35" ht="14.25" hidden="1" customHeight="1">
      <c r="A64" s="171" t="s">
        <v>770</v>
      </c>
      <c r="B64" s="172" t="s">
        <v>2065</v>
      </c>
      <c r="C64" s="2782">
        <f ca="1">D45</f>
        <v>51352</v>
      </c>
      <c r="D64" s="172" t="s">
        <v>32</v>
      </c>
      <c r="E64" s="174"/>
      <c r="F64" s="1990"/>
      <c r="G64" s="1990"/>
      <c r="H64" s="1992"/>
      <c r="I64" s="131"/>
      <c r="J64" s="3183"/>
      <c r="K64" s="1499" t="s">
        <v>2066</v>
      </c>
      <c r="L64" s="1499">
        <f ca="1">IF(M49&gt;2000,M49*0.5%,IF(AND(M49&gt;1000,M49&lt;=2000),M49*0.6%,IF(AND(M49&gt;500,M49&lt;=1000),M49*0.7%,IF(AND(M49&gt;200,M49&lt;=500),M49*0.8%,IF(AND(M49&gt;100,M49&lt;=200),M49*0.9%,IF(AND(M49&gt;50,M49&lt;=100),M49*1%,IF(AND(M49&gt;20,M49&lt;=50),M49*1.5%,IF(AND(M49&gt;10,M49&lt;=20),M49*2%,IF(AND(M49&gt;1,M49&lt;=10),M49*2.5%)))))))))</f>
        <v>427.935</v>
      </c>
      <c r="M64" s="305">
        <f t="shared" ref="M64:M65" ca="1" si="1">ROUND(L64,1)</f>
        <v>427.9</v>
      </c>
      <c r="N64" s="2761" t="s">
        <v>2067</v>
      </c>
      <c r="Z64" s="1934"/>
      <c r="AI64" s="1935"/>
    </row>
    <row r="65" spans="1:35" ht="14.25" hidden="1" customHeight="1">
      <c r="A65" s="171" t="s">
        <v>771</v>
      </c>
      <c r="B65" s="172" t="s">
        <v>2068</v>
      </c>
      <c r="C65" s="2783"/>
      <c r="D65" s="172"/>
      <c r="E65" s="174"/>
      <c r="F65" s="1990"/>
      <c r="G65" s="1990"/>
      <c r="H65" s="1992"/>
      <c r="I65" s="131"/>
      <c r="J65" s="3183"/>
      <c r="K65" s="1499" t="s">
        <v>2069</v>
      </c>
      <c r="L65" s="1499">
        <f ca="1">IF(M49&gt;1000,M49*0.1%,IF(AND(M49&gt;500,M49&lt;=1000),M49*0.5%,IF(AND(M49&gt;50,M49&lt;=500),M49*1%,IF(AND(M49&gt;1,M49&lt;=50),M49*1.5%))))</f>
        <v>85.587000000000003</v>
      </c>
      <c r="M65" s="305">
        <f t="shared" ca="1" si="1"/>
        <v>85.6</v>
      </c>
      <c r="N65" s="2761" t="s">
        <v>2067</v>
      </c>
      <c r="Z65" s="1934"/>
      <c r="AI65" s="1935"/>
    </row>
    <row r="66" spans="1:35" ht="14.25" hidden="1" customHeight="1">
      <c r="A66" s="175" t="s">
        <v>772</v>
      </c>
      <c r="B66" s="176" t="s">
        <v>2070</v>
      </c>
      <c r="C66" s="2784">
        <v>12000</v>
      </c>
      <c r="D66" s="176" t="s">
        <v>32</v>
      </c>
      <c r="E66" s="1507" t="s">
        <v>1337</v>
      </c>
      <c r="F66" s="1990"/>
      <c r="G66" s="1990"/>
      <c r="H66" s="1992"/>
      <c r="I66" s="131"/>
      <c r="J66" s="3183"/>
      <c r="K66" s="1499" t="s">
        <v>2071</v>
      </c>
      <c r="L66" s="1499">
        <f ca="1">M49*0.5%</f>
        <v>427.935</v>
      </c>
      <c r="M66" s="305">
        <f ca="1">IF(L66&gt;0.5,0.5,ROUND(L66,0))</f>
        <v>0.5</v>
      </c>
      <c r="N66" s="2761" t="s">
        <v>2072</v>
      </c>
      <c r="Z66" s="1934"/>
      <c r="AI66" s="1935"/>
    </row>
    <row r="67" spans="1:35" ht="14.25" hidden="1" customHeight="1">
      <c r="A67" s="175" t="s">
        <v>773</v>
      </c>
      <c r="B67" s="176" t="s">
        <v>2073</v>
      </c>
      <c r="C67" s="2785">
        <f ca="1">C63-C66</f>
        <v>36907</v>
      </c>
      <c r="D67" s="172" t="s">
        <v>32</v>
      </c>
      <c r="E67" s="174"/>
      <c r="F67" s="1990"/>
      <c r="G67" s="1990"/>
      <c r="H67" s="1992"/>
      <c r="I67" s="131"/>
      <c r="J67" s="3183"/>
      <c r="K67" s="1499" t="s">
        <v>2074</v>
      </c>
      <c r="L67" s="1499">
        <f ca="1">IF(M49&gt;=10000,(8.25+(M49-10000)*0.01%),IF(AND(M49&gt;=8000,M49&lt;10000),(7.85+(M49-8000)*0.02%),IF(AND(M49&gt;=5000,M49&lt;8000),(6.65+(M49-5000)*0.04%),IF(AND(M49&gt;=2000,M49&lt;5000),(4.25+(PM49-2000)*0.08%),IF(AND(M49&gt;=1000,M49&lt;2000),(2.75+(M49-1000)*0.15%),IF(AND(M49&gt;=100,M49&lt;1000),(0.5+(M49-100)*0.25%),IF(AND(M49&gt;0,M49&lt;100),M49*0.5%)))))))</f>
        <v>15.8087</v>
      </c>
      <c r="M67" s="305">
        <f ca="1">ROUND(L67*0.9,1)</f>
        <v>14.2</v>
      </c>
      <c r="N67" s="2760"/>
      <c r="Z67" s="1934"/>
      <c r="AI67" s="1935"/>
    </row>
    <row r="68" spans="1:35" ht="14.25" hidden="1" customHeight="1" thickBot="1">
      <c r="A68" s="178" t="s">
        <v>774</v>
      </c>
      <c r="B68" s="179" t="s">
        <v>2075</v>
      </c>
      <c r="C68" s="2786">
        <f ca="1">IF(C67&lt;=0,0,ROUND(C67*D68,0))</f>
        <v>2030</v>
      </c>
      <c r="D68" s="2787">
        <f>'数据-取费表'!B41</f>
        <v>5.5000000000000007E-2</v>
      </c>
      <c r="E68" s="181"/>
      <c r="F68" s="1990"/>
      <c r="G68" s="1990"/>
      <c r="H68" s="1992"/>
      <c r="I68" s="131"/>
      <c r="J68" s="3183"/>
      <c r="K68" s="1499" t="s">
        <v>2076</v>
      </c>
      <c r="L68" s="1499">
        <f ca="1">IF(M49&gt;10000,M49*0.5%,IF(AND(M49&gt;5000,M49&lt;=10000),M49*1%,IF(AND(M49&gt;1000,M49&lt;=5000),M49*2%,IF(AND(M49&gt;200,M49&lt;=1000),M49*3%,M49*5%))))</f>
        <v>427.935</v>
      </c>
      <c r="M68" s="305">
        <f ca="1">ROUND(L68,1)</f>
        <v>427.9</v>
      </c>
      <c r="N68" s="2760"/>
      <c r="Z68" s="1934"/>
      <c r="AI68" s="1935"/>
    </row>
    <row r="69" spans="1:35" s="1954" customFormat="1" ht="16.5" hidden="1" customHeight="1">
      <c r="A69" s="1993"/>
      <c r="B69" s="1994"/>
      <c r="C69" s="1995"/>
      <c r="D69" s="1996"/>
      <c r="E69" s="1997"/>
      <c r="F69" s="1760"/>
      <c r="G69" s="1760"/>
      <c r="H69" s="1759"/>
      <c r="I69" s="1929"/>
      <c r="J69" s="3183"/>
      <c r="K69" s="1499" t="s">
        <v>2077</v>
      </c>
      <c r="L69" s="1499"/>
      <c r="M69" s="305">
        <f ca="1">ROUND(SUM(M63:M68),0)</f>
        <v>1384</v>
      </c>
      <c r="N69" s="2762">
        <f ca="1">M69/M49</f>
        <v>1.6170680126654749E-2</v>
      </c>
      <c r="O69" s="731"/>
      <c r="P69" s="731"/>
      <c r="Q69" s="731"/>
      <c r="R69" s="731"/>
      <c r="S69" s="731"/>
      <c r="T69" s="731"/>
      <c r="U69" s="731"/>
      <c r="V69" s="731"/>
      <c r="W69" s="731"/>
      <c r="X69" s="731"/>
      <c r="Y69" s="731"/>
      <c r="Z69" s="1934"/>
      <c r="AA69" s="1934"/>
      <c r="AB69" s="1934"/>
      <c r="AC69" s="1934"/>
      <c r="AD69" s="1934"/>
      <c r="AE69" s="1934"/>
      <c r="AF69" s="1934"/>
      <c r="AG69" s="1934"/>
      <c r="AH69" s="1934"/>
    </row>
    <row r="70" spans="1:35" s="1999" customFormat="1" ht="15" hidden="1" thickBot="1">
      <c r="A70" s="3227" t="s">
        <v>2078</v>
      </c>
      <c r="B70" s="3228"/>
      <c r="C70" s="3228"/>
      <c r="D70" s="3228"/>
      <c r="E70" s="3228"/>
      <c r="F70" s="3228"/>
      <c r="G70" s="3228"/>
      <c r="H70" s="3228"/>
      <c r="I70" s="1998"/>
      <c r="J70" s="2911"/>
      <c r="K70" s="2911"/>
      <c r="L70" s="2911"/>
      <c r="M70" s="2911"/>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hidden="1">
      <c r="A71" s="3219" t="s">
        <v>2059</v>
      </c>
      <c r="B71" s="3220"/>
      <c r="C71" s="2205"/>
      <c r="D71" s="2205" t="s">
        <v>2060</v>
      </c>
      <c r="E71" s="182" t="s">
        <v>2061</v>
      </c>
      <c r="F71" s="183"/>
      <c r="G71" s="183"/>
      <c r="H71" s="184"/>
      <c r="I71" s="2002"/>
      <c r="J71" s="2911"/>
      <c r="K71" s="2911"/>
      <c r="L71" s="2911"/>
      <c r="M71" s="2911"/>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hidden="1">
      <c r="A72" s="175" t="s">
        <v>775</v>
      </c>
      <c r="B72" s="176" t="s">
        <v>2079</v>
      </c>
      <c r="C72" s="2785">
        <f ca="1">ROUND(D45/(1+'数据-取费表'!C42),0)</f>
        <v>48907</v>
      </c>
      <c r="D72" s="172" t="s">
        <v>32</v>
      </c>
      <c r="E72" s="2550"/>
      <c r="F72" s="2549"/>
      <c r="G72" s="2549"/>
      <c r="H72" s="185"/>
      <c r="I72" s="2002"/>
      <c r="J72" s="2911"/>
      <c r="K72" s="2911"/>
      <c r="L72" s="2911"/>
      <c r="M72" s="2911"/>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hidden="1">
      <c r="A73" s="175" t="s">
        <v>772</v>
      </c>
      <c r="B73" s="165" t="s">
        <v>2080</v>
      </c>
      <c r="C73" s="2785">
        <f ca="1">C74+C78</f>
        <v>12594</v>
      </c>
      <c r="D73" s="172" t="s">
        <v>32</v>
      </c>
      <c r="E73" s="2550"/>
      <c r="F73" s="2549"/>
      <c r="G73" s="2549"/>
      <c r="H73" s="185"/>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hidden="1">
      <c r="A74" s="171" t="s">
        <v>770</v>
      </c>
      <c r="B74" s="172" t="s">
        <v>2081</v>
      </c>
      <c r="C74" s="172">
        <f>ROUND(IF(G77="2016年5月1日后购买",C75/(1+'数据-取费表'!C42)+C76+C77,C75+C76+C77),0)</f>
        <v>12349</v>
      </c>
      <c r="D74" s="172" t="s">
        <v>32</v>
      </c>
      <c r="E74" s="2550"/>
      <c r="F74" s="2549"/>
      <c r="G74" s="2549"/>
      <c r="H74" s="185"/>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hidden="1">
      <c r="A75" s="171" t="s">
        <v>776</v>
      </c>
      <c r="B75" s="172" t="s">
        <v>2082</v>
      </c>
      <c r="C75" s="2788">
        <v>12000</v>
      </c>
      <c r="D75" s="172" t="s">
        <v>32</v>
      </c>
      <c r="E75" s="187" t="s">
        <v>2083</v>
      </c>
      <c r="F75" s="2789" t="s">
        <v>3102</v>
      </c>
      <c r="G75" s="187" t="s">
        <v>2084</v>
      </c>
      <c r="H75" s="2790"/>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hidden="1" customHeight="1">
      <c r="A76" s="171" t="s">
        <v>777</v>
      </c>
      <c r="B76" s="188" t="s">
        <v>2085</v>
      </c>
      <c r="C76" s="172">
        <f>IF(F75="购房发票",ROUND(C75*H75*D76,0),0)</f>
        <v>0</v>
      </c>
      <c r="D76" s="2791">
        <v>0.05</v>
      </c>
      <c r="E76" s="3224" t="s">
        <v>2086</v>
      </c>
      <c r="F76" s="3223"/>
      <c r="G76" s="3223"/>
      <c r="H76" s="3226"/>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hidden="1" customHeight="1">
      <c r="A77" s="171" t="s">
        <v>778</v>
      </c>
      <c r="B77" s="172" t="s">
        <v>2087</v>
      </c>
      <c r="C77" s="172">
        <f>ROUND(IF(G77="个人住宅",0,IF(G77="2016年5月1日前购买",C75*D77,C75*D77/(1+'数据-取费表'!C42))),0)</f>
        <v>349</v>
      </c>
      <c r="D77" s="2792">
        <f>'数据-取费表'!B48+'数据-取费表'!B49</f>
        <v>3.0499999999999999E-2</v>
      </c>
      <c r="E77" s="2543" t="s">
        <v>2088</v>
      </c>
      <c r="F77" s="189"/>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hidden="1" customHeight="1">
      <c r="A78" s="171" t="s">
        <v>771</v>
      </c>
      <c r="B78" s="172" t="s">
        <v>2089</v>
      </c>
      <c r="C78" s="2793">
        <f ca="1">ROUND(D45*D78/(1+'数据-取费表'!C42),0)</f>
        <v>245</v>
      </c>
      <c r="D78" s="2794">
        <f>'数据-取费表'!B43</f>
        <v>5.000000000000001E-3</v>
      </c>
      <c r="E78" s="3216" t="s">
        <v>2090</v>
      </c>
      <c r="F78" s="3217"/>
      <c r="G78" s="3217"/>
      <c r="H78" s="3218"/>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hidden="1">
      <c r="A79" s="175" t="s">
        <v>779</v>
      </c>
      <c r="B79" s="176" t="s">
        <v>2091</v>
      </c>
      <c r="C79" s="2785">
        <f ca="1">C72-C73</f>
        <v>36313</v>
      </c>
      <c r="D79" s="172" t="s">
        <v>32</v>
      </c>
      <c r="E79" s="2550"/>
      <c r="F79" s="2549"/>
      <c r="G79" s="2549"/>
      <c r="H79" s="185"/>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hidden="1">
      <c r="A80" s="175" t="s">
        <v>780</v>
      </c>
      <c r="B80" s="176" t="s">
        <v>2092</v>
      </c>
      <c r="C80" s="2795">
        <f ca="1">IF(C79&lt;=0,0,C79/C73)</f>
        <v>2.8833571542004131</v>
      </c>
      <c r="D80" s="172"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5"/>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hidden="1" thickBot="1">
      <c r="A81" s="178" t="s">
        <v>781</v>
      </c>
      <c r="B81" s="179" t="s">
        <v>2093</v>
      </c>
      <c r="C81" s="2796">
        <f ca="1">ROUND(IF(C79&lt;=0,0,IF(C80&gt;=200%,C79*60%-C73*35%,IF(C80&gt;=100%,C79*50%-C73*15%,IF(C80&gt;=50%,C79*40%-C73*5%,IF(C80&lt;50%,C79*30%,0))))),0)</f>
        <v>17380</v>
      </c>
      <c r="D81" s="2797"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hidden="1" customHeight="1">
      <c r="A82" s="686"/>
      <c r="B82" s="687"/>
      <c r="C82" s="7"/>
      <c r="D82" s="7"/>
      <c r="E82" s="687"/>
      <c r="F82" s="687"/>
      <c r="G82" s="687"/>
      <c r="H82" s="688"/>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hidden="1" thickBot="1">
      <c r="A83" s="3227" t="s">
        <v>2094</v>
      </c>
      <c r="B83" s="3228"/>
      <c r="C83" s="3228"/>
      <c r="D83" s="3228"/>
      <c r="E83" s="3228"/>
      <c r="F83" s="3228"/>
      <c r="G83" s="3228"/>
      <c r="H83" s="3228"/>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hidden="1">
      <c r="A84" s="3219" t="s">
        <v>2059</v>
      </c>
      <c r="B84" s="3220"/>
      <c r="C84" s="2205"/>
      <c r="D84" s="2205" t="s">
        <v>2060</v>
      </c>
      <c r="E84" s="182" t="s">
        <v>2061</v>
      </c>
      <c r="F84" s="183"/>
      <c r="G84" s="183"/>
      <c r="H84" s="194"/>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hidden="1">
      <c r="A85" s="175" t="s">
        <v>775</v>
      </c>
      <c r="B85" s="176" t="s">
        <v>2079</v>
      </c>
      <c r="C85" s="2785">
        <f ca="1">ROUND(D45/(1+'数据-取费表'!C42),0)</f>
        <v>48907</v>
      </c>
      <c r="D85" s="172" t="s">
        <v>32</v>
      </c>
      <c r="E85" s="2550"/>
      <c r="F85" s="2549"/>
      <c r="G85" s="2549"/>
      <c r="H85" s="195"/>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hidden="1">
      <c r="A86" s="175" t="s">
        <v>772</v>
      </c>
      <c r="B86" s="165" t="s">
        <v>2080</v>
      </c>
      <c r="C86" s="2785">
        <f ca="1">IF(H88="仅含出让金",C87+C90+C91+C92+C93+C94,C87+C91+C92+C93+C94)</f>
        <v>245</v>
      </c>
      <c r="D86" s="2798"/>
      <c r="E86" s="2550"/>
      <c r="F86" s="2549"/>
      <c r="G86" s="2549"/>
      <c r="H86" s="195"/>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hidden="1">
      <c r="A87" s="171" t="s">
        <v>770</v>
      </c>
      <c r="B87" s="172" t="s">
        <v>2095</v>
      </c>
      <c r="C87" s="2793">
        <f>C88+C89</f>
        <v>0</v>
      </c>
      <c r="D87" s="2794"/>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hidden="1">
      <c r="A88" s="171" t="s">
        <v>776</v>
      </c>
      <c r="B88" s="172" t="s">
        <v>2096</v>
      </c>
      <c r="C88" s="2799"/>
      <c r="D88" s="2794"/>
      <c r="E88" s="196" t="s">
        <v>2097</v>
      </c>
      <c r="F88" s="2546"/>
      <c r="G88" s="197" t="s">
        <v>2098</v>
      </c>
      <c r="H88" s="2006"/>
      <c r="I88" s="2003"/>
      <c r="J88" s="2738" t="s">
        <v>3016</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hidden="1">
      <c r="A89" s="171" t="s">
        <v>777</v>
      </c>
      <c r="B89" s="172" t="s">
        <v>2087</v>
      </c>
      <c r="C89" s="2793">
        <f>ROUND(C88*D89,0)</f>
        <v>0</v>
      </c>
      <c r="D89" s="2794">
        <f>'数据-取费表'!B48+'数据-取费表'!B49</f>
        <v>3.0499999999999999E-2</v>
      </c>
      <c r="E89" s="196" t="s">
        <v>2099</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hidden="1">
      <c r="A90" s="171" t="s">
        <v>771</v>
      </c>
      <c r="B90" s="172" t="s">
        <v>2100</v>
      </c>
      <c r="C90" s="2799"/>
      <c r="D90" s="2794"/>
      <c r="E90" s="196" t="str">
        <f>IF(H88="-","土地取得成本中已包含该笔费用"," ")</f>
        <v xml:space="preserve"> </v>
      </c>
      <c r="F90" s="2546"/>
      <c r="G90" s="3185" t="s">
        <v>2862</v>
      </c>
      <c r="H90" s="3186"/>
      <c r="I90" s="2003"/>
      <c r="J90" s="2738" t="s">
        <v>3017</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hidden="1" customHeight="1">
      <c r="A91" s="171" t="s">
        <v>2101</v>
      </c>
      <c r="B91" s="172" t="s">
        <v>2102</v>
      </c>
      <c r="C91" s="2793">
        <f>IF(H91="——",成本法!C33,I91)</f>
        <v>0</v>
      </c>
      <c r="D91" s="2794"/>
      <c r="E91" s="3216" t="s">
        <v>2103</v>
      </c>
      <c r="F91" s="3217"/>
      <c r="G91" s="321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hidden="1" customHeight="1">
      <c r="A92" s="171" t="s">
        <v>2104</v>
      </c>
      <c r="B92" s="172" t="s">
        <v>2105</v>
      </c>
      <c r="C92" s="2793">
        <f>ROUND((C87+C90+C91)*D92,0)</f>
        <v>0</v>
      </c>
      <c r="D92" s="2800"/>
      <c r="E92" s="3216" t="s">
        <v>2106</v>
      </c>
      <c r="F92" s="3217"/>
      <c r="G92" s="3217"/>
      <c r="H92" s="3218"/>
      <c r="I92" s="2003"/>
      <c r="J92" s="2739" t="s">
        <v>3018</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hidden="1" customHeight="1">
      <c r="A93" s="171" t="s">
        <v>2107</v>
      </c>
      <c r="B93" s="172" t="s">
        <v>2089</v>
      </c>
      <c r="C93" s="2793">
        <f ca="1">ROUND(D45*D93/(1+'数据-取费表'!C42),0)</f>
        <v>245</v>
      </c>
      <c r="D93" s="2794">
        <f>'数据-取费表'!B43</f>
        <v>5.000000000000001E-3</v>
      </c>
      <c r="E93" s="3216" t="s">
        <v>2090</v>
      </c>
      <c r="F93" s="3217"/>
      <c r="G93" s="3217"/>
      <c r="H93" s="3218"/>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hidden="1" customHeight="1">
      <c r="A94" s="171" t="s">
        <v>2108</v>
      </c>
      <c r="B94" s="172" t="s">
        <v>2109</v>
      </c>
      <c r="C94" s="2799">
        <f>ROUND((C87+C90+C91)*D94,0)</f>
        <v>0</v>
      </c>
      <c r="D94" s="2794">
        <v>0.2</v>
      </c>
      <c r="E94" s="3264" t="s">
        <v>2110</v>
      </c>
      <c r="F94" s="3265"/>
      <c r="G94" s="3265"/>
      <c r="H94" s="3266"/>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hidden="1">
      <c r="A95" s="175" t="s">
        <v>779</v>
      </c>
      <c r="B95" s="176" t="s">
        <v>2091</v>
      </c>
      <c r="C95" s="2785">
        <f ca="1">ROUND(C85-C86,0)</f>
        <v>48662</v>
      </c>
      <c r="D95" s="172" t="s">
        <v>32</v>
      </c>
      <c r="E95" s="2550"/>
      <c r="F95" s="2549"/>
      <c r="G95" s="2549"/>
      <c r="H95" s="195"/>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hidden="1">
      <c r="A96" s="175" t="s">
        <v>780</v>
      </c>
      <c r="B96" s="176" t="s">
        <v>2092</v>
      </c>
      <c r="C96" s="2795">
        <f ca="1">IF(C95&lt;=0,0,C95/C86)</f>
        <v>198.6204081632653</v>
      </c>
      <c r="D96" s="172"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5"/>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hidden="1" thickBot="1">
      <c r="A97" s="178" t="s">
        <v>781</v>
      </c>
      <c r="B97" s="179" t="s">
        <v>2093</v>
      </c>
      <c r="C97" s="2796">
        <f ca="1">ROUND(IF(C95&lt;=0,0,IF(C96&gt;=200%,C95*60%-C86*35%,IF(C96&gt;=100%,C95*50%-C86*15%,IF(C96&gt;=50%,C95*40%-C86*5%,IF(C96&lt;50%,C95*30%,0))))),0)</f>
        <v>29111</v>
      </c>
      <c r="D97" s="2797"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hidden="1" customHeight="1">
      <c r="A98" s="1991"/>
      <c r="B98" s="1929"/>
      <c r="C98" s="1929"/>
      <c r="D98" s="1929"/>
      <c r="E98" s="1760"/>
      <c r="F98" s="1760"/>
      <c r="G98" s="1760"/>
      <c r="H98" s="1759"/>
      <c r="I98" s="131"/>
    </row>
    <row r="99" spans="1:35" ht="21.75" customHeight="1" thickBot="1">
      <c r="A99" s="1982" t="s">
        <v>2111</v>
      </c>
      <c r="B99" s="1929"/>
      <c r="C99" s="1929"/>
      <c r="D99" s="1929"/>
      <c r="E99" s="1760"/>
      <c r="F99" s="1760"/>
      <c r="G99" s="1760"/>
      <c r="H99" s="1759"/>
      <c r="I99" s="131"/>
    </row>
    <row r="100" spans="1:35" ht="18.75" customHeight="1">
      <c r="A100" s="3166" t="s">
        <v>2112</v>
      </c>
      <c r="B100" s="3167"/>
      <c r="C100" s="3167"/>
      <c r="D100" s="3201"/>
      <c r="E100" s="3167" t="s">
        <v>2113</v>
      </c>
      <c r="F100" s="3167"/>
      <c r="G100" s="3167"/>
      <c r="H100" s="3201"/>
      <c r="I100" s="131"/>
    </row>
    <row r="101" spans="1:35" ht="18.75" customHeight="1">
      <c r="A101" s="3209" t="s">
        <v>2114</v>
      </c>
      <c r="B101" s="3210"/>
      <c r="C101" s="2802" t="str">
        <f>C4</f>
        <v>成本法</v>
      </c>
      <c r="D101" s="2803" t="str">
        <f>D4</f>
        <v>收益法</v>
      </c>
      <c r="E101" s="3179" t="s">
        <v>2115</v>
      </c>
      <c r="F101" s="3180"/>
      <c r="G101" s="2009" t="s">
        <v>2116</v>
      </c>
      <c r="H101" s="2812">
        <f ca="1">H118</f>
        <v>85587</v>
      </c>
      <c r="I101" s="131"/>
    </row>
    <row r="102" spans="1:35" ht="18.75" customHeight="1">
      <c r="A102" s="3211" t="s">
        <v>2117</v>
      </c>
      <c r="B102" s="2801" t="s">
        <v>2116</v>
      </c>
      <c r="C102" s="2802">
        <f ca="1">C19</f>
        <v>77417</v>
      </c>
      <c r="D102" s="2803">
        <f ca="1">D19</f>
        <v>93756</v>
      </c>
      <c r="E102" s="3179"/>
      <c r="F102" s="3180"/>
      <c r="G102" s="2009" t="s">
        <v>2118</v>
      </c>
      <c r="H102" s="2772">
        <f ca="1">I118</f>
        <v>8825</v>
      </c>
      <c r="I102" s="131"/>
    </row>
    <row r="103" spans="1:35" ht="42.75" customHeight="1">
      <c r="A103" s="3211"/>
      <c r="B103" s="2801" t="s">
        <v>2118</v>
      </c>
      <c r="C103" s="2804">
        <f ca="1">C20</f>
        <v>7983</v>
      </c>
      <c r="D103" s="2805">
        <f ca="1">D20</f>
        <v>9667</v>
      </c>
      <c r="E103" s="3172" t="s">
        <v>2119</v>
      </c>
      <c r="F103" s="3173"/>
      <c r="G103" s="2010" t="s">
        <v>2120</v>
      </c>
      <c r="H103" s="2812">
        <f>IF(D36="正常操作",H104+H105+H106,H105+H106)</f>
        <v>0</v>
      </c>
      <c r="I103" s="131"/>
    </row>
    <row r="104" spans="1:35" ht="18.75" customHeight="1">
      <c r="A104" s="3211" t="s">
        <v>2121</v>
      </c>
      <c r="B104" s="2806" t="s">
        <v>2116</v>
      </c>
      <c r="C104" s="2807">
        <f ca="1">H118</f>
        <v>85587</v>
      </c>
      <c r="D104" s="2808"/>
      <c r="E104" s="1857" t="s">
        <v>2122</v>
      </c>
      <c r="F104" s="1848"/>
      <c r="G104" s="2010" t="s">
        <v>2120</v>
      </c>
      <c r="H104" s="2813">
        <f>IF(D36="同一抵押权人同一抵押物续贷",C36&amp;"（续贷，未扣减，详见特别提示）",C36)</f>
        <v>0</v>
      </c>
      <c r="I104" s="131"/>
    </row>
    <row r="105" spans="1:35" ht="18.75" customHeight="1" thickBot="1">
      <c r="A105" s="3221"/>
      <c r="B105" s="2809" t="s">
        <v>2118</v>
      </c>
      <c r="C105" s="2810">
        <f ca="1">I118</f>
        <v>8825</v>
      </c>
      <c r="D105" s="2811"/>
      <c r="E105" s="1857" t="s">
        <v>2123</v>
      </c>
      <c r="F105" s="1848"/>
      <c r="G105" s="2010" t="s">
        <v>2120</v>
      </c>
      <c r="H105" s="2814">
        <f>C37</f>
        <v>0</v>
      </c>
      <c r="I105" s="131"/>
    </row>
    <row r="106" spans="1:35" ht="18.75" customHeight="1">
      <c r="A106" s="1929" t="s">
        <v>2124</v>
      </c>
      <c r="B106" s="1929"/>
      <c r="C106" s="1929"/>
      <c r="D106" s="1929"/>
      <c r="E106" s="2011" t="s">
        <v>2125</v>
      </c>
      <c r="F106" s="1848"/>
      <c r="G106" s="2010" t="s">
        <v>2120</v>
      </c>
      <c r="H106" s="2814">
        <f>C38</f>
        <v>0</v>
      </c>
      <c r="I106" s="131"/>
    </row>
    <row r="107" spans="1:35" ht="18.75" customHeight="1">
      <c r="A107" s="131"/>
      <c r="B107" s="131"/>
      <c r="C107" s="131"/>
      <c r="D107" s="131"/>
      <c r="E107" s="3212" t="str">
        <f>IF(项目基本情况!E8="已注销","——","3.房地产抵押价值")</f>
        <v>3.房地产抵押价值</v>
      </c>
      <c r="F107" s="3180"/>
      <c r="G107" s="2009" t="s">
        <v>2116</v>
      </c>
      <c r="H107" s="2812">
        <f ca="1">IF(E107="——","——",H101-H103)</f>
        <v>85587</v>
      </c>
      <c r="I107" s="131"/>
    </row>
    <row r="108" spans="1:35" ht="18.75" customHeight="1" thickBot="1">
      <c r="A108" s="131"/>
      <c r="B108" s="131"/>
      <c r="C108" s="131"/>
      <c r="D108" s="131"/>
      <c r="E108" s="3212"/>
      <c r="F108" s="3180"/>
      <c r="G108" s="2009" t="s">
        <v>2118</v>
      </c>
      <c r="H108" s="2772">
        <f ca="1">ROUND(H107*10000/'数据-汇总表'!E3,0)</f>
        <v>8825</v>
      </c>
      <c r="I108" s="131"/>
    </row>
    <row r="109" spans="1:35" ht="18.75" hidden="1" customHeight="1">
      <c r="A109" s="131"/>
      <c r="B109" s="131"/>
      <c r="C109" s="131"/>
      <c r="D109" s="131"/>
      <c r="E109" s="3212" t="str">
        <f>IF(项目基本情况!E8="已注销及未注销","4.抵押担保权已注销时的房地产抵押价值",IF(项目基本情况!E8="已注销","3.抵押担保权已注销时的房地产抵押价值","——"))</f>
        <v>——</v>
      </c>
      <c r="F109" s="3180"/>
      <c r="G109" s="2009" t="s">
        <v>2116</v>
      </c>
      <c r="H109" s="2815" t="str">
        <f>IF(E109="——","——",H101-H105-H106)</f>
        <v>——</v>
      </c>
      <c r="I109" s="131"/>
    </row>
    <row r="110" spans="1:35" ht="18.75" hidden="1" customHeight="1">
      <c r="A110" s="131"/>
      <c r="B110" s="131"/>
      <c r="C110" s="131"/>
      <c r="D110" s="131"/>
      <c r="E110" s="3212"/>
      <c r="F110" s="3180"/>
      <c r="G110" s="2009" t="s">
        <v>2118</v>
      </c>
      <c r="H110" s="2772" t="str">
        <f>IF(H109="——","——",ROUND(H109*10000/'数据-汇总表'!E3,0))</f>
        <v>——</v>
      </c>
      <c r="I110" s="131"/>
    </row>
    <row r="111" spans="1:35" ht="18.75" hidden="1" customHeight="1">
      <c r="A111" s="131"/>
      <c r="B111" s="131"/>
      <c r="C111" s="131"/>
      <c r="D111" s="131"/>
      <c r="E111" s="3213" t="str">
        <f>IF(项目基本情况!E9="抵押净值",IF(OR(项目基本情况!E8="已注销",项目基本情况!E8="房地产抵押价值"),"4.抵押净值","5.抵押净值"),"——")</f>
        <v>——</v>
      </c>
      <c r="F111" s="3199"/>
      <c r="G111" s="2009" t="s">
        <v>2116</v>
      </c>
      <c r="H111" s="2812" t="str">
        <f>IF(E111="——","——",N59)</f>
        <v>——</v>
      </c>
      <c r="I111" s="131"/>
    </row>
    <row r="112" spans="1:35" ht="18.75" hidden="1" customHeight="1" thickBot="1">
      <c r="A112" s="131"/>
      <c r="B112" s="131"/>
      <c r="C112" s="131"/>
      <c r="D112" s="131"/>
      <c r="E112" s="3214"/>
      <c r="F112" s="3215"/>
      <c r="G112" s="2012" t="s">
        <v>2118</v>
      </c>
      <c r="H112" s="2816" t="str">
        <f>IF(E111="——","——",N61)</f>
        <v>——</v>
      </c>
      <c r="I112" s="131"/>
    </row>
    <row r="113" spans="1:27" ht="18.75" customHeight="1">
      <c r="A113" s="131"/>
      <c r="B113" s="131"/>
      <c r="C113" s="131"/>
      <c r="D113" s="131"/>
      <c r="E113" s="3222" t="s">
        <v>2124</v>
      </c>
      <c r="F113" s="3222"/>
      <c r="G113" s="3222"/>
      <c r="H113" s="3222"/>
      <c r="I113" s="131"/>
    </row>
    <row r="114" spans="1:27" ht="3.75" customHeight="1">
      <c r="A114" s="1929"/>
      <c r="B114" s="1929"/>
      <c r="C114" s="1929"/>
      <c r="D114" s="1929"/>
      <c r="E114" s="1991"/>
      <c r="F114" s="1991"/>
      <c r="G114" s="1991"/>
      <c r="H114" s="1991"/>
      <c r="I114" s="1929"/>
    </row>
    <row r="115" spans="1:27" ht="18.75" customHeight="1">
      <c r="A115" s="3233" t="s">
        <v>2126</v>
      </c>
      <c r="B115" s="3234"/>
      <c r="C115" s="3234"/>
      <c r="D115" s="3234"/>
      <c r="E115" s="3234"/>
      <c r="F115" s="3234"/>
      <c r="G115" s="3234"/>
      <c r="H115" s="3234"/>
      <c r="I115" s="3235"/>
    </row>
    <row r="116" spans="1:27" ht="27" customHeight="1">
      <c r="A116" s="3187" t="s">
        <v>2127</v>
      </c>
      <c r="B116" s="3191" t="s">
        <v>3300</v>
      </c>
      <c r="C116" s="3191" t="s">
        <v>3301</v>
      </c>
      <c r="D116" s="3197" t="s">
        <v>2128</v>
      </c>
      <c r="E116" s="3198"/>
      <c r="F116" s="3229" t="s">
        <v>3302</v>
      </c>
      <c r="G116" s="3229"/>
      <c r="H116" s="3187" t="s">
        <v>2129</v>
      </c>
      <c r="I116" s="3187"/>
    </row>
    <row r="117" spans="1:27" ht="18.75" customHeight="1">
      <c r="A117" s="3187"/>
      <c r="B117" s="3192"/>
      <c r="C117" s="3192"/>
      <c r="D117" s="2548" t="s">
        <v>2130</v>
      </c>
      <c r="E117" s="2548" t="s">
        <v>2131</v>
      </c>
      <c r="F117" s="2548" t="s">
        <v>2130</v>
      </c>
      <c r="G117" s="2548" t="s">
        <v>2132</v>
      </c>
      <c r="H117" s="2548" t="s">
        <v>2130</v>
      </c>
      <c r="I117" s="2548" t="s">
        <v>2132</v>
      </c>
    </row>
    <row r="118" spans="1:27" ht="24.75" customHeight="1">
      <c r="A118" s="2817" t="str">
        <f>项目基本情况!S2</f>
        <v>四川省雅安市雨城区熊猫大道66号等6处商业用房房地产</v>
      </c>
      <c r="B118" s="2548">
        <f>M18</f>
        <v>96983.22</v>
      </c>
      <c r="C118" s="2548">
        <f>M19</f>
        <v>47924.04</v>
      </c>
      <c r="D118" s="2548">
        <f ca="1">ROUND(IF(D32="总价",C34,E118*B118/10000),0)</f>
        <v>24478</v>
      </c>
      <c r="E118" s="2548">
        <f ca="1">ROUND(IF(C33="自定义",IF(D32="楼面单价",C34,D118*10000/B118),I118-G118),0)</f>
        <v>2524</v>
      </c>
      <c r="F118" s="2548">
        <f ca="1">ROUND(IF(D32="总价",C35,G118*B118/10000),0)</f>
        <v>61109</v>
      </c>
      <c r="G118" s="2548">
        <f ca="1">ROUND(IF(D32="楼面单价",C35,F118*10000/B118),0)</f>
        <v>6301</v>
      </c>
      <c r="H118" s="2548">
        <f ca="1">ROUND(IF(D32="总价",C32,I118*B118/10000),0)</f>
        <v>85587</v>
      </c>
      <c r="I118" s="2548">
        <f ca="1">ROUND(IF(D32="楼面单价",C32,H118*10000/B118),0)</f>
        <v>8825</v>
      </c>
    </row>
    <row r="119" spans="1:27" ht="18.75" customHeight="1">
      <c r="A119" s="3187" t="s">
        <v>2133</v>
      </c>
      <c r="B119" s="3187"/>
      <c r="C119" s="3187"/>
      <c r="D119" s="3193" t="str">
        <f ca="1">NUMBERSTRING(INT(D118*10000),2)&amp;"元整"</f>
        <v>贰亿肆仟肆佰柒拾捌万元整</v>
      </c>
      <c r="E119" s="3194"/>
      <c r="F119" s="3193" t="str">
        <f ca="1">NUMBERSTRING(INT(F118*10000),2)&amp;"元整"</f>
        <v>陆亿壹仟壹佰零玖万元整</v>
      </c>
      <c r="G119" s="3194"/>
      <c r="H119" s="3193" t="str">
        <f ca="1">NUMBERSTRING(INT(H118*10000),2)&amp;"元整"</f>
        <v>捌亿伍仟伍佰捌拾柒万元整</v>
      </c>
      <c r="I119" s="3194"/>
    </row>
    <row r="120" spans="1:27" ht="18.75" customHeight="1">
      <c r="A120" s="3188" t="str">
        <f>IF(项目基本情况!B9="房地产市场价值","",MID(E103,3,LEN(E103)-2))</f>
        <v/>
      </c>
      <c r="B120" s="3189"/>
      <c r="C120" s="3190"/>
      <c r="D120" s="3188">
        <f>H103</f>
        <v>0</v>
      </c>
      <c r="E120" s="3189"/>
      <c r="F120" s="3189"/>
      <c r="G120" s="3189"/>
      <c r="H120" s="3189"/>
      <c r="I120" s="3190"/>
      <c r="J120" s="1934"/>
      <c r="K120" s="1934" t="str">
        <f>IF(D120=0,"故，本次评估不存在"&amp;A120,"故，本次评估"&amp;A120&amp;"为人民币"&amp;D120&amp;"万元整。")</f>
        <v>故，本次评估不存在</v>
      </c>
      <c r="L120" s="1934"/>
      <c r="M120" s="1934"/>
      <c r="N120" s="1934"/>
      <c r="O120" s="1934"/>
      <c r="P120" s="1934"/>
      <c r="Q120" s="1934"/>
      <c r="R120" s="1934"/>
      <c r="S120" s="1934"/>
    </row>
    <row r="121" spans="1:27" ht="18.75" customHeight="1">
      <c r="A121" s="3230" t="s">
        <v>2133</v>
      </c>
      <c r="B121" s="3231"/>
      <c r="C121" s="3232"/>
      <c r="D121" s="3193" t="str">
        <f>IF(D120=0,"零元整",NUMBERSTRING(INT(D120*10000),2)&amp;"元整")</f>
        <v>零元整</v>
      </c>
      <c r="E121" s="3195"/>
      <c r="F121" s="3195"/>
      <c r="G121" s="3195"/>
      <c r="H121" s="3195"/>
      <c r="I121" s="3194"/>
      <c r="AA121" s="731"/>
    </row>
    <row r="122" spans="1:27" ht="18.75" customHeight="1">
      <c r="A122" s="3199" t="str">
        <f>IF(项目基本情况!B9="房地产市场价值","",MID(E107,3,LEN(E107)-2))</f>
        <v/>
      </c>
      <c r="B122" s="3199"/>
      <c r="C122" s="3199"/>
      <c r="D122" s="3188">
        <f ca="1">H107</f>
        <v>85587</v>
      </c>
      <c r="E122" s="3189"/>
      <c r="F122" s="3189"/>
      <c r="G122" s="3189"/>
      <c r="H122" s="3189"/>
      <c r="I122" s="3190"/>
      <c r="AA122" s="731"/>
    </row>
    <row r="123" spans="1:27" ht="18.75" customHeight="1">
      <c r="A123" s="3187" t="s">
        <v>2133</v>
      </c>
      <c r="B123" s="3187"/>
      <c r="C123" s="3187"/>
      <c r="D123" s="3193" t="str">
        <f ca="1">NUMBERSTRING(INT(D122*10000),2)&amp;"元整"</f>
        <v>捌亿伍仟伍佰捌拾柒万元整</v>
      </c>
      <c r="E123" s="3195"/>
      <c r="F123" s="3195"/>
      <c r="G123" s="3195"/>
      <c r="H123" s="3195"/>
      <c r="I123" s="3194"/>
      <c r="AA123" s="731"/>
    </row>
    <row r="124" spans="1:27" ht="18.75" hidden="1" customHeight="1">
      <c r="A124" s="3199" t="str">
        <f>IF(项目基本情况!B9="房地产市场价值","",MID(E109,3,LEN(E109)-2))</f>
        <v/>
      </c>
      <c r="B124" s="3199"/>
      <c r="C124" s="3199"/>
      <c r="D124" s="3188" t="str">
        <f>H109</f>
        <v>——</v>
      </c>
      <c r="E124" s="3189"/>
      <c r="F124" s="3189"/>
      <c r="G124" s="3189"/>
      <c r="H124" s="3189"/>
      <c r="I124" s="3190"/>
      <c r="AA124" s="731"/>
    </row>
    <row r="125" spans="1:27" ht="18.75" hidden="1" customHeight="1">
      <c r="A125" s="3187" t="s">
        <v>2133</v>
      </c>
      <c r="B125" s="3187"/>
      <c r="C125" s="3187"/>
      <c r="D125" s="3193" t="e">
        <f>NUMBERSTRING(INT(D124*10000),2)&amp;"元整"</f>
        <v>#VALUE!</v>
      </c>
      <c r="E125" s="3195"/>
      <c r="F125" s="3195"/>
      <c r="G125" s="3195"/>
      <c r="H125" s="3195"/>
      <c r="I125" s="3194"/>
      <c r="AA125" s="731"/>
    </row>
    <row r="126" spans="1:27" ht="18.75" hidden="1" customHeight="1">
      <c r="A126" s="3199" t="str">
        <f>IF(项目基本情况!B9="房地产市场价值","",MID(E111,3,LEN(E111)-2))</f>
        <v/>
      </c>
      <c r="B126" s="3199"/>
      <c r="C126" s="3199"/>
      <c r="D126" s="3188" t="str">
        <f>H111</f>
        <v>——</v>
      </c>
      <c r="E126" s="3189"/>
      <c r="F126" s="3189"/>
      <c r="G126" s="3189"/>
      <c r="H126" s="3189"/>
      <c r="I126" s="3190"/>
      <c r="AA126" s="731"/>
    </row>
    <row r="127" spans="1:27" ht="18.75" hidden="1" customHeight="1">
      <c r="A127" s="3187" t="s">
        <v>2133</v>
      </c>
      <c r="B127" s="3187"/>
      <c r="C127" s="3187"/>
      <c r="D127" s="3193" t="e">
        <f>NUMBERSTRING(INT(D126*10000),2)&amp;"元整"</f>
        <v>#VALUE!</v>
      </c>
      <c r="E127" s="3195"/>
      <c r="F127" s="3195"/>
      <c r="G127" s="3195"/>
      <c r="H127" s="3195"/>
      <c r="I127" s="3194"/>
      <c r="AA127" s="731"/>
    </row>
    <row r="128" spans="1:27" ht="21.75" customHeight="1">
      <c r="A128" s="3196" t="s">
        <v>2134</v>
      </c>
      <c r="B128" s="3196"/>
      <c r="C128" s="3196"/>
      <c r="D128" s="3196"/>
      <c r="E128" s="3196"/>
      <c r="F128" s="3196"/>
      <c r="G128" s="3196"/>
      <c r="H128" s="3196"/>
      <c r="I128" s="3196"/>
      <c r="AA128" s="731"/>
    </row>
    <row r="129" spans="1:35" ht="21.75" customHeight="1">
      <c r="A129" s="2013" t="s">
        <v>2135</v>
      </c>
      <c r="B129" s="2014"/>
      <c r="C129" s="2015" t="s">
        <v>2136</v>
      </c>
      <c r="D129" s="2016"/>
      <c r="E129" s="2016"/>
      <c r="F129" s="2016"/>
      <c r="G129" s="2016"/>
      <c r="H129" s="2017"/>
      <c r="I129" s="2018"/>
      <c r="AA129" s="731"/>
    </row>
    <row r="130" spans="1:35" ht="21.75" customHeight="1">
      <c r="A130" s="2019">
        <v>1</v>
      </c>
      <c r="B130" s="2020"/>
      <c r="C130" s="2020"/>
      <c r="D130" s="2021"/>
      <c r="E130" s="2021"/>
      <c r="F130" s="2021"/>
      <c r="G130" s="2021"/>
      <c r="H130" s="2022"/>
      <c r="I130" s="2023"/>
      <c r="AA130" s="731"/>
    </row>
    <row r="131" spans="1:35" ht="21.75" customHeight="1">
      <c r="A131" s="2019">
        <v>2</v>
      </c>
      <c r="B131" s="2020"/>
      <c r="C131" s="2020"/>
      <c r="D131" s="2021"/>
      <c r="E131" s="2021"/>
      <c r="F131" s="2021"/>
      <c r="G131" s="2021"/>
      <c r="H131" s="2022"/>
      <c r="I131" s="2023"/>
      <c r="AA131" s="731"/>
    </row>
    <row r="132" spans="1:35" ht="21.75" customHeight="1">
      <c r="A132" s="2019">
        <v>3</v>
      </c>
      <c r="B132" s="2020"/>
      <c r="C132" s="2020"/>
      <c r="D132" s="2021"/>
      <c r="E132" s="2021"/>
      <c r="F132" s="2021"/>
      <c r="G132" s="2021"/>
      <c r="H132" s="2022"/>
      <c r="I132" s="2023"/>
      <c r="AA132" s="731"/>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1"/>
    </row>
    <row r="135" spans="1:35" ht="21.75" customHeight="1">
      <c r="A135" s="731"/>
      <c r="B135" s="731"/>
      <c r="C135" s="731"/>
      <c r="D135" s="731"/>
      <c r="E135" s="731"/>
      <c r="F135" s="2029" t="s">
        <v>2137</v>
      </c>
      <c r="G135" s="2030"/>
      <c r="H135" s="2030"/>
      <c r="I135" s="2031" t="s">
        <v>2138</v>
      </c>
    </row>
    <row r="136" spans="1:35" ht="21.75" customHeight="1">
      <c r="A136" s="731"/>
      <c r="B136" s="2032" t="s">
        <v>2139</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0"/>
      <c r="C138" s="2030"/>
      <c r="D138" s="2030"/>
      <c r="E138" s="2030"/>
      <c r="F138" s="2030"/>
      <c r="G138" s="2030"/>
      <c r="H138" s="2030"/>
      <c r="I138" s="2031" t="s">
        <v>2140</v>
      </c>
    </row>
    <row r="139" spans="1:35" ht="21.75" customHeight="1">
      <c r="A139" s="731"/>
      <c r="B139" s="2032" t="s">
        <v>2141</v>
      </c>
      <c r="C139" s="731"/>
      <c r="D139" s="731"/>
      <c r="E139" s="731"/>
      <c r="F139" s="731"/>
      <c r="G139" s="731"/>
      <c r="H139" s="731"/>
      <c r="I139" s="731"/>
    </row>
    <row r="140" spans="1:35" ht="21.75" customHeight="1">
      <c r="A140" s="731"/>
      <c r="B140" s="2032"/>
      <c r="C140" s="731"/>
      <c r="D140" s="731"/>
      <c r="E140" s="731"/>
      <c r="F140" s="731"/>
      <c r="G140" s="731"/>
      <c r="H140" s="731"/>
      <c r="I140" s="731"/>
    </row>
    <row r="141" spans="1:35" ht="21.75" customHeight="1">
      <c r="A141" s="731"/>
      <c r="B141" s="2030"/>
      <c r="C141" s="2030"/>
      <c r="D141" s="2030"/>
      <c r="E141" s="2030"/>
      <c r="F141" s="2030"/>
      <c r="G141" s="2030"/>
      <c r="H141" s="2030"/>
      <c r="I141" s="2031" t="s">
        <v>2140</v>
      </c>
    </row>
    <row r="142" spans="1:35" ht="21.75" customHeight="1">
      <c r="A142" s="731"/>
      <c r="B142" s="2032"/>
      <c r="C142" s="2033"/>
      <c r="D142" s="2034"/>
      <c r="E142" s="2034"/>
      <c r="F142" s="1923"/>
      <c r="G142" s="731"/>
      <c r="H142" s="731"/>
      <c r="I142" s="731"/>
    </row>
    <row r="143" spans="1:35" s="132" customFormat="1" ht="21.75" customHeight="1">
      <c r="A143" s="731"/>
      <c r="B143" s="2032"/>
      <c r="C143" s="2033"/>
      <c r="D143" s="2034"/>
      <c r="E143" s="2034"/>
      <c r="F143" s="1923"/>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4"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4"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4"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4"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4"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4"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4"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4"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4"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4"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4"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4"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4"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4"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4"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4"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4"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4"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4"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4"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4"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4"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4"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4"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4"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4"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4"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4"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4"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4"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4"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4"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4"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4"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4"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4"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4"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4"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4"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4"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4"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4"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4"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4"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4"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4"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4"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4"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4"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4"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4"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4"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4"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4"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4"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4"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4"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4"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4"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4"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4"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4"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4"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4"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4"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4"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4"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4"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4"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4"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4"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4"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4"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4"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4"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4"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4"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4"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4"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4"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4"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4"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4"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4"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4"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4"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4"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4"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4"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4"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4"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4"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4"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4"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4"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4"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4"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4"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4"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4"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4"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4"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4"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4"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9" t="str">
        <f>项目基本情况!B1</f>
        <v>四川省雅安市雨城区熊猫大道66号等6处商业用房房地产市场价值预评估</v>
      </c>
      <c r="C37" s="3079"/>
      <c r="D37" s="3079"/>
      <c r="E37" s="3079"/>
      <c r="F37" s="3079"/>
      <c r="G37" s="3079"/>
      <c r="H37" s="3079"/>
      <c r="I37" s="3079"/>
    </row>
    <row r="38" spans="1:9">
      <c r="A38" s="950"/>
      <c r="B38" s="950"/>
    </row>
    <row r="39" spans="1:9">
      <c r="A39" s="948" t="s">
        <v>818</v>
      </c>
      <c r="B39" s="948" t="s">
        <v>820</v>
      </c>
    </row>
    <row r="40" spans="1:9">
      <c r="A40" s="948"/>
      <c r="B40" s="1657" t="str">
        <f>项目基本情况!B5</f>
        <v>中国民生信托有限公司</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吴薇（注册号：1419970001)、郑燚（注册号：1120070131)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1" zoomScale="80" zoomScaleNormal="60" zoomScaleSheetLayoutView="80" workbookViewId="0">
      <selection activeCell="F56" sqref="F56"/>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2557</v>
      </c>
      <c r="B1" s="352"/>
      <c r="C1" s="353" t="s">
        <v>2558</v>
      </c>
      <c r="D1" s="692"/>
      <c r="E1" s="692"/>
      <c r="F1" s="691" t="s">
        <v>2456</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2143</v>
      </c>
      <c r="B2" s="624">
        <f>F66</f>
        <v>14651</v>
      </c>
      <c r="C2" s="1035"/>
      <c r="D2" s="1035"/>
      <c r="E2" s="1036"/>
      <c r="F2" s="1037"/>
      <c r="G2" s="1036"/>
      <c r="H2" s="1036"/>
      <c r="I2" s="1036"/>
      <c r="J2" s="1036"/>
      <c r="K2" s="1038"/>
      <c r="L2" s="2954"/>
      <c r="M2" s="2955"/>
      <c r="N2" s="2955"/>
      <c r="O2" s="2955"/>
      <c r="P2" s="705"/>
      <c r="Q2" s="705"/>
      <c r="R2" s="705"/>
      <c r="S2" s="705"/>
      <c r="T2" s="705"/>
      <c r="U2" s="705"/>
      <c r="V2" s="705"/>
      <c r="W2" s="705"/>
      <c r="X2" s="705"/>
      <c r="Y2" s="705"/>
      <c r="Z2" s="705"/>
      <c r="AA2" s="705"/>
      <c r="AB2" s="705"/>
      <c r="AC2" s="706"/>
      <c r="AD2" s="354"/>
    </row>
    <row r="3" spans="1:30" s="355" customFormat="1" ht="28.5" customHeight="1" thickBot="1">
      <c r="A3" s="206" t="s">
        <v>2145</v>
      </c>
      <c r="B3" s="563">
        <f>ROUND(IF(D3="",B2*10000/'数据-汇总表'!E3,B2*10000/D3),0)</f>
        <v>1511</v>
      </c>
      <c r="C3" s="206" t="s">
        <v>2559</v>
      </c>
      <c r="D3" s="1352"/>
      <c r="E3" s="1036"/>
      <c r="F3" s="1037"/>
      <c r="G3" s="1036"/>
      <c r="H3" s="1036"/>
      <c r="I3" s="1036"/>
      <c r="J3" s="1036"/>
      <c r="K3" s="1038"/>
      <c r="L3" s="2954"/>
      <c r="M3" s="2955"/>
      <c r="N3" s="2955"/>
      <c r="O3" s="2955"/>
      <c r="P3" s="705"/>
      <c r="Q3" s="705"/>
      <c r="R3" s="705"/>
      <c r="S3" s="705"/>
      <c r="T3" s="705"/>
      <c r="U3" s="705"/>
      <c r="V3" s="705"/>
      <c r="W3" s="705"/>
      <c r="X3" s="705"/>
      <c r="Y3" s="705"/>
      <c r="Z3" s="705"/>
      <c r="AA3" s="705"/>
      <c r="AB3" s="722"/>
      <c r="AC3" s="719"/>
    </row>
    <row r="4" spans="1:30" ht="15">
      <c r="A4" s="358" t="s">
        <v>2458</v>
      </c>
      <c r="B4" s="359"/>
      <c r="C4" s="3319" t="s">
        <v>2459</v>
      </c>
      <c r="D4" s="3320"/>
      <c r="E4" s="3321" t="s">
        <v>2460</v>
      </c>
      <c r="F4" s="3322"/>
      <c r="G4" s="3319" t="s">
        <v>2461</v>
      </c>
      <c r="H4" s="3320"/>
      <c r="I4" s="3319" t="s">
        <v>2462</v>
      </c>
      <c r="J4" s="3320"/>
      <c r="K4" s="564" t="s">
        <v>2463</v>
      </c>
      <c r="L4" s="2935"/>
      <c r="M4" s="2936"/>
      <c r="N4" s="2936"/>
      <c r="O4" s="2936"/>
      <c r="P4" s="3323" t="s">
        <v>2464</v>
      </c>
      <c r="Q4" s="3324"/>
      <c r="R4" s="3306" t="s">
        <v>2460</v>
      </c>
      <c r="S4" s="3307"/>
      <c r="T4" s="3306" t="s">
        <v>2461</v>
      </c>
      <c r="U4" s="3307"/>
      <c r="V4" s="3331" t="s">
        <v>2462</v>
      </c>
      <c r="W4" s="3331"/>
      <c r="X4" s="1537"/>
      <c r="Y4" s="3306" t="s">
        <v>2464</v>
      </c>
      <c r="Z4" s="3307"/>
      <c r="AA4" s="3301" t="s">
        <v>2460</v>
      </c>
      <c r="AB4" s="3302" t="s">
        <v>2461</v>
      </c>
      <c r="AC4" s="3301" t="s">
        <v>2462</v>
      </c>
    </row>
    <row r="5" spans="1:30" ht="33" customHeight="1">
      <c r="A5" s="361"/>
      <c r="B5" s="362"/>
      <c r="C5" s="3312" t="str">
        <f>项目基本情况!C10&amp;项目基本情况!F10</f>
        <v>四川省雅安市雨城区熊猫大道66号等6处商业用房</v>
      </c>
      <c r="D5" s="3313"/>
      <c r="E5" s="3310" t="str">
        <f>土地案例!A3</f>
        <v>雨城区三雅园旁</v>
      </c>
      <c r="F5" s="3311"/>
      <c r="G5" s="3312" t="str">
        <f>土地案例!A10</f>
        <v>雨城区三雅园旁</v>
      </c>
      <c r="H5" s="3313"/>
      <c r="I5" s="3312" t="str">
        <f>土地案例!A12</f>
        <v>雨城区大兴街道</v>
      </c>
      <c r="J5" s="3313"/>
      <c r="K5" s="564"/>
      <c r="L5" s="2935"/>
      <c r="M5" s="2936"/>
      <c r="N5" s="2936"/>
      <c r="O5" s="2936"/>
      <c r="P5" s="3325"/>
      <c r="Q5" s="3326"/>
      <c r="R5" s="3308"/>
      <c r="S5" s="3309"/>
      <c r="T5" s="3308"/>
      <c r="U5" s="3309"/>
      <c r="V5" s="3331"/>
      <c r="W5" s="3331"/>
      <c r="X5" s="1537"/>
      <c r="Y5" s="3308"/>
      <c r="Z5" s="3309"/>
      <c r="AA5" s="3302"/>
      <c r="AB5" s="3302"/>
      <c r="AC5" s="3302"/>
    </row>
    <row r="6" spans="1:30" ht="15.75" thickBot="1">
      <c r="A6" s="363"/>
      <c r="B6" s="364"/>
      <c r="C6" s="3314" t="s">
        <v>2359</v>
      </c>
      <c r="D6" s="3315"/>
      <c r="E6" s="3316" t="s">
        <v>2359</v>
      </c>
      <c r="F6" s="3317"/>
      <c r="G6" s="3314" t="s">
        <v>2359</v>
      </c>
      <c r="H6" s="3315"/>
      <c r="I6" s="3314" t="s">
        <v>2359</v>
      </c>
      <c r="J6" s="3315"/>
      <c r="K6" s="564" t="s">
        <v>2360</v>
      </c>
      <c r="L6" s="2935"/>
      <c r="M6" s="2936"/>
      <c r="N6" s="2936"/>
      <c r="O6" s="2936"/>
      <c r="P6" s="3327"/>
      <c r="Q6" s="3328"/>
      <c r="R6" s="3308"/>
      <c r="S6" s="3309"/>
      <c r="T6" s="3329"/>
      <c r="U6" s="3330"/>
      <c r="V6" s="3331"/>
      <c r="W6" s="3331"/>
      <c r="X6" s="1537"/>
      <c r="Y6" s="3329"/>
      <c r="Z6" s="3330"/>
      <c r="AA6" s="3303"/>
      <c r="AB6" s="3303"/>
      <c r="AC6" s="3303"/>
    </row>
    <row r="7" spans="1:30" s="112" customFormat="1" ht="15.75" thickBot="1">
      <c r="A7" s="365" t="s">
        <v>2361</v>
      </c>
      <c r="B7" s="366"/>
      <c r="C7" s="367">
        <f>'数据-取费表'!B2</f>
        <v>44362</v>
      </c>
      <c r="D7" s="368">
        <v>100</v>
      </c>
      <c r="E7" s="369" t="str">
        <f>土地案例!K3</f>
        <v>2021-04-13</v>
      </c>
      <c r="F7" s="370">
        <f>SUMIF(70:70,YEAR(E7)&amp;"-"&amp;INT((MONTH(E7)+2)/3),71:71)</f>
        <v>100</v>
      </c>
      <c r="G7" s="2156" t="str">
        <f>土地案例!K10</f>
        <v>2020-09-10</v>
      </c>
      <c r="H7" s="368">
        <f>SUMIF(70:70,YEAR(G7)&amp;"-"&amp;INT((MONTH(G7)+2)/3),71:71)</f>
        <v>98.5</v>
      </c>
      <c r="I7" s="2156" t="str">
        <f>土地案例!K12</f>
        <v>2020-08-14</v>
      </c>
      <c r="J7" s="368">
        <f>SUMIF(70:70,YEAR(I7)&amp;"-"&amp;INT((MONTH(I7)+2)/3),71:71)</f>
        <v>98.5</v>
      </c>
      <c r="K7" s="565"/>
      <c r="L7" s="2937"/>
      <c r="M7" s="2938"/>
      <c r="N7" s="2938"/>
      <c r="O7" s="2938"/>
      <c r="P7" s="3304" t="s">
        <v>2362</v>
      </c>
      <c r="Q7" s="3332"/>
      <c r="R7" s="707" t="s">
        <v>17</v>
      </c>
      <c r="S7" s="708">
        <f t="shared" ref="S7:S15" si="0">F7</f>
        <v>100</v>
      </c>
      <c r="T7" s="707" t="s">
        <v>17</v>
      </c>
      <c r="U7" s="708">
        <f t="shared" ref="U7:U15" si="1">H7</f>
        <v>98.5</v>
      </c>
      <c r="V7" s="707" t="s">
        <v>17</v>
      </c>
      <c r="W7" s="708">
        <f t="shared" ref="W7:W15" si="2">J7</f>
        <v>98.5</v>
      </c>
      <c r="X7" s="709"/>
      <c r="Y7" s="3304" t="s">
        <v>2362</v>
      </c>
      <c r="Z7" s="3305"/>
      <c r="AA7" s="710">
        <f>D7/F7</f>
        <v>1</v>
      </c>
      <c r="AB7" s="710">
        <f>D7/H7</f>
        <v>1.015228426395939</v>
      </c>
      <c r="AC7" s="710">
        <f>D7/J7</f>
        <v>1.015228426395939</v>
      </c>
    </row>
    <row r="8" spans="1:30" s="112" customFormat="1" ht="15.75" thickBot="1">
      <c r="A8" s="365" t="s">
        <v>2363</v>
      </c>
      <c r="B8" s="366"/>
      <c r="C8" s="371" t="s">
        <v>2364</v>
      </c>
      <c r="D8" s="368">
        <v>100</v>
      </c>
      <c r="E8" s="371" t="s">
        <v>2364</v>
      </c>
      <c r="F8" s="370">
        <f>SUMIF(73:73,E8,74:74)-SUMIF(73:73,C8,74:74)+100</f>
        <v>100</v>
      </c>
      <c r="G8" s="371" t="s">
        <v>2364</v>
      </c>
      <c r="H8" s="368">
        <f>SUMIF(73:73,G8,74:74)-SUMIF(73:73,C8,74:74)+100</f>
        <v>100</v>
      </c>
      <c r="I8" s="371" t="s">
        <v>2364</v>
      </c>
      <c r="J8" s="368">
        <f>SUMIF(73:73,I8,74:74)-SUMIF(73:73,C8,74:74)+100</f>
        <v>100</v>
      </c>
      <c r="K8" s="565"/>
      <c r="L8" s="2937"/>
      <c r="M8" s="2938"/>
      <c r="N8" s="2938"/>
      <c r="O8" s="2938"/>
      <c r="P8" s="3304" t="s">
        <v>2365</v>
      </c>
      <c r="Q8" s="3305"/>
      <c r="R8" s="707" t="s">
        <v>17</v>
      </c>
      <c r="S8" s="708">
        <f t="shared" si="0"/>
        <v>100</v>
      </c>
      <c r="T8" s="707" t="s">
        <v>17</v>
      </c>
      <c r="U8" s="708">
        <f t="shared" si="1"/>
        <v>100</v>
      </c>
      <c r="V8" s="707" t="s">
        <v>17</v>
      </c>
      <c r="W8" s="708">
        <f t="shared" si="2"/>
        <v>100</v>
      </c>
      <c r="X8" s="709"/>
      <c r="Y8" s="3304" t="s">
        <v>2365</v>
      </c>
      <c r="Z8" s="3305"/>
      <c r="AA8" s="710">
        <f t="shared" ref="AA8:AA45" si="3">D8/F8</f>
        <v>1</v>
      </c>
      <c r="AB8" s="710">
        <f t="shared" ref="AB8:AB45" si="4">D8/H8</f>
        <v>1</v>
      </c>
      <c r="AC8" s="710">
        <f t="shared" ref="AC8:AC45" si="5">D8/J8</f>
        <v>1</v>
      </c>
    </row>
    <row r="9" spans="1:30" s="112" customFormat="1">
      <c r="A9" s="372" t="s">
        <v>2366</v>
      </c>
      <c r="B9" s="67" t="s">
        <v>2367</v>
      </c>
      <c r="C9" s="2159" t="s">
        <v>1343</v>
      </c>
      <c r="D9" s="128">
        <v>100</v>
      </c>
      <c r="E9" s="2159" t="s">
        <v>1343</v>
      </c>
      <c r="F9" s="128">
        <f>SUMIF(75:75,E9,76:76)-SUMIF(75:75,C9,76:76)+100</f>
        <v>100</v>
      </c>
      <c r="G9" s="2159" t="s">
        <v>1343</v>
      </c>
      <c r="H9" s="128">
        <f>SUMIF(75:75,G9,76:76)-SUMIF(75:75,C9,76:76)+100</f>
        <v>100</v>
      </c>
      <c r="I9" s="2159" t="s">
        <v>1343</v>
      </c>
      <c r="J9" s="128">
        <f>SUMIF(75:75,I9,76:76)-SUMIF(75:75,C9,76:76)+100</f>
        <v>100</v>
      </c>
      <c r="K9" s="565"/>
      <c r="L9" s="2937"/>
      <c r="M9" s="2938"/>
      <c r="N9" s="2938"/>
      <c r="O9" s="2992"/>
      <c r="P9" s="3336" t="s">
        <v>2368</v>
      </c>
      <c r="Q9" s="1525" t="str">
        <f t="shared" ref="Q9:Q15" si="6">B9</f>
        <v>用途</v>
      </c>
      <c r="R9" s="707" t="s">
        <v>17</v>
      </c>
      <c r="S9" s="708">
        <f t="shared" si="0"/>
        <v>100</v>
      </c>
      <c r="T9" s="707" t="s">
        <v>17</v>
      </c>
      <c r="U9" s="708">
        <f t="shared" si="1"/>
        <v>100</v>
      </c>
      <c r="V9" s="707" t="s">
        <v>17</v>
      </c>
      <c r="W9" s="708">
        <f t="shared" si="2"/>
        <v>100</v>
      </c>
      <c r="X9" s="709"/>
      <c r="Y9" s="3245" t="s">
        <v>2369</v>
      </c>
      <c r="Z9" s="55" t="str">
        <f t="shared" ref="Z9:Z15" si="7">Q9</f>
        <v>用途</v>
      </c>
      <c r="AA9" s="710">
        <f t="shared" si="3"/>
        <v>1</v>
      </c>
      <c r="AB9" s="710">
        <f t="shared" si="4"/>
        <v>1</v>
      </c>
      <c r="AC9" s="710">
        <f t="shared" si="5"/>
        <v>1</v>
      </c>
    </row>
    <row r="10" spans="1:30" s="383" customFormat="1" ht="27">
      <c r="A10" s="377"/>
      <c r="B10" s="378" t="s">
        <v>2370</v>
      </c>
      <c r="C10" s="388">
        <f>'数据-取费表'!F6</f>
        <v>34.69</v>
      </c>
      <c r="D10" s="129">
        <v>100</v>
      </c>
      <c r="E10" s="421" t="s">
        <v>3308</v>
      </c>
      <c r="F10" s="129">
        <f>ROUND(100/'数据-取费表'!G16,0)</f>
        <v>105</v>
      </c>
      <c r="G10" s="421" t="s">
        <v>3308</v>
      </c>
      <c r="H10" s="129">
        <f>ROUND(100/'数据-取费表'!G16,0)</f>
        <v>105</v>
      </c>
      <c r="I10" s="421" t="s">
        <v>3308</v>
      </c>
      <c r="J10" s="129">
        <f>ROUND(100/'数据-取费表'!G16,0)</f>
        <v>105</v>
      </c>
      <c r="K10" s="625"/>
      <c r="L10" s="2939"/>
      <c r="M10" s="2940"/>
      <c r="N10" s="2940"/>
      <c r="O10" s="2993"/>
      <c r="P10" s="3336"/>
      <c r="Q10" s="1525" t="str">
        <f t="shared" si="6"/>
        <v>土地使用年限（年）</v>
      </c>
      <c r="R10" s="707" t="s">
        <v>17</v>
      </c>
      <c r="S10" s="708">
        <f t="shared" si="0"/>
        <v>105</v>
      </c>
      <c r="T10" s="707" t="s">
        <v>17</v>
      </c>
      <c r="U10" s="708">
        <f t="shared" si="1"/>
        <v>105</v>
      </c>
      <c r="V10" s="707" t="s">
        <v>17</v>
      </c>
      <c r="W10" s="708">
        <f t="shared" si="2"/>
        <v>105</v>
      </c>
      <c r="X10" s="709"/>
      <c r="Y10" s="3245"/>
      <c r="Z10" s="55" t="str">
        <f t="shared" si="7"/>
        <v>土地使用年限（年）</v>
      </c>
      <c r="AA10" s="710">
        <f t="shared" si="3"/>
        <v>0.95238095238095233</v>
      </c>
      <c r="AB10" s="710">
        <f t="shared" si="4"/>
        <v>0.95238095238095233</v>
      </c>
      <c r="AC10" s="710">
        <f t="shared" si="5"/>
        <v>0.95238095238095233</v>
      </c>
    </row>
    <row r="11" spans="1:30" ht="15">
      <c r="A11" s="384"/>
      <c r="B11" s="378" t="s">
        <v>2371</v>
      </c>
      <c r="C11" s="385">
        <f>'数据-汇总表'!I4</f>
        <v>2.02</v>
      </c>
      <c r="D11" s="129">
        <v>100</v>
      </c>
      <c r="E11" s="385">
        <v>1</v>
      </c>
      <c r="F11" s="129">
        <f>LOOKUP(E11,80:80,81:81)-LOOKUP(C11,80:80,81:81)+100</f>
        <v>102</v>
      </c>
      <c r="G11" s="386">
        <v>1</v>
      </c>
      <c r="H11" s="129">
        <f>LOOKUP(G11,80:80,81:81)-LOOKUP(C11,80:80,81:81)+100</f>
        <v>102</v>
      </c>
      <c r="I11" s="385">
        <v>1.5</v>
      </c>
      <c r="J11" s="129">
        <f>LOOKUP(I11,80:80,81:81)-LOOKUP(C11,80:80,81:81)+100</f>
        <v>102</v>
      </c>
      <c r="K11" s="626">
        <v>2</v>
      </c>
      <c r="L11" s="2941"/>
      <c r="M11" s="2936"/>
      <c r="N11" s="2936"/>
      <c r="O11" s="2994"/>
      <c r="P11" s="3336"/>
      <c r="Q11" s="1525" t="str">
        <f t="shared" si="6"/>
        <v>容积率</v>
      </c>
      <c r="R11" s="707" t="s">
        <v>17</v>
      </c>
      <c r="S11" s="708">
        <f t="shared" si="0"/>
        <v>102</v>
      </c>
      <c r="T11" s="707" t="s">
        <v>17</v>
      </c>
      <c r="U11" s="708">
        <f t="shared" si="1"/>
        <v>102</v>
      </c>
      <c r="V11" s="707" t="s">
        <v>17</v>
      </c>
      <c r="W11" s="708">
        <f t="shared" si="2"/>
        <v>102</v>
      </c>
      <c r="X11" s="709"/>
      <c r="Y11" s="3245"/>
      <c r="Z11" s="55" t="str">
        <f t="shared" si="7"/>
        <v>容积率</v>
      </c>
      <c r="AA11" s="710">
        <f t="shared" si="3"/>
        <v>0.98039215686274506</v>
      </c>
      <c r="AB11" s="710">
        <f t="shared" si="4"/>
        <v>0.98039215686274506</v>
      </c>
      <c r="AC11" s="710">
        <f t="shared" si="5"/>
        <v>0.98039215686274506</v>
      </c>
    </row>
    <row r="12" spans="1:30" s="112" customFormat="1" ht="15" hidden="1">
      <c r="A12" s="387"/>
      <c r="B12" s="2075" t="s">
        <v>2560</v>
      </c>
      <c r="C12" s="388"/>
      <c r="D12" s="389">
        <v>100</v>
      </c>
      <c r="E12" s="421"/>
      <c r="F12" s="129">
        <f>SUMIF(82:82,E12,83:83)-SUMIF(82:82,C12,83:83)+100</f>
        <v>100</v>
      </c>
      <c r="G12" s="419"/>
      <c r="H12" s="129">
        <f>SUMIF(82:82,G12,83:83)-SUMIF(82:82,C12,83:83)+100</f>
        <v>100</v>
      </c>
      <c r="I12" s="421"/>
      <c r="J12" s="129">
        <f>SUMIF(82:82,I12,83:83)-SUMIF(82:82,C12,83:83)+100</f>
        <v>100</v>
      </c>
      <c r="K12" s="625"/>
      <c r="L12" s="2937"/>
      <c r="M12" s="2938"/>
      <c r="N12" s="2938"/>
      <c r="O12" s="2992"/>
      <c r="P12" s="3336"/>
      <c r="Q12" s="1525" t="str">
        <f t="shared" si="6"/>
        <v>配建</v>
      </c>
      <c r="R12" s="707" t="s">
        <v>17</v>
      </c>
      <c r="S12" s="708">
        <f t="shared" si="0"/>
        <v>100</v>
      </c>
      <c r="T12" s="707" t="s">
        <v>17</v>
      </c>
      <c r="U12" s="708">
        <f t="shared" si="1"/>
        <v>100</v>
      </c>
      <c r="V12" s="707" t="s">
        <v>17</v>
      </c>
      <c r="W12" s="708">
        <f t="shared" si="2"/>
        <v>100</v>
      </c>
      <c r="X12" s="709"/>
      <c r="Y12" s="3245"/>
      <c r="Z12" s="55" t="str">
        <f t="shared" si="7"/>
        <v>配建</v>
      </c>
      <c r="AA12" s="710">
        <f>D12/F12</f>
        <v>1</v>
      </c>
      <c r="AB12" s="710">
        <f>D12/H12</f>
        <v>1</v>
      </c>
      <c r="AC12" s="710">
        <f>D12/J12</f>
        <v>1</v>
      </c>
    </row>
    <row r="13" spans="1:30" ht="15" hidden="1">
      <c r="A13" s="384"/>
      <c r="B13" s="2075">
        <v>111</v>
      </c>
      <c r="C13" s="390"/>
      <c r="D13" s="391">
        <v>100</v>
      </c>
      <c r="E13" s="503"/>
      <c r="F13" s="129">
        <f>SUMIF(84:84,E13,85:85)-SUMIF(84:84,C13,85:85)+100</f>
        <v>100</v>
      </c>
      <c r="G13" s="627"/>
      <c r="H13" s="391">
        <f>SUMIF(84:84,G13,85:85)-SUMIF(84:84,C13,85:85)+100</f>
        <v>100</v>
      </c>
      <c r="I13" s="627"/>
      <c r="J13" s="391">
        <f>SUMIF(84:84,I13,85:85)-SUMIF(84:84,C13,85:85)+100</f>
        <v>100</v>
      </c>
      <c r="K13" s="625"/>
      <c r="L13" s="2942"/>
      <c r="M13" s="2936"/>
      <c r="N13" s="2936"/>
      <c r="O13" s="2994"/>
      <c r="P13" s="3336"/>
      <c r="Q13" s="1525">
        <f t="shared" si="6"/>
        <v>111</v>
      </c>
      <c r="R13" s="707" t="s">
        <v>17</v>
      </c>
      <c r="S13" s="708">
        <f t="shared" si="0"/>
        <v>100</v>
      </c>
      <c r="T13" s="707" t="s">
        <v>17</v>
      </c>
      <c r="U13" s="708">
        <f t="shared" si="1"/>
        <v>100</v>
      </c>
      <c r="V13" s="707" t="s">
        <v>17</v>
      </c>
      <c r="W13" s="708">
        <f t="shared" si="2"/>
        <v>100</v>
      </c>
      <c r="X13" s="709"/>
      <c r="Y13" s="3245"/>
      <c r="Z13" s="55">
        <f t="shared" si="7"/>
        <v>111</v>
      </c>
      <c r="AA13" s="710">
        <f>D13/F13</f>
        <v>1</v>
      </c>
      <c r="AB13" s="710">
        <f>D13/H13</f>
        <v>1</v>
      </c>
      <c r="AC13" s="710">
        <f>D13/J13</f>
        <v>1</v>
      </c>
    </row>
    <row r="14" spans="1:30" ht="15.75" hidden="1" thickBot="1">
      <c r="A14" s="392"/>
      <c r="B14" s="2077">
        <v>111</v>
      </c>
      <c r="C14" s="393"/>
      <c r="D14" s="394">
        <v>100</v>
      </c>
      <c r="E14" s="503"/>
      <c r="F14" s="394">
        <f>SUMIF(86:86,E14,87:87)-SUMIF(86:86,C14,87:87)+100</f>
        <v>100</v>
      </c>
      <c r="G14" s="627"/>
      <c r="H14" s="394">
        <f>SUMIF(86:86,G14,87:87)-SUMIF(86:86,C14,87:87)+100</f>
        <v>100</v>
      </c>
      <c r="I14" s="627"/>
      <c r="J14" s="394">
        <f>SUMIF(86:86,I14,87:87)-SUMIF(86:86,C14,87:87)+100</f>
        <v>100</v>
      </c>
      <c r="K14" s="625"/>
      <c r="L14" s="2942"/>
      <c r="M14" s="2936"/>
      <c r="N14" s="2936"/>
      <c r="O14" s="2994"/>
      <c r="P14" s="3336"/>
      <c r="Q14" s="1525">
        <f t="shared" si="6"/>
        <v>111</v>
      </c>
      <c r="R14" s="707" t="s">
        <v>17</v>
      </c>
      <c r="S14" s="708">
        <f t="shared" si="0"/>
        <v>100</v>
      </c>
      <c r="T14" s="707" t="s">
        <v>17</v>
      </c>
      <c r="U14" s="708">
        <f t="shared" si="1"/>
        <v>100</v>
      </c>
      <c r="V14" s="707" t="s">
        <v>17</v>
      </c>
      <c r="W14" s="708">
        <f t="shared" si="2"/>
        <v>100</v>
      </c>
      <c r="X14" s="709"/>
      <c r="Y14" s="3245"/>
      <c r="Z14" s="55">
        <f t="shared" si="7"/>
        <v>111</v>
      </c>
      <c r="AA14" s="710">
        <f>D14/F14</f>
        <v>1</v>
      </c>
      <c r="AB14" s="710">
        <f>D14/H14</f>
        <v>1</v>
      </c>
      <c r="AC14" s="710">
        <f>D14/J14</f>
        <v>1</v>
      </c>
    </row>
    <row r="15" spans="1:30" ht="15" hidden="1">
      <c r="A15" s="396" t="s">
        <v>2372</v>
      </c>
      <c r="B15" s="65" t="s">
        <v>1941</v>
      </c>
      <c r="C15" s="2078" t="str">
        <f>估价对象房地状况!C15</f>
        <v>较好</v>
      </c>
      <c r="D15" s="397">
        <v>100</v>
      </c>
      <c r="E15" s="398"/>
      <c r="F15" s="397">
        <f>SUMIF(88:88,E16,89:89)-SUMIF(88:88,C16,89:89)+100</f>
        <v>100</v>
      </c>
      <c r="G15" s="398"/>
      <c r="H15" s="397">
        <f>SUMIF(88:88,G16,89:89)-SUMIF(88:88,C16,89:89)+100</f>
        <v>100</v>
      </c>
      <c r="I15" s="400"/>
      <c r="J15" s="397">
        <f>SUMIF(88:88,I16,89:89)-SUMIF(88:88,C16,89:89)+100</f>
        <v>100</v>
      </c>
      <c r="K15" s="626"/>
      <c r="L15" s="2942"/>
      <c r="M15" s="2936"/>
      <c r="N15" s="2936"/>
      <c r="O15" s="2994"/>
      <c r="P15" s="3338" t="s">
        <v>2373</v>
      </c>
      <c r="Q15" s="1534" t="str">
        <f t="shared" si="6"/>
        <v>居住社区成熟度</v>
      </c>
      <c r="R15" s="711" t="s">
        <v>17</v>
      </c>
      <c r="S15" s="712">
        <f t="shared" si="0"/>
        <v>100</v>
      </c>
      <c r="T15" s="711" t="s">
        <v>17</v>
      </c>
      <c r="U15" s="712">
        <f t="shared" si="1"/>
        <v>100</v>
      </c>
      <c r="V15" s="711" t="s">
        <v>17</v>
      </c>
      <c r="W15" s="712">
        <f t="shared" si="2"/>
        <v>100</v>
      </c>
      <c r="X15" s="1537"/>
      <c r="Y15" s="3338" t="s">
        <v>2373</v>
      </c>
      <c r="Z15" s="1538" t="str">
        <f t="shared" si="7"/>
        <v>居住社区成熟度</v>
      </c>
      <c r="AA15" s="1535">
        <f t="shared" si="3"/>
        <v>1</v>
      </c>
      <c r="AB15" s="1535">
        <f t="shared" si="4"/>
        <v>1</v>
      </c>
      <c r="AC15" s="1535">
        <f t="shared" si="5"/>
        <v>1</v>
      </c>
    </row>
    <row r="16" spans="1:30" ht="15" hidden="1">
      <c r="A16" s="384"/>
      <c r="B16" s="402"/>
      <c r="C16" s="403" t="s">
        <v>3060</v>
      </c>
      <c r="D16" s="404"/>
      <c r="E16" s="403" t="s">
        <v>3060</v>
      </c>
      <c r="F16" s="404"/>
      <c r="G16" s="403" t="s">
        <v>3060</v>
      </c>
      <c r="H16" s="406"/>
      <c r="I16" s="403" t="s">
        <v>3060</v>
      </c>
      <c r="J16" s="404"/>
      <c r="K16" s="625"/>
      <c r="L16" s="2942"/>
      <c r="M16" s="2936"/>
      <c r="N16" s="2936"/>
      <c r="O16" s="2994"/>
      <c r="P16" s="3339"/>
      <c r="Q16" s="1534"/>
      <c r="R16" s="711"/>
      <c r="S16" s="712"/>
      <c r="T16" s="711"/>
      <c r="U16" s="712"/>
      <c r="V16" s="711"/>
      <c r="W16" s="712"/>
      <c r="X16" s="1537"/>
      <c r="Y16" s="3339"/>
      <c r="Z16" s="1538"/>
      <c r="AA16" s="1535">
        <v>1</v>
      </c>
      <c r="AB16" s="1535">
        <v>1</v>
      </c>
      <c r="AC16" s="1535">
        <v>1</v>
      </c>
    </row>
    <row r="17" spans="1:29" ht="15">
      <c r="A17" s="384"/>
      <c r="B17" s="407" t="s">
        <v>2466</v>
      </c>
      <c r="C17" s="2137" t="str">
        <f>估价对象房地状况!C16</f>
        <v>较好</v>
      </c>
      <c r="D17" s="406">
        <v>100</v>
      </c>
      <c r="E17" s="408"/>
      <c r="F17" s="406">
        <f>SUMIF(90:90,E18,91:91)-SUMIF(90:90,C18,91:91)+100</f>
        <v>98</v>
      </c>
      <c r="G17" s="408"/>
      <c r="H17" s="411">
        <f>SUMIF(90:90,G18,91:91)-SUMIF(90:90,C18,91:91)+100</f>
        <v>98</v>
      </c>
      <c r="I17" s="410"/>
      <c r="J17" s="411">
        <f>SUMIF(90:90,I18,91:91)-SUMIF(90:90,C18,91:91)+100</f>
        <v>98</v>
      </c>
      <c r="K17" s="626">
        <v>2</v>
      </c>
      <c r="L17" s="2942"/>
      <c r="M17" s="2936"/>
      <c r="N17" s="2936"/>
      <c r="O17" s="2994"/>
      <c r="P17" s="3339"/>
      <c r="Q17" s="1534" t="str">
        <f>B17</f>
        <v>商业繁华度</v>
      </c>
      <c r="R17" s="711" t="s">
        <v>17</v>
      </c>
      <c r="S17" s="712">
        <f>F17</f>
        <v>98</v>
      </c>
      <c r="T17" s="711" t="s">
        <v>17</v>
      </c>
      <c r="U17" s="712">
        <f>H17</f>
        <v>98</v>
      </c>
      <c r="V17" s="711" t="s">
        <v>17</v>
      </c>
      <c r="W17" s="712">
        <f>J17</f>
        <v>98</v>
      </c>
      <c r="X17" s="1537"/>
      <c r="Y17" s="3339"/>
      <c r="Z17" s="1538" t="str">
        <f>Q17</f>
        <v>商业繁华度</v>
      </c>
      <c r="AA17" s="1535">
        <f t="shared" si="3"/>
        <v>1.0204081632653061</v>
      </c>
      <c r="AB17" s="1535">
        <f t="shared" si="4"/>
        <v>1.0204081632653061</v>
      </c>
      <c r="AC17" s="1535">
        <f t="shared" si="5"/>
        <v>1.0204081632653061</v>
      </c>
    </row>
    <row r="18" spans="1:29" ht="15">
      <c r="A18" s="384"/>
      <c r="B18" s="412"/>
      <c r="C18" s="2083" t="s">
        <v>3060</v>
      </c>
      <c r="D18" s="406"/>
      <c r="E18" s="2083" t="s">
        <v>3061</v>
      </c>
      <c r="F18" s="406"/>
      <c r="G18" s="2083" t="s">
        <v>3061</v>
      </c>
      <c r="H18" s="404"/>
      <c r="I18" s="2083" t="s">
        <v>3061</v>
      </c>
      <c r="J18" s="404"/>
      <c r="K18" s="625"/>
      <c r="L18" s="2942"/>
      <c r="M18" s="2936"/>
      <c r="N18" s="2936"/>
      <c r="O18" s="2994"/>
      <c r="P18" s="3339"/>
      <c r="Q18" s="1534"/>
      <c r="R18" s="711"/>
      <c r="S18" s="712"/>
      <c r="T18" s="711"/>
      <c r="U18" s="712"/>
      <c r="V18" s="711"/>
      <c r="W18" s="712"/>
      <c r="X18" s="1537"/>
      <c r="Y18" s="3339"/>
      <c r="Z18" s="1538"/>
      <c r="AA18" s="1535">
        <v>1</v>
      </c>
      <c r="AB18" s="1535">
        <v>1</v>
      </c>
      <c r="AC18" s="1535">
        <v>1</v>
      </c>
    </row>
    <row r="19" spans="1:29" ht="71.25" hidden="1">
      <c r="A19" s="384"/>
      <c r="B19" s="407" t="s">
        <v>2500</v>
      </c>
      <c r="C19" s="2137">
        <f>估价对象房地状况!C17</f>
        <v>0</v>
      </c>
      <c r="D19" s="411">
        <v>100</v>
      </c>
      <c r="E19" s="413"/>
      <c r="F19" s="411">
        <f>SUMIF(92:92,E20,93:93)-SUMIF(92:92,C20,93:93)+100</f>
        <v>100</v>
      </c>
      <c r="G19" s="413"/>
      <c r="H19" s="406">
        <f>SUMIF(92:92,G20,93:93)-SUMIF(92:92,C20,93:93)+100</f>
        <v>100</v>
      </c>
      <c r="I19" s="415"/>
      <c r="J19" s="406">
        <f>SUMIF(92:92,I20,93:93)-SUMIF(92:92,C20,93:93)+100</f>
        <v>100</v>
      </c>
      <c r="K19" s="626"/>
      <c r="L19" s="2942"/>
      <c r="M19" s="2936"/>
      <c r="N19" s="2936"/>
      <c r="O19" s="2994"/>
      <c r="P19" s="3339"/>
      <c r="Q19" s="1534" t="str">
        <f>B19</f>
        <v>办公集聚程度</v>
      </c>
      <c r="R19" s="711" t="s">
        <v>17</v>
      </c>
      <c r="S19" s="712">
        <f>F19</f>
        <v>100</v>
      </c>
      <c r="T19" s="711" t="s">
        <v>17</v>
      </c>
      <c r="U19" s="712">
        <f>H19</f>
        <v>100</v>
      </c>
      <c r="V19" s="711" t="s">
        <v>17</v>
      </c>
      <c r="W19" s="712">
        <f>J19</f>
        <v>100</v>
      </c>
      <c r="X19" s="1537"/>
      <c r="Y19" s="3339"/>
      <c r="Z19" s="1538" t="str">
        <f>Q19</f>
        <v>办公集聚程度</v>
      </c>
      <c r="AA19" s="1535">
        <f t="shared" si="3"/>
        <v>1</v>
      </c>
      <c r="AB19" s="1535">
        <f t="shared" si="4"/>
        <v>1</v>
      </c>
      <c r="AC19" s="1535">
        <f t="shared" si="5"/>
        <v>1</v>
      </c>
    </row>
    <row r="20" spans="1:29" ht="15" hidden="1">
      <c r="A20" s="384"/>
      <c r="B20" s="412"/>
      <c r="C20" s="403"/>
      <c r="D20" s="404"/>
      <c r="E20" s="2080"/>
      <c r="F20" s="404"/>
      <c r="G20" s="2080"/>
      <c r="H20" s="404"/>
      <c r="I20" s="2079"/>
      <c r="J20" s="404"/>
      <c r="K20" s="625"/>
      <c r="L20" s="2942"/>
      <c r="M20" s="2936"/>
      <c r="N20" s="2936"/>
      <c r="O20" s="2994"/>
      <c r="P20" s="3339"/>
      <c r="Q20" s="1534"/>
      <c r="R20" s="711"/>
      <c r="S20" s="712"/>
      <c r="T20" s="711"/>
      <c r="U20" s="712"/>
      <c r="V20" s="711"/>
      <c r="W20" s="712"/>
      <c r="X20" s="1537"/>
      <c r="Y20" s="3339"/>
      <c r="Z20" s="1538"/>
      <c r="AA20" s="1535">
        <v>1</v>
      </c>
      <c r="AB20" s="1535">
        <v>1</v>
      </c>
      <c r="AC20" s="1535">
        <v>1</v>
      </c>
    </row>
    <row r="21" spans="1:29" ht="15">
      <c r="A21" s="384"/>
      <c r="B21" s="407" t="s">
        <v>2522</v>
      </c>
      <c r="C21" s="2082" t="str">
        <f>估价对象房地状况!C18</f>
        <v>较好</v>
      </c>
      <c r="D21" s="406">
        <v>100</v>
      </c>
      <c r="E21" s="408"/>
      <c r="F21" s="411">
        <f>SUMIF(94:94,E22,95:95)-SUMIF(94:94,C22,95:95)+100</f>
        <v>100</v>
      </c>
      <c r="G21" s="408"/>
      <c r="H21" s="406">
        <f>SUMIF(94:94,G22,95:95)-SUMIF(94:94,C22,95:95)+100</f>
        <v>100</v>
      </c>
      <c r="I21" s="410"/>
      <c r="J21" s="406">
        <f>SUMIF(94:94,I22,95:95)-SUMIF(94:94,C22,95:95)+100</f>
        <v>100</v>
      </c>
      <c r="K21" s="626">
        <v>2</v>
      </c>
      <c r="L21" s="2942"/>
      <c r="M21" s="2936"/>
      <c r="N21" s="2936"/>
      <c r="O21" s="2994"/>
      <c r="P21" s="3339"/>
      <c r="Q21" s="1534" t="str">
        <f>B21</f>
        <v>交通便捷度</v>
      </c>
      <c r="R21" s="711" t="s">
        <v>17</v>
      </c>
      <c r="S21" s="712">
        <f>F21</f>
        <v>100</v>
      </c>
      <c r="T21" s="711" t="s">
        <v>17</v>
      </c>
      <c r="U21" s="712">
        <f>H21</f>
        <v>100</v>
      </c>
      <c r="V21" s="711" t="s">
        <v>17</v>
      </c>
      <c r="W21" s="712">
        <f>J21</f>
        <v>100</v>
      </c>
      <c r="X21" s="1537"/>
      <c r="Y21" s="3339"/>
      <c r="Z21" s="1538" t="str">
        <f>Q21</f>
        <v>交通便捷度</v>
      </c>
      <c r="AA21" s="1535">
        <f t="shared" si="3"/>
        <v>1</v>
      </c>
      <c r="AB21" s="1535">
        <f t="shared" si="4"/>
        <v>1</v>
      </c>
      <c r="AC21" s="1535">
        <f t="shared" si="5"/>
        <v>1</v>
      </c>
    </row>
    <row r="22" spans="1:29" ht="15">
      <c r="A22" s="384"/>
      <c r="B22" s="1290"/>
      <c r="C22" s="403" t="s">
        <v>3060</v>
      </c>
      <c r="D22" s="406"/>
      <c r="E22" s="403" t="s">
        <v>3060</v>
      </c>
      <c r="F22" s="404"/>
      <c r="G22" s="2083" t="s">
        <v>3060</v>
      </c>
      <c r="H22" s="404"/>
      <c r="I22" s="2083" t="s">
        <v>3060</v>
      </c>
      <c r="J22" s="404"/>
      <c r="K22" s="625"/>
      <c r="L22" s="2942"/>
      <c r="M22" s="2936"/>
      <c r="N22" s="2936"/>
      <c r="O22" s="2994"/>
      <c r="P22" s="3339"/>
      <c r="Q22" s="1534"/>
      <c r="R22" s="711"/>
      <c r="S22" s="712"/>
      <c r="T22" s="711"/>
      <c r="U22" s="712"/>
      <c r="V22" s="711"/>
      <c r="W22" s="712"/>
      <c r="X22" s="1537"/>
      <c r="Y22" s="3339"/>
      <c r="Z22" s="1538"/>
      <c r="AA22" s="1535">
        <v>1</v>
      </c>
      <c r="AB22" s="1535">
        <v>1</v>
      </c>
      <c r="AC22" s="1535">
        <v>1</v>
      </c>
    </row>
    <row r="23" spans="1:29" ht="15">
      <c r="A23" s="361"/>
      <c r="B23" s="407" t="s">
        <v>2561</v>
      </c>
      <c r="C23" s="1295" t="str">
        <f>估价对象房地状况!C19</f>
        <v>一般</v>
      </c>
      <c r="D23" s="411">
        <v>100</v>
      </c>
      <c r="E23" s="408"/>
      <c r="F23" s="411">
        <f>SUMIF(96:96,E24,97:97)-SUMIF(96:96,C24,97:97)+100</f>
        <v>100</v>
      </c>
      <c r="G23" s="410"/>
      <c r="H23" s="411">
        <f>SUMIF(96:96,G24,97:97)-SUMIF(96:96,C24,97:97)+100</f>
        <v>100</v>
      </c>
      <c r="I23" s="410"/>
      <c r="J23" s="411">
        <f>SUMIF(96:96,I24,97:97)-SUMIF(96:96,C24,97:97)+100</f>
        <v>100</v>
      </c>
      <c r="K23" s="626">
        <v>2</v>
      </c>
      <c r="L23" s="2942"/>
      <c r="M23" s="2936"/>
      <c r="N23" s="2936"/>
      <c r="O23" s="2994"/>
      <c r="P23" s="3339"/>
      <c r="Q23" s="1534" t="str">
        <f t="shared" ref="Q23:Q37" si="8">B23</f>
        <v>区域土地利用方向</v>
      </c>
      <c r="R23" s="711" t="s">
        <v>17</v>
      </c>
      <c r="S23" s="712">
        <f>F23</f>
        <v>100</v>
      </c>
      <c r="T23" s="711" t="s">
        <v>17</v>
      </c>
      <c r="U23" s="712">
        <f>H23</f>
        <v>100</v>
      </c>
      <c r="V23" s="711" t="s">
        <v>17</v>
      </c>
      <c r="W23" s="712">
        <f>J23</f>
        <v>100</v>
      </c>
      <c r="X23" s="1537"/>
      <c r="Y23" s="3339"/>
      <c r="Z23" s="1538" t="str">
        <f>Q23</f>
        <v>区域土地利用方向</v>
      </c>
      <c r="AA23" s="1535">
        <f t="shared" si="3"/>
        <v>1</v>
      </c>
      <c r="AB23" s="1535">
        <f t="shared" si="4"/>
        <v>1</v>
      </c>
      <c r="AC23" s="1535">
        <f t="shared" si="5"/>
        <v>1</v>
      </c>
    </row>
    <row r="24" spans="1:29" ht="15">
      <c r="A24" s="361"/>
      <c r="B24" s="412"/>
      <c r="C24" s="570" t="s">
        <v>3061</v>
      </c>
      <c r="D24" s="404"/>
      <c r="E24" s="570" t="s">
        <v>3061</v>
      </c>
      <c r="F24" s="404"/>
      <c r="G24" s="570" t="s">
        <v>3061</v>
      </c>
      <c r="H24" s="404"/>
      <c r="I24" s="570" t="s">
        <v>3061</v>
      </c>
      <c r="J24" s="404"/>
      <c r="K24" s="748"/>
      <c r="L24" s="2942"/>
      <c r="M24" s="2936"/>
      <c r="N24" s="2936"/>
      <c r="O24" s="2994"/>
      <c r="P24" s="3339"/>
      <c r="Q24" s="1534"/>
      <c r="R24" s="711"/>
      <c r="S24" s="712"/>
      <c r="T24" s="711"/>
      <c r="U24" s="712"/>
      <c r="V24" s="711"/>
      <c r="W24" s="712"/>
      <c r="X24" s="1537"/>
      <c r="Y24" s="3339"/>
      <c r="Z24" s="1538"/>
      <c r="AA24" s="1535"/>
      <c r="AB24" s="1535"/>
      <c r="AC24" s="1535"/>
    </row>
    <row r="25" spans="1:29" ht="27">
      <c r="A25" s="361"/>
      <c r="B25" s="1290" t="s">
        <v>2562</v>
      </c>
      <c r="C25" s="2137" t="str">
        <f>估价对象房地状况!C20</f>
        <v>较好</v>
      </c>
      <c r="D25" s="406">
        <v>100</v>
      </c>
      <c r="E25" s="408"/>
      <c r="F25" s="406">
        <f>SUMIF(98:98,E26,99:99)-SUMIF(98:98,C26,99:99)+100</f>
        <v>100</v>
      </c>
      <c r="G25" s="408"/>
      <c r="H25" s="406">
        <f>SUMIF(98:98,G26,99:99)-SUMIF(98:98,C26,99:99)+100</f>
        <v>100</v>
      </c>
      <c r="I25" s="410"/>
      <c r="J25" s="406">
        <f>SUMIF(98:98,I26,99:99)-SUMIF(98:98,C26,99:99)+100</f>
        <v>100</v>
      </c>
      <c r="K25" s="626">
        <v>2</v>
      </c>
      <c r="L25" s="2942"/>
      <c r="M25" s="2936"/>
      <c r="N25" s="2936"/>
      <c r="O25" s="2994"/>
      <c r="P25" s="3339"/>
      <c r="Q25" s="1534" t="str">
        <f t="shared" si="8"/>
        <v>自然及人文环境状况</v>
      </c>
      <c r="R25" s="711" t="s">
        <v>17</v>
      </c>
      <c r="S25" s="712">
        <f>F25</f>
        <v>100</v>
      </c>
      <c r="T25" s="711" t="s">
        <v>17</v>
      </c>
      <c r="U25" s="712">
        <f>H25</f>
        <v>100</v>
      </c>
      <c r="V25" s="711" t="s">
        <v>17</v>
      </c>
      <c r="W25" s="712">
        <f>J25</f>
        <v>100</v>
      </c>
      <c r="X25" s="1537"/>
      <c r="Y25" s="3339"/>
      <c r="Z25" s="1538" t="str">
        <f>Q25</f>
        <v>自然及人文环境状况</v>
      </c>
      <c r="AA25" s="1535">
        <f t="shared" si="3"/>
        <v>1</v>
      </c>
      <c r="AB25" s="1535">
        <f t="shared" si="4"/>
        <v>1</v>
      </c>
      <c r="AC25" s="1535">
        <f t="shared" si="5"/>
        <v>1</v>
      </c>
    </row>
    <row r="26" spans="1:29" ht="15">
      <c r="A26" s="361"/>
      <c r="B26" s="412"/>
      <c r="C26" s="403" t="s">
        <v>3060</v>
      </c>
      <c r="D26" s="404"/>
      <c r="E26" s="403" t="s">
        <v>3060</v>
      </c>
      <c r="F26" s="404"/>
      <c r="G26" s="403" t="s">
        <v>3060</v>
      </c>
      <c r="H26" s="404"/>
      <c r="I26" s="403" t="s">
        <v>3060</v>
      </c>
      <c r="J26" s="404"/>
      <c r="K26" s="625"/>
      <c r="L26" s="2942"/>
      <c r="M26" s="2936"/>
      <c r="N26" s="2936"/>
      <c r="O26" s="2994"/>
      <c r="P26" s="3339"/>
      <c r="Q26" s="1534"/>
      <c r="R26" s="711"/>
      <c r="S26" s="712"/>
      <c r="T26" s="711"/>
      <c r="U26" s="712"/>
      <c r="V26" s="711"/>
      <c r="W26" s="712"/>
      <c r="X26" s="1537"/>
      <c r="Y26" s="3339"/>
      <c r="Z26" s="1538"/>
      <c r="AA26" s="1535">
        <v>1</v>
      </c>
      <c r="AB26" s="1535">
        <v>1</v>
      </c>
      <c r="AC26" s="1535">
        <v>1</v>
      </c>
    </row>
    <row r="27" spans="1:29" s="112" customFormat="1" ht="42.75">
      <c r="A27" s="602"/>
      <c r="B27" s="1290" t="s">
        <v>2467</v>
      </c>
      <c r="C27" s="2082" t="str">
        <f>估价对象房地状况!C21</f>
        <v>较好</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37"/>
      <c r="M27" s="2938"/>
      <c r="N27" s="2938"/>
      <c r="O27" s="2992"/>
      <c r="P27" s="3339"/>
      <c r="Q27" s="1525" t="str">
        <f t="shared" si="8"/>
        <v>公共配套设施</v>
      </c>
      <c r="R27" s="707" t="s">
        <v>17</v>
      </c>
      <c r="S27" s="708">
        <f>F27</f>
        <v>100</v>
      </c>
      <c r="T27" s="707" t="s">
        <v>17</v>
      </c>
      <c r="U27" s="708">
        <f>H27</f>
        <v>100</v>
      </c>
      <c r="V27" s="707" t="s">
        <v>17</v>
      </c>
      <c r="W27" s="708">
        <f>J27</f>
        <v>100</v>
      </c>
      <c r="X27" s="709"/>
      <c r="Y27" s="3339"/>
      <c r="Z27" s="55" t="str">
        <f>Q27</f>
        <v>公共配套设施</v>
      </c>
      <c r="AA27" s="1535">
        <f>D27/F27</f>
        <v>1</v>
      </c>
      <c r="AB27" s="1535">
        <f>D27/H27</f>
        <v>1</v>
      </c>
      <c r="AC27" s="1535">
        <f>D27/J27</f>
        <v>1</v>
      </c>
    </row>
    <row r="28" spans="1:29" s="112" customFormat="1" ht="15">
      <c r="A28" s="602"/>
      <c r="B28" s="412"/>
      <c r="C28" s="2160" t="s">
        <v>3060</v>
      </c>
      <c r="D28" s="404"/>
      <c r="E28" s="2086" t="s">
        <v>3060</v>
      </c>
      <c r="F28" s="404"/>
      <c r="G28" s="2083" t="s">
        <v>3060</v>
      </c>
      <c r="H28" s="404"/>
      <c r="I28" s="2083" t="s">
        <v>3060</v>
      </c>
      <c r="J28" s="404"/>
      <c r="K28" s="625"/>
      <c r="L28" s="2937"/>
      <c r="M28" s="2938"/>
      <c r="N28" s="2938"/>
      <c r="O28" s="2992"/>
      <c r="P28" s="3339"/>
      <c r="Q28" s="1525"/>
      <c r="R28" s="707"/>
      <c r="S28" s="708"/>
      <c r="T28" s="707"/>
      <c r="U28" s="708"/>
      <c r="V28" s="707"/>
      <c r="W28" s="708"/>
      <c r="X28" s="709"/>
      <c r="Y28" s="3339"/>
      <c r="Z28" s="55"/>
      <c r="AA28" s="1535">
        <v>1</v>
      </c>
      <c r="AB28" s="1535">
        <v>1</v>
      </c>
      <c r="AC28" s="1535">
        <v>1</v>
      </c>
    </row>
    <row r="29" spans="1:29" s="112" customFormat="1" ht="15">
      <c r="A29" s="602"/>
      <c r="B29" s="1290" t="s">
        <v>2468</v>
      </c>
      <c r="C29" s="2082" t="str">
        <f>估价对象房地状况!C22</f>
        <v>六通</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37"/>
      <c r="M29" s="2938"/>
      <c r="N29" s="2938"/>
      <c r="O29" s="2992"/>
      <c r="P29" s="3339"/>
      <c r="Q29" s="1525" t="str">
        <f t="shared" ref="Q29" si="9">B29</f>
        <v>基础设施水平</v>
      </c>
      <c r="R29" s="707" t="s">
        <v>17</v>
      </c>
      <c r="S29" s="708">
        <f>F29</f>
        <v>100</v>
      </c>
      <c r="T29" s="707" t="s">
        <v>17</v>
      </c>
      <c r="U29" s="708">
        <f>H29</f>
        <v>100</v>
      </c>
      <c r="V29" s="707" t="s">
        <v>17</v>
      </c>
      <c r="W29" s="708">
        <f>J29</f>
        <v>100</v>
      </c>
      <c r="X29" s="709"/>
      <c r="Y29" s="3339"/>
      <c r="Z29" s="55" t="str">
        <f>Q29</f>
        <v>基础设施水平</v>
      </c>
      <c r="AA29" s="1535">
        <f>D29/F29</f>
        <v>1</v>
      </c>
      <c r="AB29" s="1535">
        <f>D29/H29</f>
        <v>1</v>
      </c>
      <c r="AC29" s="1535">
        <f>D29/J29</f>
        <v>1</v>
      </c>
    </row>
    <row r="30" spans="1:29" s="112" customFormat="1" ht="15.75" thickBot="1">
      <c r="A30" s="602"/>
      <c r="B30" s="412"/>
      <c r="C30" s="2160" t="s">
        <v>3298</v>
      </c>
      <c r="D30" s="404"/>
      <c r="E30" s="2160" t="s">
        <v>3298</v>
      </c>
      <c r="F30" s="404"/>
      <c r="G30" s="2160" t="s">
        <v>3298</v>
      </c>
      <c r="H30" s="404"/>
      <c r="I30" s="2160" t="s">
        <v>3298</v>
      </c>
      <c r="J30" s="404"/>
      <c r="K30" s="625"/>
      <c r="L30" s="2937"/>
      <c r="M30" s="2938"/>
      <c r="N30" s="2938"/>
      <c r="O30" s="2992"/>
      <c r="P30" s="3339"/>
      <c r="Q30" s="1525"/>
      <c r="R30" s="707"/>
      <c r="S30" s="708"/>
      <c r="T30" s="707"/>
      <c r="U30" s="708"/>
      <c r="V30" s="707"/>
      <c r="W30" s="708"/>
      <c r="X30" s="709"/>
      <c r="Y30" s="3339"/>
      <c r="Z30" s="55"/>
      <c r="AA30" s="1535">
        <v>1</v>
      </c>
      <c r="AB30" s="1535">
        <v>1</v>
      </c>
      <c r="AC30" s="1535">
        <v>1</v>
      </c>
    </row>
    <row r="31" spans="1:29" ht="15" hidden="1">
      <c r="A31" s="384"/>
      <c r="B31" s="412" t="s">
        <v>2469</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2"/>
      <c r="M31" s="2936"/>
      <c r="N31" s="2936"/>
      <c r="O31" s="2994"/>
      <c r="P31" s="3339"/>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39"/>
      <c r="Z31" s="1538" t="str">
        <f t="shared" ref="Z31:Z45" si="13">Q31</f>
        <v>临街状况</v>
      </c>
      <c r="AA31" s="1535">
        <f t="shared" si="3"/>
        <v>1</v>
      </c>
      <c r="AB31" s="1535">
        <f t="shared" si="4"/>
        <v>1</v>
      </c>
      <c r="AC31" s="1535">
        <f t="shared" si="5"/>
        <v>1</v>
      </c>
    </row>
    <row r="32" spans="1:29" ht="27" hidden="1">
      <c r="A32" s="384"/>
      <c r="B32" s="1290" t="s">
        <v>2504</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2"/>
      <c r="M32" s="2936"/>
      <c r="N32" s="2936"/>
      <c r="O32" s="2994"/>
      <c r="P32" s="3339"/>
      <c r="Q32" s="1534" t="str">
        <f t="shared" si="8"/>
        <v>毗邻道路的类型与等级</v>
      </c>
      <c r="R32" s="711" t="s">
        <v>17</v>
      </c>
      <c r="S32" s="712">
        <f t="shared" si="10"/>
        <v>100</v>
      </c>
      <c r="T32" s="711" t="s">
        <v>17</v>
      </c>
      <c r="U32" s="712">
        <f t="shared" si="11"/>
        <v>100</v>
      </c>
      <c r="V32" s="711" t="s">
        <v>17</v>
      </c>
      <c r="W32" s="712">
        <f t="shared" si="12"/>
        <v>100</v>
      </c>
      <c r="X32" s="1537"/>
      <c r="Y32" s="3339"/>
      <c r="Z32" s="1538" t="str">
        <f t="shared" si="13"/>
        <v>毗邻道路的类型与等级</v>
      </c>
      <c r="AA32" s="1535">
        <f t="shared" si="3"/>
        <v>1</v>
      </c>
      <c r="AB32" s="1535">
        <f t="shared" si="4"/>
        <v>1</v>
      </c>
      <c r="AC32" s="1535">
        <f t="shared" si="5"/>
        <v>1</v>
      </c>
    </row>
    <row r="33" spans="1:29" ht="15" hidden="1">
      <c r="A33" s="384"/>
      <c r="B33" s="412"/>
      <c r="C33" s="403"/>
      <c r="D33" s="404"/>
      <c r="E33" s="2086"/>
      <c r="F33" s="404"/>
      <c r="G33" s="2086"/>
      <c r="H33" s="404"/>
      <c r="I33" s="403"/>
      <c r="J33" s="404"/>
      <c r="K33" s="567"/>
      <c r="L33" s="2942"/>
      <c r="M33" s="2936"/>
      <c r="N33" s="2936"/>
      <c r="O33" s="2994"/>
      <c r="P33" s="3339"/>
      <c r="Q33" s="1534"/>
      <c r="R33" s="711"/>
      <c r="S33" s="712"/>
      <c r="T33" s="711"/>
      <c r="U33" s="712"/>
      <c r="V33" s="711"/>
      <c r="W33" s="712"/>
      <c r="X33" s="1537"/>
      <c r="Y33" s="3339"/>
      <c r="Z33" s="1538"/>
      <c r="AA33" s="1535">
        <v>1</v>
      </c>
      <c r="AB33" s="1535">
        <v>1</v>
      </c>
      <c r="AC33" s="1535">
        <v>1</v>
      </c>
    </row>
    <row r="34" spans="1:29" ht="15" hidden="1">
      <c r="A34" s="384"/>
      <c r="B34" s="378" t="s">
        <v>2563</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2"/>
      <c r="M34" s="2936"/>
      <c r="N34" s="2936"/>
      <c r="O34" s="2994"/>
      <c r="P34" s="3339"/>
      <c r="Q34" s="1534" t="str">
        <f t="shared" si="8"/>
        <v>土地级别</v>
      </c>
      <c r="R34" s="711" t="s">
        <v>17</v>
      </c>
      <c r="S34" s="712">
        <f t="shared" si="10"/>
        <v>100</v>
      </c>
      <c r="T34" s="711" t="s">
        <v>17</v>
      </c>
      <c r="U34" s="712">
        <f t="shared" si="11"/>
        <v>100</v>
      </c>
      <c r="V34" s="711" t="s">
        <v>17</v>
      </c>
      <c r="W34" s="712">
        <f t="shared" si="12"/>
        <v>100</v>
      </c>
      <c r="X34" s="1537"/>
      <c r="Y34" s="3339"/>
      <c r="Z34" s="1538" t="str">
        <f t="shared" si="13"/>
        <v>土地级别</v>
      </c>
      <c r="AA34" s="1535">
        <f t="shared" si="3"/>
        <v>1</v>
      </c>
      <c r="AB34" s="1535">
        <f t="shared" si="4"/>
        <v>1</v>
      </c>
      <c r="AC34" s="1535">
        <f t="shared" si="5"/>
        <v>1</v>
      </c>
    </row>
    <row r="35" spans="1:29" ht="15" hidden="1">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2"/>
      <c r="M35" s="2936"/>
      <c r="N35" s="2936"/>
      <c r="O35" s="2994"/>
      <c r="P35" s="3339"/>
      <c r="Q35" s="1534">
        <f t="shared" si="8"/>
        <v>111</v>
      </c>
      <c r="R35" s="711" t="s">
        <v>17</v>
      </c>
      <c r="S35" s="712">
        <f t="shared" si="10"/>
        <v>100</v>
      </c>
      <c r="T35" s="711" t="s">
        <v>17</v>
      </c>
      <c r="U35" s="712">
        <f t="shared" si="11"/>
        <v>100</v>
      </c>
      <c r="V35" s="711" t="s">
        <v>17</v>
      </c>
      <c r="W35" s="712">
        <f t="shared" si="12"/>
        <v>100</v>
      </c>
      <c r="X35" s="1537"/>
      <c r="Y35" s="3339"/>
      <c r="Z35" s="1538">
        <f t="shared" si="13"/>
        <v>111</v>
      </c>
      <c r="AA35" s="1535">
        <f t="shared" si="3"/>
        <v>1</v>
      </c>
      <c r="AB35" s="1535">
        <f t="shared" si="4"/>
        <v>1</v>
      </c>
      <c r="AC35" s="1535">
        <f t="shared" si="5"/>
        <v>1</v>
      </c>
    </row>
    <row r="36" spans="1:29" ht="15" hidden="1">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2"/>
      <c r="M36" s="2936"/>
      <c r="N36" s="2936"/>
      <c r="O36" s="2994"/>
      <c r="P36" s="3362" t="s">
        <v>2378</v>
      </c>
      <c r="Q36" s="1534">
        <f t="shared" si="8"/>
        <v>111</v>
      </c>
      <c r="R36" s="711" t="s">
        <v>17</v>
      </c>
      <c r="S36" s="712">
        <f t="shared" si="10"/>
        <v>100</v>
      </c>
      <c r="T36" s="711" t="s">
        <v>17</v>
      </c>
      <c r="U36" s="712">
        <f t="shared" si="11"/>
        <v>100</v>
      </c>
      <c r="V36" s="711" t="s">
        <v>17</v>
      </c>
      <c r="W36" s="712">
        <f t="shared" si="12"/>
        <v>100</v>
      </c>
      <c r="X36" s="1537"/>
      <c r="Y36" s="3343" t="s">
        <v>2378</v>
      </c>
      <c r="Z36" s="1538">
        <f t="shared" si="13"/>
        <v>111</v>
      </c>
      <c r="AA36" s="1535">
        <f t="shared" si="3"/>
        <v>1</v>
      </c>
      <c r="AB36" s="1535">
        <f t="shared" si="4"/>
        <v>1</v>
      </c>
      <c r="AC36" s="1535">
        <f t="shared" si="5"/>
        <v>1</v>
      </c>
    </row>
    <row r="37" spans="1:29" s="427" customFormat="1" ht="15.75" hidden="1"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1"/>
      <c r="M37" s="2943"/>
      <c r="N37" s="2943"/>
      <c r="O37" s="2995"/>
      <c r="P37" s="3343"/>
      <c r="Q37" s="1534">
        <f t="shared" si="8"/>
        <v>111</v>
      </c>
      <c r="R37" s="714" t="s">
        <v>17</v>
      </c>
      <c r="S37" s="715">
        <f t="shared" si="10"/>
        <v>100</v>
      </c>
      <c r="T37" s="714" t="s">
        <v>17</v>
      </c>
      <c r="U37" s="715">
        <f t="shared" si="11"/>
        <v>100</v>
      </c>
      <c r="V37" s="714" t="s">
        <v>17</v>
      </c>
      <c r="W37" s="715">
        <f t="shared" si="12"/>
        <v>100</v>
      </c>
      <c r="X37" s="716"/>
      <c r="Y37" s="3343"/>
      <c r="Z37" s="717">
        <f t="shared" si="13"/>
        <v>111</v>
      </c>
      <c r="AA37" s="1535">
        <f t="shared" si="3"/>
        <v>1</v>
      </c>
      <c r="AB37" s="1535">
        <f t="shared" si="4"/>
        <v>1</v>
      </c>
      <c r="AC37" s="1535">
        <f t="shared" si="5"/>
        <v>1</v>
      </c>
    </row>
    <row r="38" spans="1:29" ht="15">
      <c r="A38" s="428" t="s">
        <v>2376</v>
      </c>
      <c r="B38" s="412" t="s">
        <v>2564</v>
      </c>
      <c r="C38" s="632">
        <f>'数据-汇总表'!D3</f>
        <v>47924.04</v>
      </c>
      <c r="D38" s="423">
        <v>100</v>
      </c>
      <c r="E38" s="632">
        <f>土地案例!D3</f>
        <v>3624.7</v>
      </c>
      <c r="F38" s="423">
        <f>LOOKUP(E38,117:117,118:118)-LOOKUP(C38,117:117,118:118)+100</f>
        <v>96</v>
      </c>
      <c r="G38" s="632">
        <f>土地案例!D10</f>
        <v>10597.97</v>
      </c>
      <c r="H38" s="423">
        <f>LOOKUP(G38,117:117,118:118)-LOOKUP(C38,117:117,118:118)+100</f>
        <v>98</v>
      </c>
      <c r="I38" s="484">
        <f>土地案例!D12</f>
        <v>3064.4</v>
      </c>
      <c r="J38" s="423">
        <f>LOOKUP(I38,117:117,118:118)-LOOKUP(C38,117:117,118:118)+100</f>
        <v>96</v>
      </c>
      <c r="K38" s="567"/>
      <c r="L38" s="2942"/>
      <c r="M38" s="2936"/>
      <c r="N38" s="2936"/>
      <c r="O38" s="2994"/>
      <c r="P38" s="3343"/>
      <c r="Q38" s="1534" t="str">
        <f>B38</f>
        <v>宗地面积</v>
      </c>
      <c r="R38" s="711" t="s">
        <v>17</v>
      </c>
      <c r="S38" s="712">
        <f t="shared" si="10"/>
        <v>96</v>
      </c>
      <c r="T38" s="711" t="s">
        <v>17</v>
      </c>
      <c r="U38" s="712">
        <f t="shared" si="11"/>
        <v>98</v>
      </c>
      <c r="V38" s="711" t="s">
        <v>17</v>
      </c>
      <c r="W38" s="712">
        <f t="shared" si="12"/>
        <v>96</v>
      </c>
      <c r="X38" s="1537"/>
      <c r="Y38" s="3343"/>
      <c r="Z38" s="1538" t="str">
        <f t="shared" si="13"/>
        <v>宗地面积</v>
      </c>
      <c r="AA38" s="1535">
        <f t="shared" si="3"/>
        <v>1.0416666666666667</v>
      </c>
      <c r="AB38" s="1535">
        <f t="shared" si="4"/>
        <v>1.0204081632653061</v>
      </c>
      <c r="AC38" s="1535">
        <f t="shared" si="5"/>
        <v>1.0416666666666667</v>
      </c>
    </row>
    <row r="39" spans="1:29" ht="15">
      <c r="A39" s="428"/>
      <c r="B39" s="378" t="s">
        <v>2565</v>
      </c>
      <c r="C39" s="2088" t="s">
        <v>3310</v>
      </c>
      <c r="D39" s="391">
        <v>100</v>
      </c>
      <c r="E39" s="2088" t="s">
        <v>3310</v>
      </c>
      <c r="F39" s="391">
        <f>SUMIF(119:119,E39,120:120)-SUMIF(119:119,C39,120:120)+100</f>
        <v>100</v>
      </c>
      <c r="G39" s="2088" t="s">
        <v>3310</v>
      </c>
      <c r="H39" s="391">
        <f>SUMIF(119:119,G39,120:120)-SUMIF(119:119,C39,120:120)+100</f>
        <v>100</v>
      </c>
      <c r="I39" s="2088" t="s">
        <v>3310</v>
      </c>
      <c r="J39" s="391">
        <f>SUMIF(119:119,I39,120:120)-SUMIF(119:119,C39,120:120)+100</f>
        <v>100</v>
      </c>
      <c r="K39" s="566">
        <v>1</v>
      </c>
      <c r="L39" s="2942"/>
      <c r="M39" s="2936"/>
      <c r="N39" s="2936"/>
      <c r="O39" s="2994"/>
      <c r="P39" s="3343"/>
      <c r="Q39" s="1534" t="str">
        <f t="shared" ref="Q39:Q45" si="14">B39</f>
        <v>宗地形状</v>
      </c>
      <c r="R39" s="711" t="s">
        <v>17</v>
      </c>
      <c r="S39" s="712">
        <f t="shared" si="10"/>
        <v>100</v>
      </c>
      <c r="T39" s="711" t="s">
        <v>17</v>
      </c>
      <c r="U39" s="712">
        <f t="shared" si="11"/>
        <v>100</v>
      </c>
      <c r="V39" s="711" t="s">
        <v>17</v>
      </c>
      <c r="W39" s="712">
        <f t="shared" si="12"/>
        <v>100</v>
      </c>
      <c r="X39" s="1537"/>
      <c r="Y39" s="3343"/>
      <c r="Z39" s="1538" t="str">
        <f t="shared" si="13"/>
        <v>宗地形状</v>
      </c>
      <c r="AA39" s="1535">
        <f t="shared" si="3"/>
        <v>1</v>
      </c>
      <c r="AB39" s="1535">
        <f t="shared" si="4"/>
        <v>1</v>
      </c>
      <c r="AC39" s="1535">
        <f t="shared" si="5"/>
        <v>1</v>
      </c>
    </row>
    <row r="40" spans="1:29" ht="15">
      <c r="A40" s="428"/>
      <c r="B40" s="378" t="s">
        <v>2566</v>
      </c>
      <c r="C40" s="2088" t="s">
        <v>3314</v>
      </c>
      <c r="D40" s="391">
        <v>100</v>
      </c>
      <c r="E40" s="2088" t="s">
        <v>3314</v>
      </c>
      <c r="F40" s="391">
        <f>SUMIF(121:121,E40,122:122)-SUMIF(121:121,C40,122:122)+100</f>
        <v>100</v>
      </c>
      <c r="G40" s="2088" t="s">
        <v>3314</v>
      </c>
      <c r="H40" s="391">
        <f>SUMIF(121:121,G40,122:122)-SUMIF(121:121,C40,122:122)+100</f>
        <v>100</v>
      </c>
      <c r="I40" s="2088" t="s">
        <v>3314</v>
      </c>
      <c r="J40" s="391">
        <f>SUMIF(121:121,I40,122:122)-SUMIF(121:121,C40,122:122)+100</f>
        <v>100</v>
      </c>
      <c r="K40" s="566">
        <v>1</v>
      </c>
      <c r="L40" s="2942"/>
      <c r="M40" s="2936"/>
      <c r="N40" s="2936"/>
      <c r="O40" s="2994"/>
      <c r="P40" s="3343"/>
      <c r="Q40" s="1534" t="str">
        <f t="shared" si="14"/>
        <v>临街宽度及深度</v>
      </c>
      <c r="R40" s="711" t="s">
        <v>17</v>
      </c>
      <c r="S40" s="712">
        <f t="shared" si="10"/>
        <v>100</v>
      </c>
      <c r="T40" s="711" t="s">
        <v>17</v>
      </c>
      <c r="U40" s="712">
        <f t="shared" si="11"/>
        <v>100</v>
      </c>
      <c r="V40" s="711" t="s">
        <v>17</v>
      </c>
      <c r="W40" s="712">
        <f t="shared" si="12"/>
        <v>100</v>
      </c>
      <c r="X40" s="1537"/>
      <c r="Y40" s="3343"/>
      <c r="Z40" s="1538" t="str">
        <f t="shared" si="13"/>
        <v>临街宽度及深度</v>
      </c>
      <c r="AA40" s="1535">
        <f t="shared" si="3"/>
        <v>1</v>
      </c>
      <c r="AB40" s="1535">
        <f t="shared" si="4"/>
        <v>1</v>
      </c>
      <c r="AC40" s="1535">
        <f t="shared" si="5"/>
        <v>1</v>
      </c>
    </row>
    <row r="41" spans="1:29" s="112" customFormat="1" ht="15">
      <c r="A41" s="429"/>
      <c r="B41" s="378" t="s">
        <v>2567</v>
      </c>
      <c r="C41" s="2162" t="s">
        <v>3298</v>
      </c>
      <c r="D41" s="129">
        <v>100</v>
      </c>
      <c r="E41" s="2162" t="s">
        <v>3316</v>
      </c>
      <c r="F41" s="391">
        <f>SUMIF(123:123,E41,124:124)-SUMIF(123:123,C41,124:124)+100</f>
        <v>97</v>
      </c>
      <c r="G41" s="2162" t="s">
        <v>3316</v>
      </c>
      <c r="H41" s="391">
        <f>SUMIF(123:123,G41,124:124)-SUMIF(123:123,C41,124:124)+100</f>
        <v>97</v>
      </c>
      <c r="I41" s="2162" t="s">
        <v>3316</v>
      </c>
      <c r="J41" s="391">
        <f>SUMIF(123:123,I41,124:124)-SUMIF(123:123,C41,124:124)+100</f>
        <v>97</v>
      </c>
      <c r="K41" s="566">
        <v>1</v>
      </c>
      <c r="L41" s="2937"/>
      <c r="M41" s="2938"/>
      <c r="N41" s="2938"/>
      <c r="O41" s="2992"/>
      <c r="P41" s="3343"/>
      <c r="Q41" s="1534" t="str">
        <f t="shared" si="14"/>
        <v>宗地开发程度</v>
      </c>
      <c r="R41" s="707" t="s">
        <v>17</v>
      </c>
      <c r="S41" s="708">
        <f t="shared" si="10"/>
        <v>97</v>
      </c>
      <c r="T41" s="707" t="s">
        <v>17</v>
      </c>
      <c r="U41" s="708">
        <f t="shared" si="11"/>
        <v>97</v>
      </c>
      <c r="V41" s="707" t="s">
        <v>17</v>
      </c>
      <c r="W41" s="708">
        <f t="shared" si="12"/>
        <v>97</v>
      </c>
      <c r="X41" s="709"/>
      <c r="Y41" s="3343"/>
      <c r="Z41" s="55" t="str">
        <f t="shared" si="13"/>
        <v>宗地开发程度</v>
      </c>
      <c r="AA41" s="710">
        <f t="shared" si="3"/>
        <v>1.0309278350515463</v>
      </c>
      <c r="AB41" s="710">
        <f t="shared" si="4"/>
        <v>1.0309278350515463</v>
      </c>
      <c r="AC41" s="710">
        <f t="shared" si="5"/>
        <v>1.0309278350515463</v>
      </c>
    </row>
    <row r="42" spans="1:29" ht="15.75" thickBot="1">
      <c r="A42" s="428"/>
      <c r="B42" s="378" t="s">
        <v>2568</v>
      </c>
      <c r="C42" s="2088" t="s">
        <v>3060</v>
      </c>
      <c r="D42" s="391">
        <v>100</v>
      </c>
      <c r="E42" s="2088" t="s">
        <v>3060</v>
      </c>
      <c r="F42" s="391">
        <f>SUMIF(125:125,E42,126:126)-SUMIF(125:125,C42,126:126)+100</f>
        <v>100</v>
      </c>
      <c r="G42" s="2088" t="s">
        <v>3060</v>
      </c>
      <c r="H42" s="391">
        <f>SUMIF(125:125,G42,126:126)-SUMIF(125:125,C42,126:126)+100</f>
        <v>100</v>
      </c>
      <c r="I42" s="2088" t="s">
        <v>3060</v>
      </c>
      <c r="J42" s="391">
        <f>SUMIF(125:125,I42,126:126)-SUMIF(125:125,C42,126:126)+100</f>
        <v>100</v>
      </c>
      <c r="K42" s="566">
        <v>1</v>
      </c>
      <c r="L42" s="2942"/>
      <c r="M42" s="2936"/>
      <c r="N42" s="2936"/>
      <c r="O42" s="2994"/>
      <c r="P42" s="3343" t="s">
        <v>2378</v>
      </c>
      <c r="Q42" s="1534" t="str">
        <f t="shared" si="14"/>
        <v>工程地质条件</v>
      </c>
      <c r="R42" s="711" t="s">
        <v>17</v>
      </c>
      <c r="S42" s="712">
        <f t="shared" si="10"/>
        <v>100</v>
      </c>
      <c r="T42" s="711" t="s">
        <v>17</v>
      </c>
      <c r="U42" s="712">
        <f t="shared" si="11"/>
        <v>100</v>
      </c>
      <c r="V42" s="711" t="s">
        <v>17</v>
      </c>
      <c r="W42" s="712">
        <f t="shared" si="12"/>
        <v>100</v>
      </c>
      <c r="X42" s="1537"/>
      <c r="Y42" s="3343" t="s">
        <v>2378</v>
      </c>
      <c r="Z42" s="1538" t="str">
        <f t="shared" si="13"/>
        <v>工程地质条件</v>
      </c>
      <c r="AA42" s="1535">
        <f t="shared" si="3"/>
        <v>1</v>
      </c>
      <c r="AB42" s="1535">
        <f t="shared" si="4"/>
        <v>1</v>
      </c>
      <c r="AC42" s="1535">
        <f t="shared" si="5"/>
        <v>1</v>
      </c>
    </row>
    <row r="43" spans="1:29" ht="15" hidden="1">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2"/>
      <c r="M43" s="2936"/>
      <c r="N43" s="2936"/>
      <c r="O43" s="2994"/>
      <c r="P43" s="3343"/>
      <c r="Q43" s="1534">
        <f t="shared" si="14"/>
        <v>111</v>
      </c>
      <c r="R43" s="711" t="s">
        <v>17</v>
      </c>
      <c r="S43" s="712">
        <f t="shared" si="10"/>
        <v>100</v>
      </c>
      <c r="T43" s="711" t="s">
        <v>17</v>
      </c>
      <c r="U43" s="712">
        <f t="shared" si="11"/>
        <v>100</v>
      </c>
      <c r="V43" s="711" t="s">
        <v>17</v>
      </c>
      <c r="W43" s="712">
        <f t="shared" si="12"/>
        <v>100</v>
      </c>
      <c r="X43" s="1537"/>
      <c r="Y43" s="3343"/>
      <c r="Z43" s="1538">
        <f t="shared" si="13"/>
        <v>111</v>
      </c>
      <c r="AA43" s="1535">
        <f t="shared" si="3"/>
        <v>1</v>
      </c>
      <c r="AB43" s="1535">
        <f t="shared" si="4"/>
        <v>1</v>
      </c>
      <c r="AC43" s="1535">
        <f t="shared" si="5"/>
        <v>1</v>
      </c>
    </row>
    <row r="44" spans="1:29" ht="15" hidden="1">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2"/>
      <c r="M44" s="2936"/>
      <c r="N44" s="2936"/>
      <c r="O44" s="2994"/>
      <c r="P44" s="3343"/>
      <c r="Q44" s="1534">
        <f t="shared" si="14"/>
        <v>111</v>
      </c>
      <c r="R44" s="711" t="s">
        <v>17</v>
      </c>
      <c r="S44" s="712">
        <f t="shared" si="10"/>
        <v>100</v>
      </c>
      <c r="T44" s="711" t="s">
        <v>17</v>
      </c>
      <c r="U44" s="712">
        <f t="shared" si="11"/>
        <v>100</v>
      </c>
      <c r="V44" s="711" t="s">
        <v>17</v>
      </c>
      <c r="W44" s="712">
        <f t="shared" si="12"/>
        <v>100</v>
      </c>
      <c r="X44" s="1537"/>
      <c r="Y44" s="3343"/>
      <c r="Z44" s="1538">
        <f t="shared" si="13"/>
        <v>111</v>
      </c>
      <c r="AA44" s="1535">
        <f t="shared" si="3"/>
        <v>1</v>
      </c>
      <c r="AB44" s="1535">
        <f t="shared" si="4"/>
        <v>1</v>
      </c>
      <c r="AC44" s="1535">
        <f t="shared" si="5"/>
        <v>1</v>
      </c>
    </row>
    <row r="45" spans="1:29" s="427" customFormat="1" ht="15.75" hidden="1" thickBot="1">
      <c r="A45" s="424"/>
      <c r="B45" s="1293">
        <v>111</v>
      </c>
      <c r="C45" s="2163"/>
      <c r="D45" s="633">
        <v>100</v>
      </c>
      <c r="E45" s="627"/>
      <c r="F45" s="394">
        <f>SUMIF(131:131,E45,132:132)-SUMIF(131:131,C45,132:132)+100</f>
        <v>100</v>
      </c>
      <c r="G45" s="627"/>
      <c r="H45" s="394">
        <f>SUMIF(131:131,G45,132:132)-SUMIF(131:131,C45,132:132)+100</f>
        <v>100</v>
      </c>
      <c r="I45" s="627"/>
      <c r="J45" s="394">
        <f>SUMIF(131:131,I45,132:132)-SUMIF(131:131,C45,132:132)+100</f>
        <v>100</v>
      </c>
      <c r="K45" s="634"/>
      <c r="L45" s="2941"/>
      <c r="M45" s="2943"/>
      <c r="N45" s="2943"/>
      <c r="O45" s="2995"/>
      <c r="P45" s="3343"/>
      <c r="Q45" s="1534">
        <f t="shared" si="14"/>
        <v>111</v>
      </c>
      <c r="R45" s="714" t="s">
        <v>17</v>
      </c>
      <c r="S45" s="715">
        <f t="shared" si="10"/>
        <v>100</v>
      </c>
      <c r="T45" s="714" t="s">
        <v>17</v>
      </c>
      <c r="U45" s="715">
        <f t="shared" si="11"/>
        <v>100</v>
      </c>
      <c r="V45" s="714" t="s">
        <v>17</v>
      </c>
      <c r="W45" s="715">
        <f t="shared" si="12"/>
        <v>100</v>
      </c>
      <c r="X45" s="716"/>
      <c r="Y45" s="3343"/>
      <c r="Z45" s="717">
        <f t="shared" si="13"/>
        <v>111</v>
      </c>
      <c r="AA45" s="1535">
        <f t="shared" si="3"/>
        <v>1</v>
      </c>
      <c r="AB45" s="1535">
        <f t="shared" si="4"/>
        <v>1</v>
      </c>
      <c r="AC45" s="1535">
        <f t="shared" si="5"/>
        <v>1</v>
      </c>
    </row>
    <row r="46" spans="1:29" ht="15">
      <c r="A46" s="435" t="s">
        <v>2533</v>
      </c>
      <c r="B46" s="2164" t="s">
        <v>2569</v>
      </c>
      <c r="C46" s="635" t="s">
        <v>1</v>
      </c>
      <c r="D46" s="437"/>
      <c r="E46" s="438">
        <f>ROUND(土地案例!N3,0)</f>
        <v>1366</v>
      </c>
      <c r="F46" s="439"/>
      <c r="G46" s="440">
        <f>ROUND(土地案例!N10,0)</f>
        <v>1365</v>
      </c>
      <c r="H46" s="441"/>
      <c r="I46" s="438">
        <f>ROUND(土地案例!N12,0)</f>
        <v>1681</v>
      </c>
      <c r="J46" s="441"/>
      <c r="K46" s="720"/>
      <c r="L46" s="2944"/>
      <c r="M46" s="2945"/>
      <c r="N46" s="2936"/>
      <c r="O46" s="2945"/>
      <c r="P46" s="3336" t="str">
        <f>A46</f>
        <v>成交单价</v>
      </c>
      <c r="Q46" s="3336"/>
      <c r="R46" s="3331">
        <f>E46</f>
        <v>1366</v>
      </c>
      <c r="S46" s="3331"/>
      <c r="T46" s="3331">
        <f>G46</f>
        <v>1365</v>
      </c>
      <c r="U46" s="3331"/>
      <c r="V46" s="3331">
        <f>I46</f>
        <v>1681</v>
      </c>
      <c r="W46" s="3331"/>
      <c r="X46" s="696"/>
      <c r="Y46" s="718"/>
      <c r="Z46" s="696"/>
      <c r="AA46" s="696"/>
      <c r="AB46" s="696"/>
      <c r="AC46" s="696"/>
    </row>
    <row r="47" spans="1:29" ht="15.75" thickBot="1">
      <c r="A47" s="442" t="s">
        <v>2482</v>
      </c>
      <c r="B47" s="636"/>
      <c r="C47" s="445">
        <f>R48</f>
        <v>1511</v>
      </c>
      <c r="D47" s="2534" t="s">
        <v>2871</v>
      </c>
      <c r="E47" s="445">
        <f>R47</f>
        <v>1398</v>
      </c>
      <c r="F47" s="2535"/>
      <c r="G47" s="444">
        <f>T47</f>
        <v>1389</v>
      </c>
      <c r="H47" s="2535"/>
      <c r="I47" s="445">
        <f>V47</f>
        <v>1746</v>
      </c>
      <c r="J47" s="2535"/>
      <c r="K47" s="2537">
        <f>F47+H47+J47</f>
        <v>0</v>
      </c>
      <c r="L47" s="2944"/>
      <c r="M47" s="2945"/>
      <c r="N47" s="2945"/>
      <c r="O47" s="2945"/>
      <c r="P47" s="3336" t="str">
        <f>A47</f>
        <v>比较价值（元/平方米）</v>
      </c>
      <c r="Q47" s="3336"/>
      <c r="R47" s="3364">
        <f>ROUND(PRODUCT(R46,AA7:AA45),0)</f>
        <v>1398</v>
      </c>
      <c r="S47" s="3364"/>
      <c r="T47" s="3364">
        <f>ROUND(PRODUCT(T46,AB7:AB45),0)</f>
        <v>1389</v>
      </c>
      <c r="U47" s="3364"/>
      <c r="V47" s="3364">
        <f>ROUND(PRODUCT(V46,AC7:AC45),0)</f>
        <v>1746</v>
      </c>
      <c r="W47" s="3364"/>
      <c r="X47" s="696"/>
      <c r="Y47" s="696"/>
      <c r="Z47" s="696"/>
      <c r="AA47" s="696"/>
      <c r="AB47" s="696"/>
      <c r="AC47" s="696"/>
    </row>
    <row r="48" spans="1:29" ht="15.75" thickBot="1">
      <c r="A48" s="446" t="s">
        <v>2570</v>
      </c>
      <c r="B48" s="447"/>
      <c r="C48" s="448">
        <f>R48</f>
        <v>1511</v>
      </c>
      <c r="D48" s="448"/>
      <c r="E48" s="448"/>
      <c r="F48" s="448"/>
      <c r="G48" s="448"/>
      <c r="H48" s="448"/>
      <c r="I48" s="448"/>
      <c r="J48" s="448"/>
      <c r="K48" s="721"/>
      <c r="L48" s="2944"/>
      <c r="M48" s="2945"/>
      <c r="N48" s="2945"/>
      <c r="O48" s="2945"/>
      <c r="P48" s="3333" t="str">
        <f>A48</f>
        <v>估价对象XX用房的比较价值（楼面单价，元/平方米）</v>
      </c>
      <c r="Q48" s="3334"/>
      <c r="R48" s="3365">
        <f>ROUND(IF(D47="简单平均",AVERAGE(R47:W47),R47*F47+T47*H47+V47*J47),0)</f>
        <v>1511</v>
      </c>
      <c r="S48" s="3365"/>
      <c r="T48" s="3365"/>
      <c r="U48" s="3365"/>
      <c r="V48" s="3365"/>
      <c r="W48" s="3365"/>
      <c r="X48" s="696"/>
      <c r="Y48" s="696"/>
      <c r="Z48" s="696"/>
      <c r="AA48" s="696"/>
      <c r="AB48" s="696"/>
      <c r="AC48" s="696"/>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1" t="s">
        <v>2484</v>
      </c>
      <c r="D51" s="452"/>
      <c r="E51" s="453">
        <f>IF(E46&lt;E47,E47/E46-1,E46/E47-1)</f>
        <v>2.3426061493411421E-2</v>
      </c>
      <c r="F51" s="454" t="str">
        <f>IF(OR(E51&gt;=0.3,E51&lt;=-0.3),"超过30%","")</f>
        <v/>
      </c>
      <c r="G51" s="453">
        <f>IF(G46&lt;G47,G47/G46-1,G46/G47-1)</f>
        <v>1.758241758241752E-2</v>
      </c>
      <c r="H51" s="454" t="str">
        <f>IF(OR(G51&gt;=0.3,G51&lt;=-0.3),"超过30%","")</f>
        <v/>
      </c>
      <c r="I51" s="453">
        <f>IF(I46&lt;I47,I47/I46-1,I46/I47-1)</f>
        <v>3.8667459845330265E-2</v>
      </c>
      <c r="J51" s="454"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1" t="s">
        <v>2485</v>
      </c>
      <c r="D52" s="455"/>
      <c r="E52" s="453">
        <f>IF(E47&lt;G47,G47/E47-1,E47/G47-1)</f>
        <v>6.4794816414686096E-3</v>
      </c>
      <c r="F52" s="454" t="str">
        <f>IF(OR(E52&gt;=0.2,E52&lt;=-0.2),"超过20%","")</f>
        <v/>
      </c>
      <c r="G52" s="453">
        <f>IF(G47&lt;I47,I47/G47-1,G47/I47-1)</f>
        <v>0.25701943844492448</v>
      </c>
      <c r="H52" s="454" t="str">
        <f>IF(OR(G52&gt;=0.2,G52&lt;=-0.2),"超过20%","")</f>
        <v>超过20%</v>
      </c>
      <c r="I52" s="453">
        <f>IF(I47&lt;E47,E47/I47-1,I47/E47-1)</f>
        <v>0.24892703862660936</v>
      </c>
      <c r="J52" s="454" t="str">
        <f>IF(OR(I52&gt;=0.2,I52&lt;=-0.2),"超过20%","")</f>
        <v>超过20%</v>
      </c>
      <c r="K52" s="2950"/>
      <c r="L52" s="2946"/>
      <c r="M52" s="2945"/>
      <c r="N52" s="2945"/>
      <c r="O52" s="2945"/>
      <c r="P52" s="2945"/>
      <c r="Q52" s="2945"/>
      <c r="R52" s="2945"/>
      <c r="S52" s="2945"/>
      <c r="T52" s="2945"/>
      <c r="U52" s="2945"/>
      <c r="V52" s="2945"/>
      <c r="W52" s="2945"/>
      <c r="X52" s="2945"/>
      <c r="Y52" s="2945"/>
      <c r="Z52" s="2945"/>
      <c r="AA52" s="2945"/>
      <c r="AB52" s="2945"/>
      <c r="AC52" s="2945"/>
    </row>
    <row r="53" spans="1:29" s="456" customFormat="1" ht="13.5" customHeight="1">
      <c r="A53" s="2948"/>
      <c r="B53" s="2948"/>
      <c r="C53" s="451" t="s">
        <v>2486</v>
      </c>
      <c r="D53" s="455"/>
      <c r="E53" s="453">
        <f>IF(E46&lt;G46,G46/E46-1,E46/G46-1)</f>
        <v>7.3260073260073E-4</v>
      </c>
      <c r="F53" s="454" t="str">
        <f>IF(OR(E53&gt;=0.3,E53&lt;=-0.3),"超过30%","")</f>
        <v/>
      </c>
      <c r="G53" s="453">
        <f>IF(G46&lt;I46,I46/G46-1,G46/I46-1)</f>
        <v>0.23150183150183157</v>
      </c>
      <c r="H53" s="454" t="str">
        <f>IF(OR(G53&gt;=0.3,G53&lt;=-0.3),"超过30%","")</f>
        <v/>
      </c>
      <c r="I53" s="453">
        <f>IF(I46&lt;E46,E46/I46-1,I46/E46-1)</f>
        <v>0.23060029282576866</v>
      </c>
      <c r="J53" s="454"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6" customFormat="1" ht="15" thickBot="1">
      <c r="A54" s="2948"/>
      <c r="B54" s="2951"/>
      <c r="C54" s="699"/>
      <c r="D54" s="697"/>
      <c r="E54" s="697"/>
      <c r="F54" s="697"/>
      <c r="G54" s="697"/>
      <c r="H54" s="697"/>
      <c r="I54" s="697"/>
      <c r="J54" s="697"/>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37" t="s">
        <v>2571</v>
      </c>
      <c r="B55" s="638" t="s">
        <v>2572</v>
      </c>
      <c r="C55" s="2165" t="s">
        <v>2573</v>
      </c>
      <c r="D55" s="2166" t="s">
        <v>2574</v>
      </c>
      <c r="E55" s="639" t="s">
        <v>2575</v>
      </c>
      <c r="F55" s="1018" t="s">
        <v>2576</v>
      </c>
      <c r="G55" s="3319" t="s">
        <v>2577</v>
      </c>
      <c r="H55" s="3366"/>
      <c r="I55" s="137" t="s">
        <v>2578</v>
      </c>
      <c r="J55" s="2167" t="str">
        <f>项目基本情况!F35</f>
        <v>四川省雅安市</v>
      </c>
      <c r="K55" s="2168" t="s">
        <v>2579</v>
      </c>
      <c r="L55" s="2946"/>
      <c r="M55" s="2945"/>
      <c r="N55" s="2945"/>
      <c r="O55" s="2945"/>
      <c r="P55" s="2945"/>
      <c r="Q55" s="2945"/>
      <c r="R55" s="2945"/>
      <c r="S55" s="2945"/>
      <c r="T55" s="2945"/>
      <c r="U55" s="2945"/>
      <c r="V55" s="2945"/>
      <c r="W55" s="2945"/>
      <c r="X55" s="2945"/>
      <c r="Y55" s="2945"/>
      <c r="Z55" s="2945"/>
      <c r="AA55" s="2945"/>
      <c r="AB55" s="2945"/>
      <c r="AC55" s="2945"/>
    </row>
    <row r="56" spans="1:29" s="645" customFormat="1">
      <c r="A56" s="641" t="s">
        <v>2580</v>
      </c>
      <c r="B56" s="642">
        <f>C48</f>
        <v>1511</v>
      </c>
      <c r="C56" s="643">
        <v>1</v>
      </c>
      <c r="D56" s="1072">
        <v>1</v>
      </c>
      <c r="E56" s="643">
        <f>'数据-汇总表'!E8+'数据-汇总表'!E9</f>
        <v>96962.430000000008</v>
      </c>
      <c r="F56" s="1014">
        <f t="shared" ref="F56:F65" si="15">ROUND(B56*E56/10000,0)</f>
        <v>14651</v>
      </c>
      <c r="G56" s="3318"/>
      <c r="H56" s="3336"/>
      <c r="I56" s="1019">
        <v>1</v>
      </c>
      <c r="J56" s="1022">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5" customFormat="1">
      <c r="A57" s="646" t="s">
        <v>2581</v>
      </c>
      <c r="B57" s="221">
        <f>ROUND($C$48*C57*D57,0)</f>
        <v>0</v>
      </c>
      <c r="C57" s="173">
        <f t="shared" ref="C57:C65" si="16">IF($C$55="北京市系数",I57,J57)</f>
        <v>0</v>
      </c>
      <c r="D57" s="1073">
        <v>0.25</v>
      </c>
      <c r="E57" s="647"/>
      <c r="F57" s="1014">
        <f t="shared" si="15"/>
        <v>0</v>
      </c>
      <c r="G57" s="3367" t="s">
        <v>2582</v>
      </c>
      <c r="H57" s="1015">
        <f>项目基本情况!B37</f>
        <v>0</v>
      </c>
      <c r="I57" s="1019">
        <f>SUMIF(修正!A45:A56,H57,修正!B45:B56)</f>
        <v>0</v>
      </c>
      <c r="J57" s="1023"/>
      <c r="K57" s="2945"/>
      <c r="L57" s="3002"/>
      <c r="M57" s="3002"/>
      <c r="N57" s="3002"/>
      <c r="O57" s="3002"/>
      <c r="P57" s="3002"/>
      <c r="Q57" s="3002"/>
      <c r="R57" s="3002"/>
      <c r="S57" s="3002"/>
      <c r="T57" s="3002"/>
      <c r="U57" s="3002"/>
      <c r="V57" s="3002"/>
      <c r="W57" s="3002"/>
      <c r="X57" s="3002"/>
      <c r="Y57" s="3002"/>
      <c r="Z57" s="3002"/>
      <c r="AA57" s="3002"/>
      <c r="AB57" s="3002"/>
      <c r="AC57" s="3002"/>
    </row>
    <row r="58" spans="1:29" s="645" customFormat="1">
      <c r="A58" s="646" t="s">
        <v>2583</v>
      </c>
      <c r="B58" s="221">
        <f t="shared" ref="B58:B65" si="17">ROUND($C$48*C58*D58,0)</f>
        <v>0</v>
      </c>
      <c r="C58" s="173">
        <f t="shared" si="16"/>
        <v>0</v>
      </c>
      <c r="D58" s="1073">
        <v>0.25</v>
      </c>
      <c r="E58" s="647"/>
      <c r="F58" s="1014">
        <f t="shared" si="15"/>
        <v>0</v>
      </c>
      <c r="G58" s="3367"/>
      <c r="H58" s="1015">
        <f>项目基本情况!B37</f>
        <v>0</v>
      </c>
      <c r="I58" s="1019">
        <f>SUMIF(修正!A45:A56,H58,修正!C45:C56)</f>
        <v>0</v>
      </c>
      <c r="J58" s="1023"/>
      <c r="K58" s="2948"/>
      <c r="L58" s="3002"/>
      <c r="M58" s="3002"/>
      <c r="N58" s="3002"/>
      <c r="O58" s="3002"/>
      <c r="P58" s="3002"/>
      <c r="Q58" s="3002"/>
      <c r="R58" s="3002"/>
      <c r="S58" s="3002"/>
      <c r="T58" s="3002"/>
      <c r="U58" s="3002"/>
      <c r="V58" s="3002"/>
      <c r="W58" s="3002"/>
      <c r="X58" s="3002"/>
      <c r="Y58" s="3002"/>
      <c r="Z58" s="3002"/>
      <c r="AA58" s="3002"/>
      <c r="AB58" s="3002"/>
      <c r="AC58" s="3002"/>
    </row>
    <row r="59" spans="1:29" s="645" customFormat="1">
      <c r="A59" s="646" t="s">
        <v>2584</v>
      </c>
      <c r="B59" s="221">
        <f t="shared" si="17"/>
        <v>0</v>
      </c>
      <c r="C59" s="173">
        <f t="shared" si="16"/>
        <v>0</v>
      </c>
      <c r="D59" s="1073">
        <v>0.25</v>
      </c>
      <c r="E59" s="647"/>
      <c r="F59" s="1014">
        <f t="shared" si="15"/>
        <v>0</v>
      </c>
      <c r="G59" s="3367"/>
      <c r="H59" s="1015">
        <f>项目基本情况!B37</f>
        <v>0</v>
      </c>
      <c r="I59" s="1019">
        <f>SUMIF(修正!A45:A56,H59,修正!D45:D56)</f>
        <v>0</v>
      </c>
      <c r="J59" s="1023"/>
      <c r="K59" s="2945"/>
      <c r="L59" s="3002"/>
      <c r="M59" s="3002"/>
      <c r="N59" s="3002"/>
      <c r="O59" s="3002"/>
      <c r="P59" s="3002"/>
      <c r="Q59" s="3002"/>
      <c r="R59" s="3002"/>
      <c r="S59" s="3002"/>
      <c r="T59" s="3002"/>
      <c r="U59" s="3002"/>
      <c r="V59" s="3002"/>
      <c r="W59" s="3002"/>
      <c r="X59" s="3002"/>
      <c r="Y59" s="3002"/>
      <c r="Z59" s="3002"/>
      <c r="AA59" s="3002"/>
      <c r="AB59" s="3002"/>
      <c r="AC59" s="3002"/>
    </row>
    <row r="60" spans="1:29" s="645" customFormat="1">
      <c r="A60" s="646" t="s">
        <v>2585</v>
      </c>
      <c r="B60" s="221">
        <f t="shared" si="17"/>
        <v>0</v>
      </c>
      <c r="C60" s="173">
        <f t="shared" si="16"/>
        <v>0</v>
      </c>
      <c r="D60" s="1073">
        <v>0.25</v>
      </c>
      <c r="E60" s="647"/>
      <c r="F60" s="1014">
        <f t="shared" si="15"/>
        <v>0</v>
      </c>
      <c r="G60" s="3367"/>
      <c r="H60" s="1015">
        <f>项目基本情况!B37</f>
        <v>0</v>
      </c>
      <c r="I60" s="1019">
        <f>SUMIF(修正!A45:A56,H60,修正!E45:E56)</f>
        <v>0</v>
      </c>
      <c r="J60" s="1023"/>
      <c r="K60" s="2948"/>
      <c r="L60" s="3002"/>
      <c r="M60" s="3002"/>
      <c r="N60" s="3002"/>
      <c r="O60" s="3002"/>
      <c r="P60" s="3002"/>
      <c r="Q60" s="3002"/>
      <c r="R60" s="3002"/>
      <c r="S60" s="3002"/>
      <c r="T60" s="3002"/>
      <c r="U60" s="3002"/>
      <c r="V60" s="3002"/>
      <c r="W60" s="3002"/>
      <c r="X60" s="3002"/>
      <c r="Y60" s="3002"/>
      <c r="Z60" s="3002"/>
      <c r="AA60" s="3002"/>
      <c r="AB60" s="3002"/>
      <c r="AC60" s="3002"/>
    </row>
    <row r="61" spans="1:29" s="645" customFormat="1">
      <c r="A61" s="646" t="s">
        <v>2586</v>
      </c>
      <c r="B61" s="221">
        <f t="shared" si="17"/>
        <v>0</v>
      </c>
      <c r="C61" s="173">
        <f t="shared" si="16"/>
        <v>0</v>
      </c>
      <c r="D61" s="1073">
        <v>0.25</v>
      </c>
      <c r="E61" s="220">
        <f>'数据-汇总表'!E11</f>
        <v>0</v>
      </c>
      <c r="F61" s="1014">
        <f t="shared" si="15"/>
        <v>0</v>
      </c>
      <c r="G61" s="2169" t="s">
        <v>2587</v>
      </c>
      <c r="H61" s="1015">
        <f>项目基本情况!C37</f>
        <v>0</v>
      </c>
      <c r="I61" s="1019">
        <f>SUMIF(修正!A45:A56,H61,修正!F45:F56)</f>
        <v>0</v>
      </c>
      <c r="J61" s="1023"/>
      <c r="K61" s="2945"/>
      <c r="L61" s="3002"/>
      <c r="M61" s="3002"/>
      <c r="N61" s="3002"/>
      <c r="O61" s="3002"/>
      <c r="P61" s="3002"/>
      <c r="Q61" s="3002"/>
      <c r="R61" s="3002"/>
      <c r="S61" s="3002"/>
      <c r="T61" s="3002"/>
      <c r="U61" s="3002"/>
      <c r="V61" s="3002"/>
      <c r="W61" s="3002"/>
      <c r="X61" s="3002"/>
      <c r="Y61" s="3002"/>
      <c r="Z61" s="3002"/>
      <c r="AA61" s="3002"/>
      <c r="AB61" s="3002"/>
      <c r="AC61" s="3002"/>
    </row>
    <row r="62" spans="1:29" s="645" customFormat="1">
      <c r="A62" s="646" t="s">
        <v>2588</v>
      </c>
      <c r="B62" s="221">
        <f t="shared" si="17"/>
        <v>0</v>
      </c>
      <c r="C62" s="173">
        <f t="shared" si="16"/>
        <v>0</v>
      </c>
      <c r="D62" s="1073">
        <v>0.25</v>
      </c>
      <c r="E62" s="220">
        <f>'数据-汇总表'!E12</f>
        <v>0</v>
      </c>
      <c r="F62" s="1014">
        <f t="shared" si="15"/>
        <v>0</v>
      </c>
      <c r="G62" s="1020" t="s">
        <v>2589</v>
      </c>
      <c r="H62" s="1015">
        <f>IF(G62="商业",项目基本情况!B37,IF(G62="办公",项目基本情况!C37,IF(G62="住宅",项目基本情况!D37,项目基本情况!E37)))</f>
        <v>0</v>
      </c>
      <c r="I62" s="1019">
        <f>SUMIF(修正!A45:A56,H62,修正!G45:G56)</f>
        <v>0</v>
      </c>
      <c r="J62" s="1023"/>
      <c r="K62" s="2948"/>
      <c r="L62" s="3002"/>
      <c r="M62" s="3002"/>
      <c r="N62" s="3002"/>
      <c r="O62" s="3002"/>
      <c r="P62" s="3002"/>
      <c r="Q62" s="3002"/>
      <c r="R62" s="3002"/>
      <c r="S62" s="3002"/>
      <c r="T62" s="3002"/>
      <c r="U62" s="3002"/>
      <c r="V62" s="3002"/>
      <c r="W62" s="3002"/>
      <c r="X62" s="3002"/>
      <c r="Y62" s="3002"/>
      <c r="Z62" s="3002"/>
      <c r="AA62" s="3002"/>
      <c r="AB62" s="3002"/>
      <c r="AC62" s="3002"/>
    </row>
    <row r="63" spans="1:29" s="645" customFormat="1">
      <c r="A63" s="646" t="s">
        <v>2590</v>
      </c>
      <c r="B63" s="221">
        <f t="shared" si="17"/>
        <v>0</v>
      </c>
      <c r="C63" s="173">
        <f t="shared" si="16"/>
        <v>0</v>
      </c>
      <c r="D63" s="1073">
        <v>0.25</v>
      </c>
      <c r="E63" s="220">
        <f>'数据-汇总表'!E13</f>
        <v>0</v>
      </c>
      <c r="F63" s="1014">
        <f t="shared" si="15"/>
        <v>0</v>
      </c>
      <c r="G63" s="1020" t="s">
        <v>2591</v>
      </c>
      <c r="H63" s="1015">
        <f>IF(G63="商业",项目基本情况!B37,IF(G63="办公",项目基本情况!C37,IF(G63="住宅",项目基本情况!D37,项目基本情况!E37)))</f>
        <v>0</v>
      </c>
      <c r="I63" s="1019">
        <f>SUMIF(修正!A45:A56,H63,修正!H45:H56)</f>
        <v>0</v>
      </c>
      <c r="J63" s="1023"/>
      <c r="K63" s="2945"/>
      <c r="L63" s="3002"/>
      <c r="M63" s="3002"/>
      <c r="N63" s="3002"/>
      <c r="O63" s="3002"/>
      <c r="P63" s="3002"/>
      <c r="Q63" s="3002"/>
      <c r="R63" s="3002"/>
      <c r="S63" s="3002"/>
      <c r="T63" s="3002"/>
      <c r="U63" s="3002"/>
      <c r="V63" s="3002"/>
      <c r="W63" s="3002"/>
      <c r="X63" s="3002"/>
      <c r="Y63" s="3002"/>
      <c r="Z63" s="3002"/>
      <c r="AA63" s="3002"/>
      <c r="AB63" s="3002"/>
      <c r="AC63" s="3002"/>
    </row>
    <row r="64" spans="1:29" s="645" customFormat="1">
      <c r="A64" s="646" t="s">
        <v>2592</v>
      </c>
      <c r="B64" s="221">
        <f t="shared" si="17"/>
        <v>0</v>
      </c>
      <c r="C64" s="173">
        <f t="shared" si="16"/>
        <v>0</v>
      </c>
      <c r="D64" s="1073">
        <v>0.25</v>
      </c>
      <c r="E64" s="220">
        <f>'数据-汇总表'!E14</f>
        <v>0</v>
      </c>
      <c r="F64" s="1014">
        <f t="shared" si="15"/>
        <v>0</v>
      </c>
      <c r="G64" s="2169" t="s">
        <v>2582</v>
      </c>
      <c r="H64" s="1015">
        <f>项目基本情况!B37</f>
        <v>0</v>
      </c>
      <c r="I64" s="1019">
        <f>SUMIF(修正!A45:A56,H64,修正!H45:H56)</f>
        <v>0</v>
      </c>
      <c r="J64" s="1023"/>
      <c r="K64" s="2948"/>
      <c r="L64" s="3002"/>
      <c r="M64" s="3002"/>
      <c r="N64" s="3002"/>
      <c r="O64" s="3002"/>
      <c r="P64" s="3002"/>
      <c r="Q64" s="3002"/>
      <c r="R64" s="3002"/>
      <c r="S64" s="3002"/>
      <c r="T64" s="3002"/>
      <c r="U64" s="3002"/>
      <c r="V64" s="3002"/>
      <c r="W64" s="3002"/>
      <c r="X64" s="3002"/>
      <c r="Y64" s="3002"/>
      <c r="Z64" s="3002"/>
      <c r="AA64" s="3002"/>
      <c r="AB64" s="3002"/>
      <c r="AC64" s="3002"/>
    </row>
    <row r="65" spans="1:29" s="645" customFormat="1" ht="15" thickBot="1">
      <c r="A65" s="646" t="s">
        <v>2593</v>
      </c>
      <c r="B65" s="221">
        <f t="shared" si="17"/>
        <v>0</v>
      </c>
      <c r="C65" s="173">
        <f t="shared" si="16"/>
        <v>0</v>
      </c>
      <c r="D65" s="1073">
        <v>0.25</v>
      </c>
      <c r="E65" s="220">
        <f>'数据-汇总表'!E15</f>
        <v>0</v>
      </c>
      <c r="F65" s="1014">
        <f t="shared" si="15"/>
        <v>0</v>
      </c>
      <c r="G65" s="2170" t="s">
        <v>2587</v>
      </c>
      <c r="H65" s="1025">
        <f>项目基本情况!C37</f>
        <v>0</v>
      </c>
      <c r="I65" s="1021">
        <f>SUMIF(修正!A45:A56,H65,修正!H45:H56)</f>
        <v>0</v>
      </c>
      <c r="J65" s="1024"/>
      <c r="K65" s="2945"/>
      <c r="L65" s="3002"/>
      <c r="M65" s="3002"/>
      <c r="N65" s="3002"/>
      <c r="O65" s="3002"/>
      <c r="P65" s="3002"/>
      <c r="Q65" s="3002"/>
      <c r="R65" s="3002"/>
      <c r="S65" s="3002"/>
      <c r="T65" s="3002"/>
      <c r="U65" s="3002"/>
      <c r="V65" s="3002"/>
      <c r="W65" s="3002"/>
      <c r="X65" s="3002"/>
      <c r="Y65" s="3002"/>
      <c r="Z65" s="3002"/>
      <c r="AA65" s="3002"/>
      <c r="AB65" s="3002"/>
      <c r="AC65" s="3002"/>
    </row>
    <row r="66" spans="1:29" s="645" customFormat="1" ht="13.5" thickBot="1">
      <c r="A66" s="648" t="s">
        <v>2594</v>
      </c>
      <c r="B66" s="649" t="s">
        <v>28</v>
      </c>
      <c r="C66" s="649" t="s">
        <v>29</v>
      </c>
      <c r="D66" s="649" t="s">
        <v>997</v>
      </c>
      <c r="E66" s="649">
        <f>IF(B46="楼面地价",SUM(E56:E65),'数据-汇总表'!D3)</f>
        <v>96962.430000000008</v>
      </c>
      <c r="F66" s="650">
        <f>IF(B46="楼面地价",SUM(F56:F65),ROUND(C48*E66/10000,0))</f>
        <v>14651</v>
      </c>
      <c r="G66" s="723"/>
      <c r="H66" s="723"/>
      <c r="I66" s="723"/>
      <c r="J66" s="723"/>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6"/>
      <c r="B67" s="698"/>
      <c r="C67" s="699"/>
      <c r="D67" s="696"/>
      <c r="E67" s="696"/>
      <c r="F67" s="696"/>
      <c r="G67" s="696"/>
      <c r="H67" s="696"/>
      <c r="I67" s="696"/>
      <c r="J67" s="1055"/>
      <c r="K67" s="1016"/>
      <c r="L67" s="1017"/>
      <c r="M67" s="1055"/>
      <c r="N67" s="1055"/>
      <c r="O67" s="1055"/>
      <c r="P67" s="2945"/>
      <c r="Q67" s="2945"/>
      <c r="R67" s="2945"/>
      <c r="S67" s="2945"/>
      <c r="T67" s="2945"/>
      <c r="U67" s="2945"/>
      <c r="V67" s="2945"/>
      <c r="W67" s="2945"/>
      <c r="X67" s="2945"/>
      <c r="Y67" s="2945"/>
      <c r="Z67" s="2945"/>
      <c r="AA67" s="2945"/>
      <c r="AB67" s="2945"/>
      <c r="AC67" s="2945"/>
    </row>
    <row r="68" spans="1:29">
      <c r="A68" s="696"/>
      <c r="B68" s="698"/>
      <c r="C68" s="698" t="str">
        <f>YEAR(C7)&amp;"-"&amp;MONTH(C7)&amp;"-1"</f>
        <v>2021-6-1</v>
      </c>
      <c r="D68" s="698">
        <f>EDATE(C68,-3)</f>
        <v>44256</v>
      </c>
      <c r="E68" s="698">
        <f>EDATE(D68,-3)</f>
        <v>44166</v>
      </c>
      <c r="F68" s="698">
        <f t="shared" ref="F68:M68" si="18">EDATE(E68,-3)</f>
        <v>44075</v>
      </c>
      <c r="G68" s="698">
        <f t="shared" si="18"/>
        <v>43983</v>
      </c>
      <c r="H68" s="698">
        <f t="shared" si="18"/>
        <v>43891</v>
      </c>
      <c r="I68" s="698">
        <f t="shared" si="18"/>
        <v>43800</v>
      </c>
      <c r="J68" s="698">
        <f t="shared" si="18"/>
        <v>43709</v>
      </c>
      <c r="K68" s="698">
        <f t="shared" si="18"/>
        <v>43617</v>
      </c>
      <c r="L68" s="698">
        <f t="shared" si="18"/>
        <v>43525</v>
      </c>
      <c r="M68" s="698">
        <f t="shared" si="18"/>
        <v>43435</v>
      </c>
      <c r="N68" s="698">
        <v>43252</v>
      </c>
      <c r="O68" s="698">
        <v>42461</v>
      </c>
      <c r="P68" s="2945"/>
      <c r="Q68" s="2945">
        <v>2017</v>
      </c>
      <c r="R68" s="2945">
        <v>2016</v>
      </c>
      <c r="S68" s="2945"/>
      <c r="T68" s="2945"/>
      <c r="U68" s="2945"/>
      <c r="V68" s="2945"/>
      <c r="W68" s="2945"/>
      <c r="X68" s="2945"/>
      <c r="Y68" s="2945"/>
      <c r="Z68" s="2945"/>
      <c r="AA68" s="2945"/>
      <c r="AB68" s="2945"/>
      <c r="AC68" s="2945"/>
    </row>
    <row r="69" spans="1:29" ht="21.75" thickBot="1">
      <c r="A69" s="700" t="s">
        <v>2487</v>
      </c>
      <c r="B69" s="696"/>
      <c r="C69" s="701"/>
      <c r="D69" s="701"/>
      <c r="E69" s="701"/>
      <c r="F69" s="702"/>
      <c r="G69" s="702"/>
      <c r="H69" s="701"/>
      <c r="I69" s="701"/>
      <c r="J69" s="1068"/>
      <c r="K69" s="1069"/>
      <c r="L69" s="1070"/>
      <c r="M69" s="1068"/>
      <c r="N69" s="2989"/>
      <c r="O69" s="2989"/>
      <c r="P69" s="2989"/>
      <c r="Q69" s="2959">
        <v>0.98</v>
      </c>
      <c r="R69" s="2945">
        <v>97.5</v>
      </c>
      <c r="S69" s="2945"/>
      <c r="T69" s="2945"/>
      <c r="U69" s="2945"/>
      <c r="V69" s="2945"/>
      <c r="W69" s="2945"/>
      <c r="X69" s="2945"/>
      <c r="Y69" s="2945"/>
      <c r="Z69" s="2945"/>
      <c r="AA69" s="2945"/>
      <c r="AB69" s="2945"/>
      <c r="AC69" s="2945"/>
    </row>
    <row r="70" spans="1:29" s="462" customFormat="1" ht="15">
      <c r="A70" s="2171" t="s">
        <v>2595</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2018-2</v>
      </c>
      <c r="O70" s="1341" t="str">
        <f t="shared" si="19"/>
        <v>2016-2</v>
      </c>
      <c r="P70" s="2996"/>
      <c r="Q70" s="2961"/>
      <c r="R70" s="2961"/>
      <c r="S70" s="2961"/>
      <c r="T70" s="2961"/>
      <c r="U70" s="2961"/>
      <c r="V70" s="2961"/>
      <c r="W70" s="2961"/>
      <c r="X70" s="2961"/>
      <c r="Y70" s="2961"/>
      <c r="Z70" s="2961"/>
      <c r="AA70" s="2961"/>
      <c r="AB70" s="2961"/>
      <c r="AC70" s="2961"/>
    </row>
    <row r="71" spans="1:29" s="112" customFormat="1" ht="30" customHeight="1">
      <c r="A71" s="2172" t="s">
        <v>2596</v>
      </c>
      <c r="B71" s="291" t="str">
        <f>"北京市平均增长率"&amp;TEXT(SUMIF(基准地价修正!N21:N25,A71,基准地价修正!P21:P25),"0.00%")</f>
        <v>北京市平均增长率0.00%</v>
      </c>
      <c r="C71" s="557">
        <v>100</v>
      </c>
      <c r="D71" s="549">
        <f>C71-0.5</f>
        <v>99.5</v>
      </c>
      <c r="E71" s="549">
        <f t="shared" ref="E71:M71" si="20">D71-0.5</f>
        <v>99</v>
      </c>
      <c r="F71" s="549">
        <f t="shared" si="20"/>
        <v>98.5</v>
      </c>
      <c r="G71" s="549">
        <f t="shared" si="20"/>
        <v>98</v>
      </c>
      <c r="H71" s="549">
        <f t="shared" si="20"/>
        <v>97.5</v>
      </c>
      <c r="I71" s="549">
        <f t="shared" si="20"/>
        <v>97</v>
      </c>
      <c r="J71" s="549">
        <f t="shared" si="20"/>
        <v>96.5</v>
      </c>
      <c r="K71" s="549">
        <f t="shared" si="20"/>
        <v>96</v>
      </c>
      <c r="L71" s="549">
        <f t="shared" si="20"/>
        <v>95.5</v>
      </c>
      <c r="M71" s="549">
        <f t="shared" si="20"/>
        <v>95</v>
      </c>
      <c r="N71" s="549">
        <f>M71-0.5</f>
        <v>94.5</v>
      </c>
      <c r="O71" s="1338">
        <v>97.5</v>
      </c>
      <c r="P71" s="2959"/>
      <c r="Q71" s="2879"/>
      <c r="R71" s="2879"/>
      <c r="S71" s="2879"/>
      <c r="T71" s="2879"/>
      <c r="U71" s="2879"/>
      <c r="V71" s="2879"/>
      <c r="W71" s="2879"/>
      <c r="X71" s="2879"/>
      <c r="Y71" s="2879"/>
      <c r="Z71" s="2879"/>
      <c r="AA71" s="2879"/>
      <c r="AB71" s="2879"/>
      <c r="AC71" s="2879"/>
    </row>
    <row r="72" spans="1:29" s="112" customFormat="1" ht="15.75" thickBot="1">
      <c r="A72" s="469" t="s">
        <v>2398</v>
      </c>
      <c r="B72" s="470"/>
      <c r="C72" s="471"/>
      <c r="D72" s="472"/>
      <c r="E72" s="472"/>
      <c r="F72" s="472"/>
      <c r="G72" s="472"/>
      <c r="H72" s="472"/>
      <c r="I72" s="472"/>
      <c r="J72" s="472"/>
      <c r="K72" s="472"/>
      <c r="L72" s="472"/>
      <c r="M72" s="473"/>
      <c r="N72" s="472"/>
      <c r="O72" s="1071"/>
      <c r="P72" s="2959"/>
      <c r="Q72" s="2959"/>
      <c r="R72" s="2879"/>
      <c r="S72" s="2879"/>
      <c r="T72" s="2879"/>
      <c r="U72" s="2879"/>
      <c r="V72" s="2879"/>
      <c r="W72" s="2879"/>
      <c r="X72" s="2879"/>
      <c r="Y72" s="2879"/>
      <c r="Z72" s="2879"/>
      <c r="AA72" s="2879"/>
      <c r="AB72" s="2879"/>
      <c r="AC72" s="2879"/>
    </row>
    <row r="73" spans="1:29" s="112" customFormat="1" ht="15">
      <c r="A73" s="475" t="s">
        <v>2363</v>
      </c>
      <c r="B73" s="464"/>
      <c r="C73" s="476" t="s">
        <v>2465</v>
      </c>
      <c r="D73" s="477"/>
      <c r="E73" s="477"/>
      <c r="F73" s="477"/>
      <c r="G73" s="477"/>
      <c r="H73" s="477"/>
      <c r="I73" s="477"/>
      <c r="J73" s="477"/>
      <c r="K73" s="477"/>
      <c r="L73" s="478"/>
      <c r="M73" s="479"/>
      <c r="N73" s="2972"/>
      <c r="O73" s="2972"/>
      <c r="P73" s="2997"/>
      <c r="Q73" s="2959"/>
      <c r="R73" s="2879"/>
      <c r="S73" s="2879"/>
      <c r="T73" s="2879"/>
      <c r="U73" s="2879"/>
      <c r="V73" s="2879"/>
      <c r="W73" s="2879"/>
      <c r="X73" s="2879"/>
      <c r="Y73" s="2879"/>
      <c r="Z73" s="2879"/>
      <c r="AA73" s="2879"/>
      <c r="AB73" s="2879"/>
      <c r="AC73" s="2879"/>
    </row>
    <row r="74" spans="1:29" s="112" customFormat="1" ht="15.75" thickBot="1">
      <c r="A74" s="475"/>
      <c r="B74" s="464"/>
      <c r="C74" s="592">
        <v>100</v>
      </c>
      <c r="D74" s="466"/>
      <c r="E74" s="466"/>
      <c r="F74" s="466"/>
      <c r="G74" s="466"/>
      <c r="H74" s="466"/>
      <c r="I74" s="466"/>
      <c r="J74" s="466"/>
      <c r="K74" s="466"/>
      <c r="L74" s="466"/>
      <c r="M74" s="468"/>
      <c r="N74" s="2972"/>
      <c r="O74" s="2972"/>
      <c r="P74" s="2959"/>
      <c r="Q74" s="2959"/>
      <c r="R74" s="2879"/>
      <c r="S74" s="2879"/>
      <c r="T74" s="2879"/>
      <c r="U74" s="2879"/>
      <c r="V74" s="2879"/>
      <c r="W74" s="2879"/>
      <c r="X74" s="2879"/>
      <c r="Y74" s="2879"/>
      <c r="Z74" s="2879"/>
      <c r="AA74" s="2879"/>
      <c r="AB74" s="2879"/>
      <c r="AC74" s="2879"/>
    </row>
    <row r="75" spans="1:29">
      <c r="A75" s="481" t="s">
        <v>2401</v>
      </c>
      <c r="B75" s="482" t="s">
        <v>2367</v>
      </c>
      <c r="C75" s="3063" t="s">
        <v>3166</v>
      </c>
      <c r="D75" s="484"/>
      <c r="E75" s="484"/>
      <c r="F75" s="484"/>
      <c r="G75" s="484"/>
      <c r="H75" s="484"/>
      <c r="I75" s="484"/>
      <c r="J75" s="484"/>
      <c r="K75" s="485"/>
      <c r="L75" s="486"/>
      <c r="M75" s="487"/>
      <c r="N75" s="2973"/>
      <c r="O75" s="2973"/>
      <c r="P75" s="2998"/>
      <c r="Q75" s="2959"/>
      <c r="R75" s="2945"/>
      <c r="S75" s="2945"/>
      <c r="T75" s="2945"/>
      <c r="U75" s="2945"/>
      <c r="V75" s="2945"/>
      <c r="W75" s="2945"/>
      <c r="X75" s="2945"/>
      <c r="Y75" s="2945"/>
      <c r="Z75" s="2945"/>
      <c r="AA75" s="2945"/>
      <c r="AB75" s="2945"/>
      <c r="AC75" s="2945"/>
    </row>
    <row r="76" spans="1:29" ht="15.75" thickBot="1">
      <c r="A76" s="488"/>
      <c r="B76" s="489"/>
      <c r="C76" s="490">
        <v>100</v>
      </c>
      <c r="D76" s="490"/>
      <c r="E76" s="490"/>
      <c r="F76" s="490"/>
      <c r="G76" s="490"/>
      <c r="H76" s="490"/>
      <c r="I76" s="490"/>
      <c r="J76" s="490"/>
      <c r="K76" s="490"/>
      <c r="L76" s="490"/>
      <c r="M76" s="491"/>
      <c r="N76" s="2974"/>
      <c r="O76" s="2974"/>
      <c r="P76" s="2998"/>
      <c r="Q76" s="2959"/>
      <c r="R76" s="2945"/>
      <c r="S76" s="2945"/>
      <c r="T76" s="2945"/>
      <c r="U76" s="2945"/>
      <c r="V76" s="2945"/>
      <c r="W76" s="2945"/>
      <c r="X76" s="2945"/>
      <c r="Y76" s="2945"/>
      <c r="Z76" s="2945"/>
      <c r="AA76" s="2945"/>
      <c r="AB76" s="2945"/>
      <c r="AC76" s="2945"/>
    </row>
    <row r="77" spans="1:29" ht="27.75" thickTop="1">
      <c r="A77" s="488"/>
      <c r="B77" s="492" t="s">
        <v>2370</v>
      </c>
      <c r="C77" s="493"/>
      <c r="D77" s="493"/>
      <c r="E77" s="493"/>
      <c r="F77" s="493"/>
      <c r="G77" s="493"/>
      <c r="H77" s="493"/>
      <c r="I77" s="493"/>
      <c r="J77" s="493"/>
      <c r="K77" s="494"/>
      <c r="L77" s="495"/>
      <c r="M77" s="496"/>
      <c r="N77" s="2973"/>
      <c r="O77" s="2973"/>
      <c r="P77" s="2998"/>
      <c r="Q77" s="2959"/>
      <c r="R77" s="2945"/>
      <c r="S77" s="2945"/>
      <c r="T77" s="2945"/>
      <c r="U77" s="2945"/>
      <c r="V77" s="2945"/>
      <c r="W77" s="2945"/>
      <c r="X77" s="2945"/>
      <c r="Y77" s="2945"/>
      <c r="Z77" s="2945"/>
      <c r="AA77" s="2945"/>
      <c r="AB77" s="2945"/>
      <c r="AC77" s="2945"/>
    </row>
    <row r="78" spans="1:29" ht="15.75" thickBot="1">
      <c r="A78" s="488"/>
      <c r="B78" s="497"/>
      <c r="C78" s="498"/>
      <c r="D78" s="498"/>
      <c r="E78" s="498"/>
      <c r="F78" s="498"/>
      <c r="G78" s="498"/>
      <c r="H78" s="498"/>
      <c r="I78" s="498"/>
      <c r="J78" s="498"/>
      <c r="K78" s="498"/>
      <c r="L78" s="498"/>
      <c r="M78" s="499"/>
      <c r="N78" s="2974"/>
      <c r="O78" s="2974"/>
      <c r="P78" s="2998"/>
      <c r="Q78" s="2959"/>
      <c r="R78" s="2945"/>
      <c r="S78" s="2945"/>
      <c r="T78" s="2945"/>
      <c r="U78" s="2945"/>
      <c r="V78" s="2945"/>
      <c r="W78" s="2945"/>
      <c r="X78" s="2945"/>
      <c r="Y78" s="2945"/>
      <c r="Z78" s="2945"/>
      <c r="AA78" s="2945"/>
      <c r="AB78" s="2945"/>
      <c r="AC78" s="2945"/>
    </row>
    <row r="79" spans="1:29" ht="15.75" thickTop="1">
      <c r="A79" s="488"/>
      <c r="B79" s="500" t="s">
        <v>2371</v>
      </c>
      <c r="C79" s="501" t="str">
        <f>C80&amp;"（含）"&amp;"-"&amp;D80</f>
        <v>0（含）-1</v>
      </c>
      <c r="D79" s="501" t="str">
        <f t="shared" ref="D79:L79" si="21">D80&amp;"（含）"&amp;"-"&amp;E80</f>
        <v>1（含）-2</v>
      </c>
      <c r="E79" s="501" t="str">
        <f t="shared" si="21"/>
        <v>2（含）-3</v>
      </c>
      <c r="F79" s="501" t="str">
        <f t="shared" si="21"/>
        <v>3（含）-4</v>
      </c>
      <c r="G79" s="501" t="str">
        <f t="shared" si="21"/>
        <v>4（含）-5</v>
      </c>
      <c r="H79" s="501" t="str">
        <f t="shared" si="21"/>
        <v>5（含）-</v>
      </c>
      <c r="I79" s="501" t="str">
        <f t="shared" si="21"/>
        <v>（含）-</v>
      </c>
      <c r="J79" s="501" t="str">
        <f t="shared" si="21"/>
        <v>（含）-</v>
      </c>
      <c r="K79" s="501" t="str">
        <f t="shared" si="21"/>
        <v>（含）-</v>
      </c>
      <c r="L79" s="501" t="str">
        <f t="shared" si="21"/>
        <v>（含）-</v>
      </c>
      <c r="M79" s="404"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88"/>
      <c r="B80" s="502"/>
      <c r="C80" s="503">
        <v>0</v>
      </c>
      <c r="D80" s="503">
        <v>1</v>
      </c>
      <c r="E80" s="503">
        <v>2</v>
      </c>
      <c r="F80" s="503">
        <v>3</v>
      </c>
      <c r="G80" s="503">
        <v>4</v>
      </c>
      <c r="H80" s="503">
        <v>5</v>
      </c>
      <c r="I80" s="503"/>
      <c r="J80" s="503"/>
      <c r="K80" s="504"/>
      <c r="L80" s="505"/>
      <c r="M80" s="506"/>
      <c r="N80" s="2973"/>
      <c r="O80" s="2973"/>
      <c r="P80" s="2998"/>
      <c r="Q80" s="2959"/>
      <c r="R80" s="2945"/>
      <c r="S80" s="2945"/>
      <c r="T80" s="2945"/>
      <c r="U80" s="2945"/>
      <c r="V80" s="2945"/>
      <c r="W80" s="2945"/>
      <c r="X80" s="2945"/>
      <c r="Y80" s="2945"/>
      <c r="Z80" s="2945"/>
      <c r="AA80" s="2945"/>
      <c r="AB80" s="2945"/>
      <c r="AC80" s="2945"/>
    </row>
    <row r="81" spans="1:29" ht="15.75" thickBot="1">
      <c r="A81" s="488"/>
      <c r="B81" s="489"/>
      <c r="C81" s="498">
        <v>100</v>
      </c>
      <c r="D81" s="498">
        <f t="shared" ref="D81:M81" si="22">IF($B$46="单位面积地价",C81+$K11,C81-$K11)</f>
        <v>98</v>
      </c>
      <c r="E81" s="498">
        <f t="shared" si="22"/>
        <v>96</v>
      </c>
      <c r="F81" s="498">
        <f t="shared" si="22"/>
        <v>94</v>
      </c>
      <c r="G81" s="498">
        <f t="shared" si="22"/>
        <v>92</v>
      </c>
      <c r="H81" s="498">
        <f t="shared" si="22"/>
        <v>90</v>
      </c>
      <c r="I81" s="498">
        <f t="shared" si="22"/>
        <v>88</v>
      </c>
      <c r="J81" s="498">
        <f t="shared" si="22"/>
        <v>86</v>
      </c>
      <c r="K81" s="498">
        <f t="shared" si="22"/>
        <v>84</v>
      </c>
      <c r="L81" s="498">
        <f t="shared" si="22"/>
        <v>82</v>
      </c>
      <c r="M81" s="498">
        <f t="shared" si="22"/>
        <v>80</v>
      </c>
      <c r="N81" s="2974"/>
      <c r="O81" s="2974"/>
      <c r="P81" s="2998"/>
      <c r="Q81" s="2959"/>
      <c r="R81" s="2945"/>
      <c r="S81" s="2945"/>
      <c r="T81" s="2945"/>
      <c r="U81" s="2945"/>
      <c r="V81" s="2945"/>
      <c r="W81" s="2945"/>
      <c r="X81" s="2945"/>
      <c r="Y81" s="2945"/>
      <c r="Z81" s="2945"/>
      <c r="AA81" s="2945"/>
      <c r="AB81" s="2945"/>
      <c r="AC81" s="2945"/>
    </row>
    <row r="82" spans="1:29" s="427" customFormat="1" ht="15.75" thickTop="1">
      <c r="A82" s="507"/>
      <c r="B82" s="492" t="str">
        <f>B12</f>
        <v>配建</v>
      </c>
      <c r="C82" s="508"/>
      <c r="D82" s="508"/>
      <c r="E82" s="508"/>
      <c r="F82" s="508"/>
      <c r="G82" s="508"/>
      <c r="H82" s="509"/>
      <c r="I82" s="509"/>
      <c r="J82" s="509"/>
      <c r="K82" s="509"/>
      <c r="L82" s="510"/>
      <c r="M82" s="511"/>
      <c r="N82" s="2975"/>
      <c r="O82" s="2975"/>
      <c r="P82" s="2999"/>
      <c r="Q82" s="2966"/>
      <c r="R82" s="2967"/>
      <c r="S82" s="2967"/>
      <c r="T82" s="2967"/>
      <c r="U82" s="2967"/>
      <c r="V82" s="2967"/>
      <c r="W82" s="2967"/>
      <c r="X82" s="2967"/>
      <c r="Y82" s="2967"/>
      <c r="Z82" s="2967"/>
      <c r="AA82" s="2967"/>
      <c r="AB82" s="2967"/>
      <c r="AC82" s="2967"/>
    </row>
    <row r="83" spans="1:29" s="427" customFormat="1" ht="15.75" thickBot="1">
      <c r="A83" s="507"/>
      <c r="B83" s="497"/>
      <c r="C83" s="514"/>
      <c r="D83" s="490"/>
      <c r="E83" s="490"/>
      <c r="F83" s="490"/>
      <c r="G83" s="490"/>
      <c r="H83" s="490"/>
      <c r="I83" s="490"/>
      <c r="J83" s="490"/>
      <c r="K83" s="490"/>
      <c r="L83" s="490"/>
      <c r="M83" s="491"/>
      <c r="N83" s="2974"/>
      <c r="O83" s="2974"/>
      <c r="P83" s="2999"/>
      <c r="Q83" s="2966"/>
      <c r="R83" s="2967"/>
      <c r="S83" s="2967"/>
      <c r="T83" s="2967"/>
      <c r="U83" s="2967"/>
      <c r="V83" s="2967"/>
      <c r="W83" s="2967"/>
      <c r="X83" s="2967"/>
      <c r="Y83" s="2967"/>
      <c r="Z83" s="2967"/>
      <c r="AA83" s="2967"/>
      <c r="AB83" s="2967"/>
      <c r="AC83" s="2967"/>
    </row>
    <row r="84" spans="1:29" s="427" customFormat="1" ht="15.75" thickTop="1">
      <c r="A84" s="507"/>
      <c r="B84" s="492">
        <f>B13</f>
        <v>111</v>
      </c>
      <c r="C84" s="508"/>
      <c r="D84" s="508"/>
      <c r="E84" s="508"/>
      <c r="F84" s="508"/>
      <c r="G84" s="508"/>
      <c r="H84" s="509"/>
      <c r="I84" s="509"/>
      <c r="J84" s="509"/>
      <c r="K84" s="509"/>
      <c r="L84" s="510"/>
      <c r="M84" s="511"/>
      <c r="N84" s="2975"/>
      <c r="O84" s="2975"/>
      <c r="P84" s="2943"/>
      <c r="Q84" s="2969"/>
      <c r="R84" s="2967"/>
      <c r="S84" s="2967"/>
      <c r="T84" s="2967"/>
      <c r="U84" s="2967"/>
      <c r="V84" s="2967"/>
      <c r="W84" s="2967"/>
      <c r="X84" s="2967"/>
      <c r="Y84" s="2967"/>
      <c r="Z84" s="2967"/>
      <c r="AA84" s="2967"/>
      <c r="AB84" s="2967"/>
      <c r="AC84" s="2967"/>
    </row>
    <row r="85" spans="1:29" s="427" customFormat="1" ht="15.75" thickBot="1">
      <c r="A85" s="507"/>
      <c r="B85" s="497"/>
      <c r="C85" s="514"/>
      <c r="D85" s="514"/>
      <c r="E85" s="514"/>
      <c r="F85" s="514"/>
      <c r="G85" s="514"/>
      <c r="H85" s="516"/>
      <c r="I85" s="516"/>
      <c r="J85" s="516"/>
      <c r="K85" s="516"/>
      <c r="L85" s="516"/>
      <c r="M85" s="517"/>
      <c r="N85" s="2975"/>
      <c r="O85" s="2975"/>
      <c r="P85" s="2999"/>
      <c r="Q85" s="2966"/>
      <c r="R85" s="2967"/>
      <c r="S85" s="2967"/>
      <c r="T85" s="2967"/>
      <c r="U85" s="2967"/>
      <c r="V85" s="2967"/>
      <c r="W85" s="2967"/>
      <c r="X85" s="2967"/>
      <c r="Y85" s="2967"/>
      <c r="Z85" s="2967"/>
      <c r="AA85" s="2967"/>
      <c r="AB85" s="2967"/>
      <c r="AC85" s="2967"/>
    </row>
    <row r="86" spans="1:29" s="427" customFormat="1" ht="15.75" thickTop="1">
      <c r="A86" s="507"/>
      <c r="B86" s="500">
        <f>B14</f>
        <v>111</v>
      </c>
      <c r="C86" s="477"/>
      <c r="D86" s="477"/>
      <c r="E86" s="477"/>
      <c r="F86" s="477"/>
      <c r="G86" s="477"/>
      <c r="H86" s="518"/>
      <c r="I86" s="518"/>
      <c r="J86" s="518"/>
      <c r="K86" s="518"/>
      <c r="L86" s="519"/>
      <c r="M86" s="520"/>
      <c r="N86" s="2975"/>
      <c r="O86" s="2975"/>
      <c r="P86" s="3004"/>
      <c r="Q86" s="2966"/>
      <c r="R86" s="2967"/>
      <c r="S86" s="2967"/>
      <c r="T86" s="2967"/>
      <c r="U86" s="2967"/>
      <c r="V86" s="2967"/>
      <c r="W86" s="2967"/>
      <c r="X86" s="2967"/>
      <c r="Y86" s="2967"/>
      <c r="Z86" s="2967"/>
      <c r="AA86" s="2967"/>
      <c r="AB86" s="2967"/>
      <c r="AC86" s="2967"/>
    </row>
    <row r="87" spans="1:29" s="427" customFormat="1" ht="15.75" thickBot="1">
      <c r="A87" s="522"/>
      <c r="B87" s="523"/>
      <c r="C87" s="524"/>
      <c r="D87" s="524"/>
      <c r="E87" s="524"/>
      <c r="F87" s="524"/>
      <c r="G87" s="524"/>
      <c r="H87" s="525"/>
      <c r="I87" s="525"/>
      <c r="J87" s="525"/>
      <c r="K87" s="525"/>
      <c r="L87" s="525"/>
      <c r="M87" s="526"/>
      <c r="N87" s="2975"/>
      <c r="O87" s="2975"/>
      <c r="P87" s="2999"/>
      <c r="Q87" s="2966"/>
      <c r="R87" s="2967"/>
      <c r="S87" s="2967"/>
      <c r="T87" s="2967"/>
      <c r="U87" s="2967"/>
      <c r="V87" s="2967"/>
      <c r="W87" s="2967"/>
      <c r="X87" s="2967"/>
      <c r="Y87" s="2967"/>
      <c r="Z87" s="2967"/>
      <c r="AA87" s="2967"/>
      <c r="AB87" s="2967"/>
      <c r="AC87" s="2967"/>
    </row>
    <row r="88" spans="1:29">
      <c r="A88" s="481" t="s">
        <v>2372</v>
      </c>
      <c r="B88" s="482" t="s">
        <v>2409</v>
      </c>
      <c r="C88" s="527" t="s">
        <v>2410</v>
      </c>
      <c r="D88" s="527" t="s">
        <v>2411</v>
      </c>
      <c r="E88" s="527" t="s">
        <v>2412</v>
      </c>
      <c r="F88" s="527" t="s">
        <v>2413</v>
      </c>
      <c r="G88" s="527" t="s">
        <v>2414</v>
      </c>
      <c r="H88" s="483"/>
      <c r="I88" s="483"/>
      <c r="J88" s="483"/>
      <c r="K88" s="528"/>
      <c r="L88" s="529"/>
      <c r="M88" s="530"/>
      <c r="N88" s="2973"/>
      <c r="O88" s="2973"/>
      <c r="P88" s="3000"/>
      <c r="Q88" s="2959"/>
      <c r="R88" s="2945"/>
      <c r="S88" s="2945"/>
      <c r="T88" s="2945"/>
      <c r="U88" s="2945"/>
      <c r="V88" s="2945"/>
      <c r="W88" s="2945"/>
      <c r="X88" s="2945"/>
      <c r="Y88" s="2945"/>
      <c r="Z88" s="2945"/>
      <c r="AA88" s="2945"/>
      <c r="AB88" s="2945"/>
      <c r="AC88" s="2945"/>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74"/>
      <c r="O89" s="2974"/>
      <c r="P89" s="2998"/>
      <c r="Q89" s="2959"/>
      <c r="R89" s="2945"/>
      <c r="S89" s="2945"/>
      <c r="T89" s="2945"/>
      <c r="U89" s="2945"/>
      <c r="V89" s="2945"/>
      <c r="W89" s="2945"/>
      <c r="X89" s="2945"/>
      <c r="Y89" s="2945"/>
      <c r="Z89" s="2945"/>
      <c r="AA89" s="2945"/>
      <c r="AB89" s="2945"/>
      <c r="AC89" s="2945"/>
    </row>
    <row r="90" spans="1:29" ht="15.75" thickTop="1">
      <c r="A90" s="488"/>
      <c r="B90" s="492" t="s">
        <v>2597</v>
      </c>
      <c r="C90" s="532" t="s">
        <v>2410</v>
      </c>
      <c r="D90" s="532" t="s">
        <v>2411</v>
      </c>
      <c r="E90" s="532" t="s">
        <v>2412</v>
      </c>
      <c r="F90" s="532" t="s">
        <v>2413</v>
      </c>
      <c r="G90" s="532" t="s">
        <v>2414</v>
      </c>
      <c r="H90" s="493"/>
      <c r="I90" s="493"/>
      <c r="J90" s="493"/>
      <c r="K90" s="494"/>
      <c r="L90" s="495"/>
      <c r="M90" s="496"/>
      <c r="N90" s="2973"/>
      <c r="O90" s="2973"/>
      <c r="P90" s="2998"/>
      <c r="Q90" s="2959"/>
      <c r="R90" s="2945"/>
      <c r="S90" s="2945"/>
      <c r="T90" s="2945"/>
      <c r="U90" s="2945"/>
      <c r="V90" s="2945"/>
      <c r="W90" s="2945"/>
      <c r="X90" s="2945"/>
      <c r="Y90" s="2945"/>
      <c r="Z90" s="2945"/>
      <c r="AA90" s="2945"/>
      <c r="AB90" s="2945"/>
      <c r="AC90" s="2945"/>
    </row>
    <row r="91" spans="1:29" ht="15.75" thickBot="1">
      <c r="A91" s="488"/>
      <c r="B91" s="497"/>
      <c r="C91" s="498">
        <v>100</v>
      </c>
      <c r="D91" s="498">
        <f>C91-$K17</f>
        <v>98</v>
      </c>
      <c r="E91" s="498">
        <f>D91-$K17</f>
        <v>96</v>
      </c>
      <c r="F91" s="498">
        <f>E91-$K17</f>
        <v>94</v>
      </c>
      <c r="G91" s="498">
        <f>F91-$K17</f>
        <v>92</v>
      </c>
      <c r="H91" s="498"/>
      <c r="I91" s="498"/>
      <c r="J91" s="498"/>
      <c r="K91" s="498"/>
      <c r="L91" s="498"/>
      <c r="M91" s="499"/>
      <c r="N91" s="2974"/>
      <c r="O91" s="2974"/>
      <c r="P91" s="2998"/>
      <c r="Q91" s="2959"/>
      <c r="R91" s="2945"/>
      <c r="S91" s="2945"/>
      <c r="T91" s="2945"/>
      <c r="U91" s="2945"/>
      <c r="V91" s="2945"/>
      <c r="W91" s="2945"/>
      <c r="X91" s="2945"/>
      <c r="Y91" s="2945"/>
      <c r="Z91" s="2945"/>
      <c r="AA91" s="2945"/>
      <c r="AB91" s="2945"/>
      <c r="AC91" s="2945"/>
    </row>
    <row r="92" spans="1:29" ht="15.75" thickTop="1">
      <c r="A92" s="488"/>
      <c r="B92" s="492" t="s">
        <v>2510</v>
      </c>
      <c r="C92" s="532" t="s">
        <v>2410</v>
      </c>
      <c r="D92" s="532" t="s">
        <v>2411</v>
      </c>
      <c r="E92" s="532" t="s">
        <v>2412</v>
      </c>
      <c r="F92" s="532" t="s">
        <v>2413</v>
      </c>
      <c r="G92" s="532" t="s">
        <v>2414</v>
      </c>
      <c r="H92" s="493"/>
      <c r="I92" s="493"/>
      <c r="J92" s="493"/>
      <c r="K92" s="494"/>
      <c r="L92" s="495"/>
      <c r="M92" s="496"/>
      <c r="N92" s="2973"/>
      <c r="O92" s="2973"/>
      <c r="P92" s="2998"/>
      <c r="Q92" s="2959"/>
      <c r="R92" s="2945"/>
      <c r="S92" s="2945"/>
      <c r="T92" s="2945"/>
      <c r="U92" s="2945"/>
      <c r="V92" s="2945"/>
      <c r="W92" s="2945"/>
      <c r="X92" s="2945"/>
      <c r="Y92" s="2945"/>
      <c r="Z92" s="2945"/>
      <c r="AA92" s="2945"/>
      <c r="AB92" s="2945"/>
      <c r="AC92" s="2945"/>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74"/>
      <c r="O93" s="2974"/>
      <c r="P93" s="2998"/>
      <c r="Q93" s="2959"/>
      <c r="R93" s="2945"/>
      <c r="S93" s="2945"/>
      <c r="T93" s="2945"/>
      <c r="U93" s="2945"/>
      <c r="V93" s="2945"/>
      <c r="W93" s="2945"/>
      <c r="X93" s="2945"/>
      <c r="Y93" s="2945"/>
      <c r="Z93" s="2945"/>
      <c r="AA93" s="2945"/>
      <c r="AB93" s="2945"/>
      <c r="AC93" s="2945"/>
    </row>
    <row r="94" spans="1:29" ht="15.75" thickTop="1">
      <c r="A94" s="488"/>
      <c r="B94" s="492" t="s">
        <v>2415</v>
      </c>
      <c r="C94" s="532" t="s">
        <v>2410</v>
      </c>
      <c r="D94" s="532" t="s">
        <v>2411</v>
      </c>
      <c r="E94" s="532" t="s">
        <v>2412</v>
      </c>
      <c r="F94" s="532" t="s">
        <v>2413</v>
      </c>
      <c r="G94" s="532" t="s">
        <v>2414</v>
      </c>
      <c r="H94" s="493"/>
      <c r="I94" s="493"/>
      <c r="J94" s="493"/>
      <c r="K94" s="494"/>
      <c r="L94" s="495"/>
      <c r="M94" s="496"/>
      <c r="N94" s="2973"/>
      <c r="O94" s="2973"/>
      <c r="P94" s="2998"/>
      <c r="Q94" s="2959"/>
      <c r="R94" s="2945"/>
      <c r="S94" s="2945"/>
      <c r="T94" s="2945"/>
      <c r="U94" s="2945"/>
      <c r="V94" s="2945"/>
      <c r="W94" s="2945"/>
      <c r="X94" s="2945"/>
      <c r="Y94" s="2945"/>
      <c r="Z94" s="2945"/>
      <c r="AA94" s="2945"/>
      <c r="AB94" s="2945"/>
      <c r="AC94" s="2945"/>
    </row>
    <row r="95" spans="1:29" ht="15.75" thickBot="1">
      <c r="A95" s="488"/>
      <c r="B95" s="497"/>
      <c r="C95" s="498">
        <v>100</v>
      </c>
      <c r="D95" s="498">
        <f>C95-$K21</f>
        <v>98</v>
      </c>
      <c r="E95" s="498">
        <f>D95-$K21</f>
        <v>96</v>
      </c>
      <c r="F95" s="498">
        <f>E95-$K21</f>
        <v>94</v>
      </c>
      <c r="G95" s="498">
        <f>F95-$K21</f>
        <v>92</v>
      </c>
      <c r="H95" s="498"/>
      <c r="I95" s="498"/>
      <c r="J95" s="498"/>
      <c r="K95" s="498"/>
      <c r="L95" s="498"/>
      <c r="M95" s="499"/>
      <c r="N95" s="2974"/>
      <c r="O95" s="2974"/>
      <c r="P95" s="2998"/>
      <c r="Q95" s="2959"/>
      <c r="R95" s="2945"/>
      <c r="S95" s="2945"/>
      <c r="T95" s="2945"/>
      <c r="U95" s="2945"/>
      <c r="V95" s="2945"/>
      <c r="W95" s="2945"/>
      <c r="X95" s="2945"/>
      <c r="Y95" s="2945"/>
      <c r="Z95" s="2945"/>
      <c r="AA95" s="2945"/>
      <c r="AB95" s="2945"/>
      <c r="AC95" s="2945"/>
    </row>
    <row r="96" spans="1:29" s="112" customFormat="1" ht="15.75" thickTop="1">
      <c r="A96" s="533"/>
      <c r="B96" s="492" t="s">
        <v>2598</v>
      </c>
      <c r="C96" s="532" t="s">
        <v>2410</v>
      </c>
      <c r="D96" s="532" t="s">
        <v>2411</v>
      </c>
      <c r="E96" s="532" t="s">
        <v>2412</v>
      </c>
      <c r="F96" s="532" t="s">
        <v>2413</v>
      </c>
      <c r="G96" s="532" t="s">
        <v>2414</v>
      </c>
      <c r="H96" s="532"/>
      <c r="I96" s="532"/>
      <c r="J96" s="532"/>
      <c r="K96" s="532"/>
      <c r="L96" s="651"/>
      <c r="M96" s="575"/>
      <c r="N96" s="2972"/>
      <c r="O96" s="2972"/>
      <c r="P96" s="2998"/>
      <c r="Q96" s="2959"/>
      <c r="R96" s="2879"/>
      <c r="S96" s="2879"/>
      <c r="T96" s="2879"/>
      <c r="U96" s="2879"/>
      <c r="V96" s="2879"/>
      <c r="W96" s="2879"/>
      <c r="X96" s="2879"/>
      <c r="Y96" s="2879"/>
      <c r="Z96" s="2879"/>
      <c r="AA96" s="2879"/>
      <c r="AB96" s="2879"/>
      <c r="AC96" s="2879"/>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74"/>
      <c r="O97" s="2974"/>
      <c r="P97" s="2998"/>
      <c r="Q97" s="2959"/>
      <c r="R97" s="2879"/>
      <c r="S97" s="2879"/>
      <c r="T97" s="2879"/>
      <c r="U97" s="2879"/>
      <c r="V97" s="2879"/>
      <c r="W97" s="2879"/>
      <c r="X97" s="2879"/>
      <c r="Y97" s="2879"/>
      <c r="Z97" s="2879"/>
      <c r="AA97" s="2879"/>
      <c r="AB97" s="2879"/>
      <c r="AC97" s="2879"/>
    </row>
    <row r="98" spans="1:29" s="112" customFormat="1" ht="27.75" thickTop="1">
      <c r="A98" s="533"/>
      <c r="B98" s="492" t="s">
        <v>2599</v>
      </c>
      <c r="C98" s="527" t="s">
        <v>2410</v>
      </c>
      <c r="D98" s="527" t="s">
        <v>2411</v>
      </c>
      <c r="E98" s="527" t="s">
        <v>2412</v>
      </c>
      <c r="F98" s="527" t="s">
        <v>2413</v>
      </c>
      <c r="G98" s="527" t="s">
        <v>2414</v>
      </c>
      <c r="H98" s="532"/>
      <c r="I98" s="532"/>
      <c r="J98" s="532"/>
      <c r="K98" s="532"/>
      <c r="L98" s="532"/>
      <c r="M98" s="575"/>
      <c r="N98" s="2972"/>
      <c r="O98" s="2972"/>
      <c r="P98" s="2998"/>
      <c r="Q98" s="2959"/>
      <c r="R98" s="2879"/>
      <c r="S98" s="2879"/>
      <c r="T98" s="2879"/>
      <c r="U98" s="2879"/>
      <c r="V98" s="2879"/>
      <c r="W98" s="2879"/>
      <c r="X98" s="2879"/>
      <c r="Y98" s="2879"/>
      <c r="Z98" s="2879"/>
      <c r="AA98" s="2879"/>
      <c r="AB98" s="2879"/>
      <c r="AC98" s="2879"/>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74"/>
      <c r="O99" s="2974"/>
      <c r="P99" s="2998"/>
      <c r="Q99" s="2959"/>
      <c r="R99" s="2879"/>
      <c r="S99" s="2879"/>
      <c r="T99" s="2879"/>
      <c r="U99" s="2879"/>
      <c r="V99" s="2879"/>
      <c r="W99" s="2879"/>
      <c r="X99" s="2879"/>
      <c r="Y99" s="2879"/>
      <c r="Z99" s="2879"/>
      <c r="AA99" s="2879"/>
      <c r="AB99" s="2879"/>
      <c r="AC99" s="2879"/>
    </row>
    <row r="100" spans="1:29" s="427" customFormat="1" ht="15.75" thickTop="1">
      <c r="A100" s="507"/>
      <c r="B100" s="492" t="s">
        <v>2467</v>
      </c>
      <c r="C100" s="527" t="s">
        <v>2410</v>
      </c>
      <c r="D100" s="527" t="s">
        <v>2411</v>
      </c>
      <c r="E100" s="527" t="s">
        <v>2412</v>
      </c>
      <c r="F100" s="527" t="s">
        <v>2413</v>
      </c>
      <c r="G100" s="527" t="s">
        <v>2414</v>
      </c>
      <c r="H100" s="554"/>
      <c r="I100" s="554"/>
      <c r="J100" s="554"/>
      <c r="K100" s="554"/>
      <c r="L100" s="555"/>
      <c r="M100" s="556"/>
      <c r="N100" s="2975"/>
      <c r="O100" s="2975"/>
      <c r="P100" s="2999"/>
      <c r="Q100" s="2966"/>
      <c r="R100" s="2967"/>
      <c r="S100" s="2967"/>
      <c r="T100" s="2967"/>
      <c r="U100" s="2967"/>
      <c r="V100" s="2967"/>
      <c r="W100" s="2967"/>
      <c r="X100" s="2967"/>
      <c r="Y100" s="2967"/>
      <c r="Z100" s="2967"/>
      <c r="AA100" s="2967"/>
      <c r="AB100" s="2967"/>
      <c r="AC100" s="2967"/>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75"/>
      <c r="O101" s="2975"/>
      <c r="P101" s="2999"/>
      <c r="Q101" s="2966"/>
      <c r="R101" s="2967"/>
      <c r="S101" s="2967"/>
      <c r="T101" s="2967"/>
      <c r="U101" s="2967"/>
      <c r="V101" s="2967"/>
      <c r="W101" s="2967"/>
      <c r="X101" s="2967"/>
      <c r="Y101" s="2967"/>
      <c r="Z101" s="2967"/>
      <c r="AA101" s="2967"/>
      <c r="AB101" s="2967"/>
      <c r="AC101" s="2967"/>
    </row>
    <row r="102" spans="1:29" s="427" customFormat="1" ht="15.75" thickTop="1">
      <c r="A102" s="507"/>
      <c r="B102" s="500" t="s">
        <v>2468</v>
      </c>
      <c r="C102" s="613" t="s">
        <v>2488</v>
      </c>
      <c r="D102" s="613" t="s">
        <v>2489</v>
      </c>
      <c r="E102" s="613" t="s">
        <v>2490</v>
      </c>
      <c r="F102" s="613" t="s">
        <v>2491</v>
      </c>
      <c r="G102" s="613" t="s">
        <v>2492</v>
      </c>
      <c r="H102" s="554"/>
      <c r="I102" s="554"/>
      <c r="J102" s="554"/>
      <c r="K102" s="554"/>
      <c r="L102" s="554"/>
      <c r="M102" s="1291"/>
      <c r="N102" s="2975"/>
      <c r="O102" s="2975"/>
      <c r="P102" s="2999"/>
      <c r="Q102" s="2966"/>
      <c r="R102" s="2967"/>
      <c r="S102" s="2967"/>
      <c r="T102" s="2967"/>
      <c r="U102" s="2967"/>
      <c r="V102" s="2967"/>
      <c r="W102" s="2967"/>
      <c r="X102" s="2967"/>
      <c r="Y102" s="2967"/>
      <c r="Z102" s="2967"/>
      <c r="AA102" s="2967"/>
      <c r="AB102" s="2967"/>
      <c r="AC102" s="2967"/>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75"/>
      <c r="O103" s="2975"/>
      <c r="P103" s="2999"/>
      <c r="Q103" s="2966"/>
      <c r="R103" s="2967"/>
      <c r="S103" s="2967"/>
      <c r="T103" s="2967"/>
      <c r="U103" s="2967"/>
      <c r="V103" s="2967"/>
      <c r="W103" s="2967"/>
      <c r="X103" s="2967"/>
      <c r="Y103" s="2967"/>
      <c r="Z103" s="2967"/>
      <c r="AA103" s="2967"/>
      <c r="AB103" s="2967"/>
      <c r="AC103" s="2967"/>
    </row>
    <row r="104" spans="1:29" ht="15.75" thickTop="1">
      <c r="A104" s="488"/>
      <c r="B104" s="492" t="str">
        <f>B31</f>
        <v>临街状况</v>
      </c>
      <c r="C104" s="493" t="s">
        <v>2600</v>
      </c>
      <c r="D104" s="493" t="s">
        <v>2601</v>
      </c>
      <c r="E104" s="493" t="s">
        <v>2602</v>
      </c>
      <c r="F104" s="493" t="s">
        <v>2603</v>
      </c>
      <c r="G104" s="493"/>
      <c r="H104" s="493"/>
      <c r="I104" s="493"/>
      <c r="J104" s="493"/>
      <c r="K104" s="494"/>
      <c r="L104" s="495"/>
      <c r="M104" s="496"/>
      <c r="N104" s="2973"/>
      <c r="O104" s="2973"/>
      <c r="P104" s="2998"/>
      <c r="Q104" s="2959"/>
      <c r="R104" s="2945"/>
      <c r="S104" s="2945"/>
      <c r="T104" s="2945"/>
      <c r="U104" s="2945"/>
      <c r="V104" s="2945"/>
      <c r="W104" s="2945"/>
      <c r="X104" s="2945"/>
      <c r="Y104" s="2945"/>
      <c r="Z104" s="2945"/>
      <c r="AA104" s="2945"/>
      <c r="AB104" s="2945"/>
      <c r="AC104" s="2945"/>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88"/>
      <c r="B106" s="492" t="s">
        <v>2504</v>
      </c>
      <c r="C106" s="508"/>
      <c r="D106" s="508"/>
      <c r="E106" s="508"/>
      <c r="F106" s="508"/>
      <c r="G106" s="508"/>
      <c r="H106" s="537"/>
      <c r="I106" s="537"/>
      <c r="J106" s="537"/>
      <c r="K106" s="538"/>
      <c r="L106" s="539"/>
      <c r="M106" s="540"/>
      <c r="N106" s="2973"/>
      <c r="O106" s="2973"/>
      <c r="P106" s="2998"/>
      <c r="Q106" s="2959"/>
      <c r="R106" s="2945"/>
      <c r="S106" s="2945"/>
      <c r="T106" s="2945"/>
      <c r="U106" s="2945"/>
      <c r="V106" s="2945"/>
      <c r="W106" s="2945"/>
      <c r="X106" s="2945"/>
      <c r="Y106" s="2945"/>
      <c r="Z106" s="2945"/>
      <c r="AA106" s="2945"/>
      <c r="AB106" s="2945"/>
      <c r="AC106" s="2945"/>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88"/>
      <c r="B108" s="492" t="s">
        <v>2563</v>
      </c>
      <c r="C108" s="537"/>
      <c r="D108" s="537"/>
      <c r="E108" s="537"/>
      <c r="F108" s="537"/>
      <c r="G108" s="537"/>
      <c r="H108" s="537"/>
      <c r="I108" s="537"/>
      <c r="J108" s="537"/>
      <c r="K108" s="538"/>
      <c r="L108" s="539"/>
      <c r="M108" s="540"/>
      <c r="N108" s="2973"/>
      <c r="O108" s="2973"/>
      <c r="P108" s="2998"/>
      <c r="Q108" s="2959"/>
      <c r="R108" s="2945"/>
      <c r="S108" s="2945"/>
      <c r="T108" s="2945"/>
      <c r="U108" s="2945"/>
      <c r="V108" s="2945"/>
      <c r="W108" s="2945"/>
      <c r="X108" s="2945"/>
      <c r="Y108" s="2945"/>
      <c r="Z108" s="2945"/>
      <c r="AA108" s="2945"/>
      <c r="AB108" s="2945"/>
      <c r="AC108" s="2945"/>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88"/>
      <c r="B110" s="500">
        <f>B35</f>
        <v>111</v>
      </c>
      <c r="C110" s="508"/>
      <c r="D110" s="508"/>
      <c r="E110" s="508"/>
      <c r="F110" s="508"/>
      <c r="G110" s="541"/>
      <c r="H110" s="541"/>
      <c r="I110" s="541"/>
      <c r="J110" s="541"/>
      <c r="K110" s="542"/>
      <c r="L110" s="543"/>
      <c r="M110" s="544"/>
      <c r="N110" s="2973"/>
      <c r="O110" s="2973"/>
      <c r="P110" s="2998"/>
      <c r="Q110" s="2959"/>
      <c r="R110" s="2945"/>
      <c r="S110" s="2945"/>
      <c r="T110" s="2945"/>
      <c r="U110" s="2945"/>
      <c r="V110" s="2945"/>
      <c r="W110" s="2945"/>
      <c r="X110" s="2945"/>
      <c r="Y110" s="2945"/>
      <c r="Z110" s="2945"/>
      <c r="AA110" s="2945"/>
      <c r="AB110" s="2945"/>
      <c r="AC110" s="2945"/>
    </row>
    <row r="111" spans="1:29" ht="15.75" thickBot="1">
      <c r="A111" s="488"/>
      <c r="B111" s="523"/>
      <c r="C111" s="514"/>
      <c r="D111" s="514"/>
      <c r="E111" s="514"/>
      <c r="F111" s="514"/>
      <c r="G111" s="545"/>
      <c r="H111" s="545"/>
      <c r="I111" s="545"/>
      <c r="J111" s="545"/>
      <c r="K111" s="545"/>
      <c r="L111" s="545"/>
      <c r="M111" s="546"/>
      <c r="N111" s="2974"/>
      <c r="O111" s="2974"/>
      <c r="P111" s="2998"/>
      <c r="Q111" s="2959"/>
      <c r="R111" s="2945"/>
      <c r="S111" s="2945"/>
      <c r="T111" s="2945"/>
      <c r="U111" s="2945"/>
      <c r="V111" s="2945"/>
      <c r="W111" s="2945"/>
      <c r="X111" s="2945"/>
      <c r="Y111" s="2945"/>
      <c r="Z111" s="2945"/>
      <c r="AA111" s="2945"/>
      <c r="AB111" s="2945"/>
      <c r="AC111" s="2945"/>
    </row>
    <row r="112" spans="1:29" ht="15" thickTop="1">
      <c r="A112" s="628"/>
      <c r="B112" s="492">
        <f>B36</f>
        <v>111</v>
      </c>
      <c r="C112" s="477"/>
      <c r="D112" s="477"/>
      <c r="E112" s="477"/>
      <c r="F112" s="477"/>
      <c r="G112" s="537"/>
      <c r="H112" s="537"/>
      <c r="I112" s="537"/>
      <c r="J112" s="537"/>
      <c r="K112" s="538"/>
      <c r="L112" s="539"/>
      <c r="M112" s="540"/>
      <c r="N112" s="2973"/>
      <c r="O112" s="2973"/>
      <c r="P112" s="2998"/>
      <c r="Q112" s="2959"/>
      <c r="R112" s="2945"/>
      <c r="S112" s="2945"/>
      <c r="T112" s="2945"/>
      <c r="U112" s="2945"/>
      <c r="V112" s="2945"/>
      <c r="W112" s="2945"/>
      <c r="X112" s="2945"/>
      <c r="Y112" s="2945"/>
      <c r="Z112" s="2945"/>
      <c r="AA112" s="2945"/>
      <c r="AB112" s="2945"/>
      <c r="AC112" s="2945"/>
    </row>
    <row r="113" spans="1:29" ht="15.75" thickBot="1">
      <c r="A113" s="488"/>
      <c r="B113" s="497"/>
      <c r="C113" s="524"/>
      <c r="D113" s="524"/>
      <c r="E113" s="524"/>
      <c r="F113" s="524"/>
      <c r="G113" s="490"/>
      <c r="H113" s="490"/>
      <c r="I113" s="490"/>
      <c r="J113" s="490"/>
      <c r="K113" s="490"/>
      <c r="L113" s="490"/>
      <c r="M113" s="491"/>
      <c r="N113" s="2974"/>
      <c r="O113" s="2974"/>
      <c r="P113" s="2998"/>
      <c r="Q113" s="2959"/>
      <c r="R113" s="2945"/>
      <c r="S113" s="2945"/>
      <c r="T113" s="2945"/>
      <c r="U113" s="2945"/>
      <c r="V113" s="2945"/>
      <c r="W113" s="2945"/>
      <c r="X113" s="2945"/>
      <c r="Y113" s="2945"/>
      <c r="Z113" s="2945"/>
      <c r="AA113" s="2945"/>
      <c r="AB113" s="2945"/>
      <c r="AC113" s="2945"/>
    </row>
    <row r="114" spans="1:29" s="427" customFormat="1" ht="15" thickTop="1">
      <c r="A114" s="547"/>
      <c r="B114" s="548">
        <f>B37</f>
        <v>111</v>
      </c>
      <c r="C114" s="549"/>
      <c r="D114" s="549"/>
      <c r="E114" s="549"/>
      <c r="F114" s="549"/>
      <c r="G114" s="549"/>
      <c r="H114" s="549"/>
      <c r="I114" s="549"/>
      <c r="J114" s="550"/>
      <c r="K114" s="550"/>
      <c r="L114" s="551"/>
      <c r="M114" s="552"/>
      <c r="N114" s="2975"/>
      <c r="O114" s="2975"/>
      <c r="P114" s="2999"/>
      <c r="Q114" s="2966"/>
      <c r="R114" s="2967"/>
      <c r="S114" s="2967"/>
      <c r="T114" s="2967"/>
      <c r="U114" s="2967"/>
      <c r="V114" s="2967"/>
      <c r="W114" s="2967"/>
      <c r="X114" s="2967"/>
      <c r="Y114" s="2967"/>
      <c r="Z114" s="2967"/>
      <c r="AA114" s="2967"/>
      <c r="AB114" s="2967"/>
      <c r="AC114" s="2967"/>
    </row>
    <row r="115" spans="1:29" s="427" customFormat="1" ht="15.75" thickBot="1">
      <c r="A115" s="507"/>
      <c r="B115" s="500"/>
      <c r="C115" s="466"/>
      <c r="D115" s="630"/>
      <c r="E115" s="630"/>
      <c r="F115" s="630"/>
      <c r="G115" s="630"/>
      <c r="H115" s="630"/>
      <c r="I115" s="630"/>
      <c r="J115" s="630"/>
      <c r="K115" s="630"/>
      <c r="L115" s="630"/>
      <c r="M115" s="652"/>
      <c r="N115" s="2974"/>
      <c r="O115" s="2974"/>
      <c r="P115" s="2999"/>
      <c r="Q115" s="2966"/>
      <c r="R115" s="2967"/>
      <c r="S115" s="2967"/>
      <c r="T115" s="2967"/>
      <c r="U115" s="2967"/>
      <c r="V115" s="2967"/>
      <c r="W115" s="2967"/>
      <c r="X115" s="2967"/>
      <c r="Y115" s="2967"/>
      <c r="Z115" s="2967"/>
      <c r="AA115" s="2967"/>
      <c r="AB115" s="2967"/>
      <c r="AC115" s="2967"/>
    </row>
    <row r="116" spans="1:29" ht="28.5">
      <c r="A116" s="481" t="s">
        <v>2376</v>
      </c>
      <c r="B116" s="482" t="s">
        <v>2604</v>
      </c>
      <c r="C116" s="483" t="str">
        <f>C117&amp;"(含)"&amp;"-"&amp;D117</f>
        <v>0(含)-10000</v>
      </c>
      <c r="D116" s="483" t="str">
        <f t="shared" ref="D116:M116" si="26">D117&amp;"(含)"&amp;"-"&amp;E117</f>
        <v>10000(含)-30000</v>
      </c>
      <c r="E116" s="483" t="str">
        <f t="shared" si="26"/>
        <v>30000(含)-50000</v>
      </c>
      <c r="F116" s="483" t="str">
        <f t="shared" si="26"/>
        <v>50000(含)-100000</v>
      </c>
      <c r="G116" s="483" t="str">
        <f t="shared" si="26"/>
        <v>100000(含)-</v>
      </c>
      <c r="H116" s="483" t="str">
        <f t="shared" si="26"/>
        <v>(含)-</v>
      </c>
      <c r="I116" s="483" t="str">
        <f t="shared" si="26"/>
        <v>(含)-</v>
      </c>
      <c r="J116" s="483" t="str">
        <f t="shared" si="26"/>
        <v>(含)-</v>
      </c>
      <c r="K116" s="483" t="str">
        <f t="shared" si="26"/>
        <v>(含)-</v>
      </c>
      <c r="L116" s="483" t="str">
        <f t="shared" si="26"/>
        <v>(含)-</v>
      </c>
      <c r="M116" s="483" t="str">
        <f t="shared" si="26"/>
        <v>(含)-</v>
      </c>
      <c r="N116" s="2973"/>
      <c r="O116" s="2973"/>
      <c r="P116" s="2998"/>
      <c r="Q116" s="2959"/>
      <c r="R116" s="2945"/>
      <c r="S116" s="2945"/>
      <c r="T116" s="2945"/>
      <c r="U116" s="2945"/>
      <c r="V116" s="2945"/>
      <c r="W116" s="2945"/>
      <c r="X116" s="2945"/>
      <c r="Y116" s="2945"/>
      <c r="Z116" s="2945"/>
      <c r="AA116" s="2945"/>
      <c r="AB116" s="2945"/>
      <c r="AC116" s="2945"/>
    </row>
    <row r="117" spans="1:29" ht="15">
      <c r="A117" s="488"/>
      <c r="B117" s="500"/>
      <c r="C117" s="549">
        <v>0</v>
      </c>
      <c r="D117" s="549">
        <v>10000</v>
      </c>
      <c r="E117" s="549">
        <v>30000</v>
      </c>
      <c r="F117" s="549">
        <v>50000</v>
      </c>
      <c r="G117" s="549">
        <v>100000</v>
      </c>
      <c r="H117" s="549"/>
      <c r="I117" s="549"/>
      <c r="J117" s="550"/>
      <c r="K117" s="550"/>
      <c r="L117" s="551"/>
      <c r="M117" s="552"/>
      <c r="N117" s="2973"/>
      <c r="O117" s="2973"/>
      <c r="P117" s="2998"/>
      <c r="Q117" s="2959"/>
      <c r="R117" s="2945"/>
      <c r="S117" s="2945"/>
      <c r="T117" s="2945"/>
      <c r="U117" s="2945"/>
      <c r="V117" s="2945"/>
      <c r="W117" s="2945"/>
      <c r="X117" s="2945"/>
      <c r="Y117" s="2945"/>
      <c r="Z117" s="2945"/>
      <c r="AA117" s="2945"/>
      <c r="AB117" s="2945"/>
      <c r="AC117" s="2945"/>
    </row>
    <row r="118" spans="1:29" ht="15.75" thickBot="1">
      <c r="A118" s="488"/>
      <c r="B118" s="497"/>
      <c r="C118" s="524">
        <v>100</v>
      </c>
      <c r="D118" s="545">
        <v>102</v>
      </c>
      <c r="E118" s="545">
        <v>104</v>
      </c>
      <c r="F118" s="545">
        <v>106</v>
      </c>
      <c r="G118" s="545"/>
      <c r="H118" s="545"/>
      <c r="I118" s="545"/>
      <c r="J118" s="545"/>
      <c r="K118" s="545"/>
      <c r="L118" s="545"/>
      <c r="M118" s="546"/>
      <c r="N118" s="2974"/>
      <c r="O118" s="2974"/>
      <c r="P118" s="2998"/>
      <c r="Q118" s="2959"/>
      <c r="R118" s="2945"/>
      <c r="S118" s="2945"/>
      <c r="T118" s="2945"/>
      <c r="U118" s="2945"/>
      <c r="V118" s="2945"/>
      <c r="W118" s="2945"/>
      <c r="X118" s="2945"/>
      <c r="Y118" s="2945"/>
      <c r="Z118" s="2945"/>
      <c r="AA118" s="2945"/>
      <c r="AB118" s="2945"/>
      <c r="AC118" s="2945"/>
    </row>
    <row r="119" spans="1:29" ht="15" thickTop="1">
      <c r="A119" s="553"/>
      <c r="B119" s="492" t="s">
        <v>2605</v>
      </c>
      <c r="C119" s="3433" t="s">
        <v>3309</v>
      </c>
      <c r="D119" s="3433" t="s">
        <v>3311</v>
      </c>
      <c r="E119" s="3433" t="s">
        <v>3312</v>
      </c>
      <c r="F119" s="537"/>
      <c r="G119" s="537"/>
      <c r="H119" s="537"/>
      <c r="I119" s="537"/>
      <c r="J119" s="537"/>
      <c r="K119" s="538"/>
      <c r="L119" s="539"/>
      <c r="M119" s="540"/>
      <c r="N119" s="2973"/>
      <c r="O119" s="2973"/>
      <c r="P119" s="2998"/>
      <c r="Q119" s="2959"/>
      <c r="R119" s="2945"/>
      <c r="S119" s="2945"/>
      <c r="T119" s="2945"/>
      <c r="U119" s="2945"/>
      <c r="V119" s="2945"/>
      <c r="W119" s="2945"/>
      <c r="X119" s="2945"/>
      <c r="Y119" s="2945"/>
      <c r="Z119" s="2945"/>
      <c r="AA119" s="2945"/>
      <c r="AB119" s="2945"/>
      <c r="AC119" s="2945"/>
    </row>
    <row r="120" spans="1:29" ht="15.75" thickBot="1">
      <c r="A120" s="488"/>
      <c r="B120" s="497"/>
      <c r="C120" s="498">
        <v>100</v>
      </c>
      <c r="D120" s="498">
        <f t="shared" ref="D120:M120" si="27">C120-$K39</f>
        <v>99</v>
      </c>
      <c r="E120" s="498">
        <f t="shared" si="27"/>
        <v>98</v>
      </c>
      <c r="F120" s="498">
        <f t="shared" si="27"/>
        <v>97</v>
      </c>
      <c r="G120" s="498">
        <f t="shared" si="27"/>
        <v>96</v>
      </c>
      <c r="H120" s="498">
        <f t="shared" si="27"/>
        <v>95</v>
      </c>
      <c r="I120" s="498">
        <f t="shared" si="27"/>
        <v>94</v>
      </c>
      <c r="J120" s="498">
        <f t="shared" si="27"/>
        <v>93</v>
      </c>
      <c r="K120" s="498">
        <f t="shared" si="27"/>
        <v>92</v>
      </c>
      <c r="L120" s="498">
        <f t="shared" si="27"/>
        <v>91</v>
      </c>
      <c r="M120" s="499">
        <f t="shared" si="27"/>
        <v>90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3"/>
      <c r="B121" s="492" t="s">
        <v>2606</v>
      </c>
      <c r="C121" s="3049" t="s">
        <v>3313</v>
      </c>
      <c r="D121" s="3049" t="s">
        <v>3315</v>
      </c>
      <c r="E121" s="3049" t="s">
        <v>3312</v>
      </c>
      <c r="F121" s="537"/>
      <c r="G121" s="537"/>
      <c r="H121" s="537"/>
      <c r="I121" s="537"/>
      <c r="J121" s="537"/>
      <c r="K121" s="538"/>
      <c r="L121" s="539"/>
      <c r="M121" s="540"/>
      <c r="N121" s="2973"/>
      <c r="O121" s="2973"/>
      <c r="P121" s="2998"/>
      <c r="Q121" s="2959"/>
      <c r="R121" s="2945"/>
      <c r="S121" s="2945"/>
      <c r="T121" s="2945"/>
      <c r="U121" s="2945"/>
      <c r="V121" s="2945"/>
      <c r="W121" s="2945"/>
      <c r="X121" s="2945"/>
      <c r="Y121" s="2945"/>
      <c r="Z121" s="2945"/>
      <c r="AA121" s="2945"/>
      <c r="AB121" s="2945"/>
      <c r="AC121" s="2945"/>
    </row>
    <row r="122" spans="1:29" ht="15.75" thickBot="1">
      <c r="A122" s="488"/>
      <c r="B122" s="497"/>
      <c r="C122" s="498">
        <v>100</v>
      </c>
      <c r="D122" s="498">
        <f t="shared" ref="D122:M122" si="28">C122-$K40</f>
        <v>99</v>
      </c>
      <c r="E122" s="498">
        <f t="shared" si="28"/>
        <v>98</v>
      </c>
      <c r="F122" s="498">
        <f t="shared" si="28"/>
        <v>97</v>
      </c>
      <c r="G122" s="498">
        <f t="shared" si="28"/>
        <v>96</v>
      </c>
      <c r="H122" s="498">
        <f t="shared" si="28"/>
        <v>95</v>
      </c>
      <c r="I122" s="498">
        <f t="shared" si="28"/>
        <v>94</v>
      </c>
      <c r="J122" s="498">
        <f t="shared" si="28"/>
        <v>93</v>
      </c>
      <c r="K122" s="498">
        <f t="shared" si="28"/>
        <v>92</v>
      </c>
      <c r="L122" s="498">
        <f t="shared" si="28"/>
        <v>91</v>
      </c>
      <c r="M122" s="499">
        <f t="shared" si="28"/>
        <v>90</v>
      </c>
      <c r="N122" s="2974"/>
      <c r="O122" s="2974"/>
      <c r="P122" s="2998"/>
      <c r="Q122" s="2959"/>
      <c r="R122" s="2945"/>
      <c r="S122" s="2945"/>
      <c r="T122" s="2945"/>
      <c r="U122" s="2945"/>
      <c r="V122" s="2945"/>
      <c r="W122" s="2945"/>
      <c r="X122" s="2945"/>
      <c r="Y122" s="2945"/>
      <c r="Z122" s="2945"/>
      <c r="AA122" s="2945"/>
      <c r="AB122" s="2945"/>
      <c r="AC122" s="2945"/>
    </row>
    <row r="123" spans="1:29" s="427" customFormat="1" ht="15" thickTop="1">
      <c r="A123" s="547"/>
      <c r="B123" s="492" t="s">
        <v>2607</v>
      </c>
      <c r="C123" s="508" t="str">
        <f>C102</f>
        <v>七通</v>
      </c>
      <c r="D123" s="508" t="str">
        <f>D102</f>
        <v>六通</v>
      </c>
      <c r="E123" s="508" t="str">
        <f>E102</f>
        <v>五通</v>
      </c>
      <c r="F123" s="508" t="str">
        <f>F102</f>
        <v>四通</v>
      </c>
      <c r="G123" s="508" t="str">
        <f>G102</f>
        <v>三通</v>
      </c>
      <c r="H123" s="537"/>
      <c r="I123" s="537"/>
      <c r="J123" s="537"/>
      <c r="K123" s="538"/>
      <c r="L123" s="539"/>
      <c r="M123" s="540"/>
      <c r="N123" s="2975"/>
      <c r="O123" s="2975"/>
      <c r="P123" s="2999"/>
      <c r="Q123" s="2966"/>
      <c r="R123" s="2967"/>
      <c r="S123" s="2967"/>
      <c r="T123" s="2967"/>
      <c r="U123" s="2967"/>
      <c r="V123" s="2967"/>
      <c r="W123" s="2967"/>
      <c r="X123" s="2967"/>
      <c r="Y123" s="2967"/>
      <c r="Z123" s="2967"/>
      <c r="AA123" s="2967"/>
      <c r="AB123" s="2967"/>
      <c r="AC123" s="2967"/>
    </row>
    <row r="124" spans="1:29" s="427" customFormat="1" ht="15.75" thickBot="1">
      <c r="A124" s="507"/>
      <c r="B124" s="497"/>
      <c r="C124" s="498">
        <v>100</v>
      </c>
      <c r="D124" s="498">
        <f>C124-$K41</f>
        <v>99</v>
      </c>
      <c r="E124" s="498">
        <f t="shared" ref="E124:M124" si="29">D124-$K41</f>
        <v>98</v>
      </c>
      <c r="F124" s="498">
        <f t="shared" si="29"/>
        <v>97</v>
      </c>
      <c r="G124" s="498">
        <f t="shared" si="29"/>
        <v>96</v>
      </c>
      <c r="H124" s="498">
        <f t="shared" si="29"/>
        <v>95</v>
      </c>
      <c r="I124" s="498">
        <f t="shared" si="29"/>
        <v>94</v>
      </c>
      <c r="J124" s="498">
        <f t="shared" si="29"/>
        <v>93</v>
      </c>
      <c r="K124" s="498">
        <f t="shared" si="29"/>
        <v>92</v>
      </c>
      <c r="L124" s="498">
        <f t="shared" si="29"/>
        <v>91</v>
      </c>
      <c r="M124" s="499">
        <f t="shared" si="29"/>
        <v>90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3"/>
      <c r="B125" s="492" t="s">
        <v>2608</v>
      </c>
      <c r="C125" s="508" t="str">
        <f>C100</f>
        <v>好</v>
      </c>
      <c r="D125" s="508" t="str">
        <f>D100</f>
        <v>较好</v>
      </c>
      <c r="E125" s="508" t="str">
        <f>E100</f>
        <v>一般</v>
      </c>
      <c r="F125" s="508" t="str">
        <f>F100</f>
        <v>较差</v>
      </c>
      <c r="G125" s="508" t="str">
        <f>G100</f>
        <v>差</v>
      </c>
      <c r="H125" s="537"/>
      <c r="I125" s="537"/>
      <c r="J125" s="537"/>
      <c r="K125" s="538"/>
      <c r="L125" s="539"/>
      <c r="M125" s="540"/>
      <c r="N125" s="2973"/>
      <c r="O125" s="2973"/>
      <c r="P125" s="2998"/>
      <c r="Q125" s="2959"/>
      <c r="R125" s="2945"/>
      <c r="S125" s="2945"/>
      <c r="T125" s="2945"/>
      <c r="U125" s="2945"/>
      <c r="V125" s="2945"/>
      <c r="W125" s="2945"/>
      <c r="X125" s="2945"/>
      <c r="Y125" s="2945"/>
      <c r="Z125" s="2945"/>
      <c r="AA125" s="2945"/>
      <c r="AB125" s="2945"/>
      <c r="AC125" s="2945"/>
    </row>
    <row r="126" spans="1:29" ht="15.75" thickBot="1">
      <c r="A126" s="488"/>
      <c r="B126" s="497"/>
      <c r="C126" s="498">
        <v>100</v>
      </c>
      <c r="D126" s="498">
        <f t="shared" ref="D126:M126" si="30">C126-$K42</f>
        <v>99</v>
      </c>
      <c r="E126" s="498">
        <f t="shared" si="30"/>
        <v>98</v>
      </c>
      <c r="F126" s="498">
        <f t="shared" si="30"/>
        <v>97</v>
      </c>
      <c r="G126" s="498">
        <f t="shared" si="30"/>
        <v>96</v>
      </c>
      <c r="H126" s="498">
        <f t="shared" si="30"/>
        <v>95</v>
      </c>
      <c r="I126" s="498">
        <f t="shared" si="30"/>
        <v>94</v>
      </c>
      <c r="J126" s="498">
        <f t="shared" si="30"/>
        <v>93</v>
      </c>
      <c r="K126" s="498">
        <f t="shared" si="30"/>
        <v>92</v>
      </c>
      <c r="L126" s="498">
        <f t="shared" si="30"/>
        <v>91</v>
      </c>
      <c r="M126" s="499">
        <f t="shared" si="30"/>
        <v>90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3"/>
      <c r="B127" s="492">
        <f>B43</f>
        <v>111</v>
      </c>
      <c r="C127" s="508"/>
      <c r="D127" s="508"/>
      <c r="E127" s="508"/>
      <c r="F127" s="508"/>
      <c r="G127" s="508"/>
      <c r="H127" s="537"/>
      <c r="I127" s="537"/>
      <c r="J127" s="537"/>
      <c r="K127" s="538"/>
      <c r="L127" s="539"/>
      <c r="M127" s="540"/>
      <c r="N127" s="2973"/>
      <c r="O127" s="2973"/>
      <c r="P127" s="2998"/>
      <c r="Q127" s="2959"/>
      <c r="R127" s="2945"/>
      <c r="S127" s="2945"/>
      <c r="T127" s="2945"/>
      <c r="U127" s="2945"/>
      <c r="V127" s="2945"/>
      <c r="W127" s="2945"/>
      <c r="X127" s="2945"/>
      <c r="Y127" s="2945"/>
      <c r="Z127" s="2945"/>
      <c r="AA127" s="2945"/>
      <c r="AB127" s="2945"/>
      <c r="AC127" s="2945"/>
    </row>
    <row r="128" spans="1:29" ht="15.75" thickBot="1">
      <c r="A128" s="488"/>
      <c r="B128" s="497"/>
      <c r="C128" s="514"/>
      <c r="D128" s="514"/>
      <c r="E128" s="514"/>
      <c r="F128" s="514"/>
      <c r="G128" s="490"/>
      <c r="H128" s="490"/>
      <c r="I128" s="490"/>
      <c r="J128" s="490"/>
      <c r="K128" s="490"/>
      <c r="L128" s="490"/>
      <c r="M128" s="491"/>
      <c r="N128" s="2974"/>
      <c r="O128" s="2974"/>
      <c r="P128" s="2998"/>
      <c r="Q128" s="2959"/>
      <c r="R128" s="2945"/>
      <c r="S128" s="2945"/>
      <c r="T128" s="2945"/>
      <c r="U128" s="2945"/>
      <c r="V128" s="2945"/>
      <c r="W128" s="2945"/>
      <c r="X128" s="2945"/>
      <c r="Y128" s="2945"/>
      <c r="Z128" s="2945"/>
      <c r="AA128" s="2945"/>
      <c r="AB128" s="2945"/>
      <c r="AC128" s="2945"/>
    </row>
    <row r="129" spans="1:29" ht="15" thickTop="1">
      <c r="A129" s="553"/>
      <c r="B129" s="492">
        <f>B44</f>
        <v>111</v>
      </c>
      <c r="C129" s="477"/>
      <c r="D129" s="477"/>
      <c r="E129" s="477"/>
      <c r="F129" s="477"/>
      <c r="G129" s="537"/>
      <c r="H129" s="537"/>
      <c r="I129" s="537"/>
      <c r="J129" s="537"/>
      <c r="K129" s="538"/>
      <c r="L129" s="539"/>
      <c r="M129" s="540"/>
      <c r="N129" s="2973"/>
      <c r="O129" s="2973"/>
      <c r="P129" s="2998"/>
      <c r="Q129" s="2959"/>
      <c r="R129" s="2945"/>
      <c r="S129" s="2945"/>
      <c r="T129" s="2945"/>
      <c r="U129" s="2945"/>
      <c r="V129" s="2945"/>
      <c r="W129" s="2945"/>
      <c r="X129" s="2945"/>
      <c r="Y129" s="2945"/>
      <c r="Z129" s="2945"/>
      <c r="AA129" s="2945"/>
      <c r="AB129" s="2945"/>
      <c r="AC129" s="2945"/>
    </row>
    <row r="130" spans="1:29" ht="15.75" thickBot="1">
      <c r="A130" s="488"/>
      <c r="B130" s="497"/>
      <c r="C130" s="524"/>
      <c r="D130" s="524"/>
      <c r="E130" s="524"/>
      <c r="F130" s="524"/>
      <c r="G130" s="490"/>
      <c r="H130" s="490"/>
      <c r="I130" s="490"/>
      <c r="J130" s="490"/>
      <c r="K130" s="490"/>
      <c r="L130" s="490"/>
      <c r="M130" s="491"/>
      <c r="N130" s="2974"/>
      <c r="O130" s="2974"/>
      <c r="P130" s="2998"/>
      <c r="Q130" s="2959"/>
      <c r="R130" s="2945"/>
      <c r="S130" s="2945"/>
      <c r="T130" s="2945"/>
      <c r="U130" s="2945"/>
      <c r="V130" s="2945"/>
      <c r="W130" s="2945"/>
      <c r="X130" s="2945"/>
      <c r="Y130" s="2945"/>
      <c r="Z130" s="2945"/>
      <c r="AA130" s="2945"/>
      <c r="AB130" s="2945"/>
      <c r="AC130" s="2945"/>
    </row>
    <row r="131" spans="1:29" s="427" customFormat="1" ht="15" thickTop="1">
      <c r="A131" s="547"/>
      <c r="B131" s="492">
        <f>B45</f>
        <v>111</v>
      </c>
      <c r="C131" s="477"/>
      <c r="D131" s="477"/>
      <c r="E131" s="477"/>
      <c r="F131" s="477"/>
      <c r="G131" s="509"/>
      <c r="H131" s="509"/>
      <c r="I131" s="509"/>
      <c r="J131" s="509"/>
      <c r="K131" s="509"/>
      <c r="L131" s="510"/>
      <c r="M131" s="511"/>
      <c r="N131" s="2975"/>
      <c r="O131" s="2975"/>
      <c r="P131" s="2999"/>
      <c r="Q131" s="2966"/>
      <c r="R131" s="2967"/>
      <c r="S131" s="2967"/>
      <c r="T131" s="2967"/>
      <c r="U131" s="2967"/>
      <c r="V131" s="2967"/>
      <c r="W131" s="2967"/>
      <c r="X131" s="2967"/>
      <c r="Y131" s="2967"/>
      <c r="Z131" s="2967"/>
      <c r="AA131" s="2967"/>
      <c r="AB131" s="2967"/>
      <c r="AC131" s="2967"/>
    </row>
    <row r="132" spans="1:29" s="427" customFormat="1" ht="15.75" thickBot="1">
      <c r="A132" s="522"/>
      <c r="B132" s="653"/>
      <c r="C132" s="524"/>
      <c r="D132" s="524"/>
      <c r="E132" s="524"/>
      <c r="F132" s="524"/>
      <c r="G132" s="545"/>
      <c r="H132" s="545"/>
      <c r="I132" s="545"/>
      <c r="J132" s="545"/>
      <c r="K132" s="545"/>
      <c r="L132" s="545"/>
      <c r="M132" s="546"/>
      <c r="N132" s="2975"/>
      <c r="O132" s="2975"/>
      <c r="P132" s="2999"/>
      <c r="Q132" s="2966"/>
      <c r="R132" s="2967"/>
      <c r="S132" s="2967"/>
      <c r="T132" s="2967"/>
      <c r="U132" s="2967"/>
      <c r="V132" s="2967"/>
      <c r="W132" s="2967"/>
      <c r="X132" s="2967"/>
      <c r="Y132" s="2967"/>
      <c r="Z132" s="2967"/>
      <c r="AA132" s="2967"/>
      <c r="AB132" s="2967"/>
      <c r="AC132" s="296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formula1>公共配套设施</formula1>
    </dataValidation>
    <dataValidation type="list" allowBlank="1" showInputMessage="1" showErrorMessage="1" sqref="E22 C22">
      <formula1>交通便捷度</formula1>
    </dataValidation>
    <dataValidation type="list" allowBlank="1" showInputMessage="1" showErrorMessage="1" sqref="C16 E16 G16 I16">
      <formula1>居住社区成熟度</formula1>
    </dataValidation>
    <dataValidation type="list" allowBlank="1" showInputMessage="1" showErrorMessage="1" sqref="C26 G26 E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I28 C18 E18 G18 G22 I18 G28 I22">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G40 E40 I40">
      <formula1>套综临街宽度及深度</formula1>
    </dataValidation>
    <dataValidation type="list" allowBlank="1" showInputMessage="1" showErrorMessage="1" sqref="C41 G41 E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G24 E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G30 E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90" zoomScaleNormal="70" zoomScaleSheetLayoutView="90" workbookViewId="0">
      <selection activeCell="C5" sqref="C5"/>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2142</v>
      </c>
      <c r="B1" s="1652"/>
      <c r="C1" s="201"/>
      <c r="D1" s="201"/>
      <c r="E1" s="201"/>
      <c r="F1" s="201"/>
      <c r="G1" s="1285">
        <f>MATCH(B1,'数据-取费表'!A6:A16,0)+5</f>
        <v>7</v>
      </c>
    </row>
    <row r="2" spans="1:9" s="203" customFormat="1" ht="18" customHeight="1">
      <c r="A2" s="204" t="s">
        <v>2143</v>
      </c>
      <c r="B2" s="205">
        <f ca="1">IF(D2="——",C52,C52-E2)</f>
        <v>77417</v>
      </c>
      <c r="C2" s="202" t="s">
        <v>2144</v>
      </c>
      <c r="D2" s="2035" t="s">
        <v>70</v>
      </c>
      <c r="E2" s="1328" t="e">
        <f ca="1">SUMIF(INDIRECT("'"&amp;G2&amp;"'"&amp;"!A:A"),"承租人权益价值",INDIRECT("'"&amp;G2&amp;"'"&amp;"!c:c"))</f>
        <v>#REF!</v>
      </c>
      <c r="F2" s="2036" t="s">
        <v>2144</v>
      </c>
      <c r="G2" s="2037"/>
    </row>
    <row r="3" spans="1:9" s="203" customFormat="1" ht="18" customHeight="1" thickBot="1">
      <c r="A3" s="206" t="s">
        <v>2145</v>
      </c>
      <c r="B3" s="207">
        <f ca="1">ROUND(B2*10000/(IF(B1="",'数据-汇总表'!E3,INDIRECT("'数据-取费表'!k"&amp;$G$1))),0)</f>
        <v>7983</v>
      </c>
      <c r="C3" s="202" t="s">
        <v>2146</v>
      </c>
      <c r="D3" s="202"/>
      <c r="E3" s="202"/>
      <c r="F3" s="202"/>
      <c r="G3" s="202"/>
    </row>
    <row r="4" spans="1:9" s="211" customFormat="1" ht="15.75">
      <c r="A4" s="208" t="s">
        <v>2147</v>
      </c>
      <c r="B4" s="209"/>
      <c r="C4" s="209"/>
      <c r="D4" s="209"/>
      <c r="E4" s="209"/>
      <c r="F4" s="209"/>
      <c r="G4" s="210"/>
    </row>
    <row r="5" spans="1:9" s="217" customFormat="1" ht="13.5" customHeight="1">
      <c r="A5" s="258" t="s">
        <v>2148</v>
      </c>
      <c r="B5" s="213" t="s">
        <v>2149</v>
      </c>
      <c r="C5" s="214">
        <f>C6+C7+C8</f>
        <v>15534</v>
      </c>
      <c r="D5" s="214" t="s">
        <v>2150</v>
      </c>
      <c r="E5" s="215" t="s">
        <v>2151</v>
      </c>
      <c r="F5" s="215" t="s">
        <v>2152</v>
      </c>
      <c r="G5" s="216"/>
    </row>
    <row r="6" spans="1:9" s="217" customFormat="1" ht="13.5" customHeight="1">
      <c r="A6" s="883" t="s">
        <v>2153</v>
      </c>
      <c r="B6" s="218" t="s">
        <v>2154</v>
      </c>
      <c r="C6" s="219">
        <f>'土地比较法-住宅、综合'!F56</f>
        <v>14651</v>
      </c>
      <c r="D6" s="220"/>
      <c r="E6" s="221"/>
      <c r="F6" s="221"/>
      <c r="G6" s="222"/>
    </row>
    <row r="7" spans="1:9" s="217" customFormat="1" ht="13.5" customHeight="1">
      <c r="A7" s="883" t="s">
        <v>2155</v>
      </c>
      <c r="B7" s="218" t="s">
        <v>2156</v>
      </c>
      <c r="C7" s="223">
        <f>ROUND(C6*F7,0)</f>
        <v>447</v>
      </c>
      <c r="D7" s="223"/>
      <c r="E7" s="221"/>
      <c r="F7" s="224">
        <f>IF(项目基本情况!B8="出让",0,'数据-取费表'!B48+'数据-取费表'!B49)</f>
        <v>3.0499999999999999E-2</v>
      </c>
      <c r="G7" s="222"/>
    </row>
    <row r="8" spans="1:9" s="226" customFormat="1">
      <c r="A8" s="883" t="s">
        <v>2157</v>
      </c>
      <c r="B8" s="218" t="s">
        <v>2158</v>
      </c>
      <c r="C8" s="223">
        <f>IF(G8="已包含在土地购买价格中","0",IF(B1="",'数据-取费表'!B29,IF(G9="全部缴纳",C9+C10,H9)))</f>
        <v>436</v>
      </c>
      <c r="D8" s="225"/>
      <c r="E8" s="223"/>
      <c r="F8" s="224"/>
      <c r="G8" s="2038" t="s">
        <v>3063</v>
      </c>
    </row>
    <row r="9" spans="1:9" s="217" customFormat="1" ht="13.5" customHeight="1">
      <c r="A9" s="884" t="s">
        <v>800</v>
      </c>
      <c r="B9" s="227" t="s">
        <v>2159</v>
      </c>
      <c r="C9" s="228">
        <f ca="1">ROUND(D9*E9/10000,0)</f>
        <v>0</v>
      </c>
      <c r="D9" s="951">
        <f ca="1">IF(B1="",'数据-汇总表'!E5,IF(INDIRECT("'数据-取费表'!c"&amp;$G$1)="住宅",INDIRECT("'数据-取费表'!k"&amp;$G$1),0))</f>
        <v>0</v>
      </c>
      <c r="E9" s="228">
        <f>'数据-取费表'!B27</f>
        <v>0</v>
      </c>
      <c r="F9" s="224"/>
      <c r="G9" s="2039" t="s">
        <v>3317</v>
      </c>
      <c r="H9" s="1296"/>
      <c r="I9" s="2040" t="s">
        <v>2160</v>
      </c>
    </row>
    <row r="10" spans="1:9" s="217" customFormat="1" ht="13.5" customHeight="1">
      <c r="A10" s="884" t="s">
        <v>801</v>
      </c>
      <c r="B10" s="227" t="s">
        <v>2161</v>
      </c>
      <c r="C10" s="228">
        <f ca="1">ROUND(D10*E10/10000,0)</f>
        <v>436</v>
      </c>
      <c r="D10" s="951">
        <f ca="1">IF(B1="",'数据-汇总表'!E6,IF(INDIRECT("'数据-取费表'!c"&amp;$G$1)="住宅",INDIRECT("'数据-取费表'!s"&amp;$G$1),INDIRECT("'数据-取费表'!k"&amp;$G$1)+INDIRECT("'数据-取费表'!s"&amp;$G$1)))</f>
        <v>96983.22</v>
      </c>
      <c r="E10" s="228">
        <f>'数据-取费表'!B28</f>
        <v>45</v>
      </c>
      <c r="F10" s="224"/>
      <c r="G10" s="229"/>
    </row>
    <row r="11" spans="1:9" s="217" customFormat="1" ht="13.5" hidden="1" customHeight="1">
      <c r="A11" s="230" t="s">
        <v>7</v>
      </c>
      <c r="B11" s="218" t="s">
        <v>2162</v>
      </c>
      <c r="C11" s="214"/>
      <c r="D11" s="953"/>
      <c r="E11" s="221"/>
      <c r="F11" s="221"/>
      <c r="G11" s="222"/>
    </row>
    <row r="12" spans="1:9" s="217" customFormat="1" ht="13.5" hidden="1" customHeight="1">
      <c r="A12" s="230" t="s">
        <v>8</v>
      </c>
      <c r="B12" s="218" t="s">
        <v>2163</v>
      </c>
      <c r="C12" s="214">
        <v>0</v>
      </c>
      <c r="D12" s="953"/>
      <c r="E12" s="231"/>
      <c r="F12" s="224">
        <v>3.0499999999999999E-2</v>
      </c>
      <c r="G12" s="222"/>
    </row>
    <row r="13" spans="1:9" s="217" customFormat="1" ht="13.5" hidden="1" customHeight="1">
      <c r="A13" s="230" t="s">
        <v>9</v>
      </c>
      <c r="B13" s="218" t="s">
        <v>2164</v>
      </c>
      <c r="C13" s="214"/>
      <c r="D13" s="953"/>
      <c r="E13" s="221"/>
      <c r="F13" s="221"/>
      <c r="G13" s="222"/>
    </row>
    <row r="14" spans="1:9" s="217" customFormat="1" ht="13.5" hidden="1" customHeight="1">
      <c r="A14" s="230" t="s">
        <v>10</v>
      </c>
      <c r="B14" s="218" t="s">
        <v>2165</v>
      </c>
      <c r="C14" s="214"/>
      <c r="D14" s="953"/>
      <c r="E14" s="221"/>
      <c r="F14" s="221"/>
      <c r="G14" s="222" t="s">
        <v>2166</v>
      </c>
    </row>
    <row r="15" spans="1:9" s="217" customFormat="1" ht="13.5" hidden="1" customHeight="1">
      <c r="A15" s="230" t="s">
        <v>11</v>
      </c>
      <c r="B15" s="218" t="s">
        <v>2167</v>
      </c>
      <c r="C15" s="223"/>
      <c r="D15" s="953"/>
      <c r="E15" s="221"/>
      <c r="F15" s="221"/>
      <c r="G15" s="222" t="s">
        <v>2168</v>
      </c>
    </row>
    <row r="16" spans="1:9" s="217" customFormat="1" ht="13.5" hidden="1" customHeight="1">
      <c r="A16" s="230" t="s">
        <v>12</v>
      </c>
      <c r="B16" s="218" t="s">
        <v>2165</v>
      </c>
      <c r="C16" s="223"/>
      <c r="D16" s="953"/>
      <c r="E16" s="221"/>
      <c r="F16" s="221"/>
      <c r="G16" s="222"/>
    </row>
    <row r="17" spans="1:7" s="217" customFormat="1" ht="13.5" hidden="1" customHeight="1">
      <c r="A17" s="230" t="s">
        <v>13</v>
      </c>
      <c r="B17" s="218" t="s">
        <v>2169</v>
      </c>
      <c r="C17" s="232"/>
      <c r="D17" s="954"/>
      <c r="E17" s="232"/>
      <c r="F17" s="232"/>
      <c r="G17" s="222" t="s">
        <v>2168</v>
      </c>
    </row>
    <row r="18" spans="1:7" s="217" customFormat="1" ht="13.5" hidden="1" customHeight="1">
      <c r="A18" s="230" t="s">
        <v>14</v>
      </c>
      <c r="B18" s="218" t="s">
        <v>2170</v>
      </c>
      <c r="C18" s="223">
        <v>0</v>
      </c>
      <c r="D18" s="953"/>
      <c r="E18" s="221"/>
      <c r="F18" s="224">
        <v>3.0499999999999999E-2</v>
      </c>
      <c r="G18" s="222" t="s">
        <v>2171</v>
      </c>
    </row>
    <row r="19" spans="1:7" s="226" customFormat="1" ht="13.5" customHeight="1">
      <c r="A19" s="258" t="s">
        <v>2172</v>
      </c>
      <c r="B19" s="213" t="s">
        <v>2173</v>
      </c>
      <c r="C19" s="214" t="str">
        <f>IF(G19="已包含在土地取得成本中","0",ROUND(D19*E19/10000,0))</f>
        <v>0</v>
      </c>
      <c r="D19" s="955">
        <f ca="1">D9+D10</f>
        <v>96983.22</v>
      </c>
      <c r="E19" s="214">
        <f>'数据-取费表'!B31</f>
        <v>200</v>
      </c>
      <c r="F19" s="234"/>
      <c r="G19" s="2038" t="s">
        <v>3064</v>
      </c>
    </row>
    <row r="20" spans="1:7" s="217" customFormat="1" ht="13.5" customHeight="1">
      <c r="A20" s="258" t="s">
        <v>2174</v>
      </c>
      <c r="B20" s="213" t="s">
        <v>2175</v>
      </c>
      <c r="C20" s="235">
        <f>ROUND((C5+C19)*F20,0)</f>
        <v>311</v>
      </c>
      <c r="D20" s="235"/>
      <c r="E20" s="235"/>
      <c r="F20" s="236">
        <f>'数据-取费表'!B37</f>
        <v>0.02</v>
      </c>
      <c r="G20" s="237" t="s">
        <v>2176</v>
      </c>
    </row>
    <row r="21" spans="1:7" s="217" customFormat="1" ht="13.5" customHeight="1">
      <c r="A21" s="258" t="s">
        <v>2177</v>
      </c>
      <c r="B21" s="213" t="s">
        <v>2178</v>
      </c>
      <c r="C21" s="238">
        <f>F21</f>
        <v>0.02</v>
      </c>
      <c r="D21" s="239" t="s">
        <v>2179</v>
      </c>
      <c r="E21" s="235"/>
      <c r="F21" s="236">
        <f>'数据-取费表'!B38</f>
        <v>0.02</v>
      </c>
      <c r="G21" s="237" t="s">
        <v>2180</v>
      </c>
    </row>
    <row r="22" spans="1:7" s="217" customFormat="1" ht="13.5" customHeight="1">
      <c r="A22" s="258" t="s">
        <v>2181</v>
      </c>
      <c r="B22" s="213" t="s">
        <v>2182</v>
      </c>
      <c r="C22" s="1261">
        <f ca="1">ROUND(SUM(C23:C25),0)</f>
        <v>1395</v>
      </c>
      <c r="D22" s="238">
        <f ca="1">C26</f>
        <v>8.9999999999999998E-4</v>
      </c>
      <c r="E22" s="239" t="s">
        <v>2179</v>
      </c>
      <c r="F22" s="240">
        <f ca="1">'数据-取费表'!B40</f>
        <v>4.3499999999999997E-2</v>
      </c>
      <c r="G22" s="237" t="str">
        <f>IF('数据-取费表'!B22&lt;=1,"单利计息","复利计息")</f>
        <v>复利计息</v>
      </c>
    </row>
    <row r="23" spans="1:7" s="217" customFormat="1" ht="13.5" customHeight="1">
      <c r="A23" s="885" t="s">
        <v>2183</v>
      </c>
      <c r="B23" s="218" t="s">
        <v>2184</v>
      </c>
      <c r="C23" s="1262">
        <f ca="1">ROUND(IF('数据-取费表'!B22&lt;=1,C5*F22*'数据-取费表'!B23,C5*(POWER((1+F22),'数据-取费表'!B23)-1)),0)</f>
        <v>1381</v>
      </c>
      <c r="D23" s="241"/>
      <c r="E23" s="241"/>
      <c r="F23" s="242"/>
      <c r="G23" s="243" t="s">
        <v>2185</v>
      </c>
    </row>
    <row r="24" spans="1:7" s="217" customFormat="1" ht="13.5" customHeight="1">
      <c r="A24" s="885" t="s">
        <v>2186</v>
      </c>
      <c r="B24" s="218" t="s">
        <v>2187</v>
      </c>
      <c r="C24" s="1262">
        <f ca="1">ROUND(IF('数据-取费表'!B22&lt;=1,C19*F22*('数据-取费表'!B19/2+'数据-取费表'!B21),C19*(POWER((1+F22),('数据-取费表'!B19/2+'数据-取费表'!B21))-1)),0)</f>
        <v>0</v>
      </c>
      <c r="D24" s="241"/>
      <c r="E24" s="241"/>
      <c r="F24" s="242"/>
      <c r="G24" s="243" t="s">
        <v>2188</v>
      </c>
    </row>
    <row r="25" spans="1:7" s="217" customFormat="1" ht="24">
      <c r="A25" s="885" t="s">
        <v>2189</v>
      </c>
      <c r="B25" s="218" t="s">
        <v>2190</v>
      </c>
      <c r="C25" s="1262">
        <f ca="1">ROUND(IF('数据-取费表'!B22&lt;=1,C20*F22*'数据-取费表'!B23/2,C20*(POWER((1+F22),'数据-取费表'!B23/2)-1)),0)</f>
        <v>14</v>
      </c>
      <c r="D25" s="241"/>
      <c r="E25" s="244"/>
      <c r="F25" s="242"/>
      <c r="G25" s="245" t="s">
        <v>2191</v>
      </c>
    </row>
    <row r="26" spans="1:7" s="217" customFormat="1">
      <c r="A26" s="885" t="s">
        <v>795</v>
      </c>
      <c r="B26" s="218" t="s">
        <v>2192</v>
      </c>
      <c r="C26" s="241">
        <f ca="1">ROUND(IF('数据-取费表'!B22&lt;=1,F21*F22*'数据-取费表'!B23/2,F21*(POWER((1+F22),'数据-取费表'!B23/2)-1)),4)</f>
        <v>8.9999999999999998E-4</v>
      </c>
      <c r="D26" s="241"/>
      <c r="E26" s="244"/>
      <c r="F26" s="242"/>
      <c r="G26" s="246"/>
    </row>
    <row r="27" spans="1:7" s="217" customFormat="1" ht="24.75">
      <c r="A27" s="258" t="s">
        <v>2193</v>
      </c>
      <c r="B27" s="247" t="s">
        <v>2194</v>
      </c>
      <c r="C27" s="248">
        <f ca="1">C28</f>
        <v>3169</v>
      </c>
      <c r="D27" s="238">
        <f ca="1">C29</f>
        <v>4.0000000000000001E-3</v>
      </c>
      <c r="E27" s="239" t="s">
        <v>2195</v>
      </c>
      <c r="F27" s="249">
        <f ca="1">IF(B1="",'数据-取费表'!Q16,INDIRECT("'数据-取费表'!q"&amp;$G$1))</f>
        <v>0.2</v>
      </c>
      <c r="G27" s="250" t="s">
        <v>2196</v>
      </c>
    </row>
    <row r="28" spans="1:7" s="217" customFormat="1" ht="13.5" customHeight="1">
      <c r="A28" s="885" t="s">
        <v>791</v>
      </c>
      <c r="B28" s="251" t="s">
        <v>2197</v>
      </c>
      <c r="C28" s="252">
        <f ca="1">ROUND((C5+C19+C20)*F27*'数据-取费表'!B21/'数据-取费表'!B20,0)</f>
        <v>3169</v>
      </c>
      <c r="D28" s="238"/>
      <c r="E28" s="239"/>
      <c r="F28" s="249"/>
      <c r="G28" s="250"/>
    </row>
    <row r="29" spans="1:7" s="217" customFormat="1" ht="13.5" customHeight="1">
      <c r="A29" s="885" t="s">
        <v>792</v>
      </c>
      <c r="B29" s="251" t="s">
        <v>2198</v>
      </c>
      <c r="C29" s="241">
        <f ca="1">ROUND(C21*F27*'数据-取费表'!B21/'数据-取费表'!B20,4)</f>
        <v>4.0000000000000001E-3</v>
      </c>
      <c r="D29" s="238"/>
      <c r="E29" s="239"/>
      <c r="F29" s="249"/>
      <c r="G29" s="250"/>
    </row>
    <row r="30" spans="1:7" s="217" customFormat="1" ht="13.5" customHeight="1">
      <c r="A30" s="258" t="s">
        <v>2199</v>
      </c>
      <c r="B30" s="213" t="s">
        <v>2200</v>
      </c>
      <c r="C30" s="238">
        <f>ROUND(F30/(1+'数据-取费表'!C42),4)</f>
        <v>5.2400000000000002E-2</v>
      </c>
      <c r="D30" s="239" t="s">
        <v>2195</v>
      </c>
      <c r="E30" s="244"/>
      <c r="F30" s="240">
        <f>'数据-取费表'!B41</f>
        <v>5.5000000000000007E-2</v>
      </c>
      <c r="G30" s="237" t="s">
        <v>2201</v>
      </c>
    </row>
    <row r="31" spans="1:7" ht="16.5" customHeight="1">
      <c r="A31" s="212">
        <v>1</v>
      </c>
      <c r="B31" s="213" t="s">
        <v>2202</v>
      </c>
      <c r="C31" s="214">
        <f ca="1">ROUND((C5+C19+C20+C22+C27)/(1-C21-D22-D27-C30),0)</f>
        <v>22119</v>
      </c>
      <c r="D31" s="233"/>
      <c r="E31" s="214"/>
      <c r="F31" s="253"/>
      <c r="G31" s="237" t="s">
        <v>2203</v>
      </c>
    </row>
    <row r="32" spans="1:7" s="211" customFormat="1" ht="15.75">
      <c r="A32" s="255" t="s">
        <v>2204</v>
      </c>
      <c r="B32" s="256"/>
      <c r="C32" s="256"/>
      <c r="D32" s="256"/>
      <c r="E32" s="256"/>
      <c r="F32" s="256"/>
      <c r="G32" s="257"/>
    </row>
    <row r="33" spans="1:7" s="217" customFormat="1" ht="13.5" customHeight="1">
      <c r="A33" s="258" t="s">
        <v>782</v>
      </c>
      <c r="B33" s="213" t="s">
        <v>2205</v>
      </c>
      <c r="C33" s="259">
        <f ca="1">SUM(C34:C38)</f>
        <v>43255</v>
      </c>
      <c r="D33" s="235"/>
      <c r="E33" s="215"/>
      <c r="F33" s="244"/>
      <c r="G33" s="237"/>
    </row>
    <row r="34" spans="1:7" s="261" customFormat="1" ht="13.5" customHeight="1">
      <c r="A34" s="885" t="s">
        <v>791</v>
      </c>
      <c r="B34" s="218" t="s">
        <v>2206</v>
      </c>
      <c r="C34" s="223">
        <f ca="1">IF(B1="",IF(F34=100%,'数据-取费表'!M16,'数据-取费表'!O16),IF(F34=100%,INDIRECT("'数据-取费表'!m"&amp;$G$1)+INDIRECT("'数据-取费表'!t"&amp;$G$1),INDIRECT("'数据-取费表'!o"&amp;$G$1)+INDIRECT("'数据-取费表'!aq"&amp;$G$1)))</f>
        <v>38793</v>
      </c>
      <c r="D34" s="220"/>
      <c r="E34" s="223"/>
      <c r="F34" s="260">
        <f ca="1">IF('数据-取费表'!B24=0,1,IF(B1="",'数据-取费表'!N16,INDIRECT("'数据-取费表'!n"&amp;$G$1)))</f>
        <v>1</v>
      </c>
      <c r="G34" s="222" t="s">
        <v>2207</v>
      </c>
    </row>
    <row r="35" spans="1:7" ht="13.5" customHeight="1">
      <c r="A35" s="885" t="s">
        <v>796</v>
      </c>
      <c r="B35" s="218" t="s">
        <v>2208</v>
      </c>
      <c r="C35" s="223">
        <f ca="1">ROUND(C34*F35,0)</f>
        <v>1940</v>
      </c>
      <c r="D35" s="223"/>
      <c r="E35" s="223"/>
      <c r="F35" s="262">
        <f>'数据-取费表'!B33</f>
        <v>0.05</v>
      </c>
      <c r="G35" s="222" t="s">
        <v>2209</v>
      </c>
    </row>
    <row r="36" spans="1:7" ht="24">
      <c r="A36" s="885" t="s">
        <v>797</v>
      </c>
      <c r="B36" s="218" t="s">
        <v>2210</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2211</v>
      </c>
    </row>
    <row r="37" spans="1:7" s="261" customFormat="1" ht="13.5" customHeight="1">
      <c r="A37" s="885" t="s">
        <v>798</v>
      </c>
      <c r="B37" s="218" t="s">
        <v>2212</v>
      </c>
      <c r="C37" s="252">
        <f ca="1">ROUND(E37*D37*F34/10000,0)</f>
        <v>1940</v>
      </c>
      <c r="D37" s="220">
        <f ca="1">D19</f>
        <v>96983.22</v>
      </c>
      <c r="E37" s="252">
        <f>'数据-取费表'!B35</f>
        <v>200</v>
      </c>
      <c r="F37" s="262"/>
      <c r="G37" s="264" t="s">
        <v>2213</v>
      </c>
    </row>
    <row r="38" spans="1:7" ht="13.5" customHeight="1">
      <c r="A38" s="885" t="s">
        <v>799</v>
      </c>
      <c r="B38" s="218" t="s">
        <v>2214</v>
      </c>
      <c r="C38" s="223">
        <f ca="1">ROUND(C34*F38,0)</f>
        <v>582</v>
      </c>
      <c r="D38" s="223"/>
      <c r="E38" s="223"/>
      <c r="F38" s="262">
        <f>'数据-取费表'!B36</f>
        <v>1.4999999999999999E-2</v>
      </c>
      <c r="G38" s="222" t="s">
        <v>2209</v>
      </c>
    </row>
    <row r="39" spans="1:7" s="217" customFormat="1" ht="13.5" customHeight="1">
      <c r="A39" s="258" t="s">
        <v>2215</v>
      </c>
      <c r="B39" s="213" t="s">
        <v>2216</v>
      </c>
      <c r="C39" s="235">
        <f ca="1">ROUND(C33*F20,0)</f>
        <v>865</v>
      </c>
      <c r="D39" s="235"/>
      <c r="E39" s="235"/>
      <c r="F39" s="2531">
        <f>F20</f>
        <v>0.02</v>
      </c>
      <c r="G39" s="237" t="s">
        <v>2217</v>
      </c>
    </row>
    <row r="40" spans="1:7" s="217" customFormat="1" ht="13.5" customHeight="1">
      <c r="A40" s="258" t="s">
        <v>2218</v>
      </c>
      <c r="B40" s="213" t="s">
        <v>2219</v>
      </c>
      <c r="C40" s="1493">
        <f>F21</f>
        <v>0.02</v>
      </c>
      <c r="D40" s="239" t="s">
        <v>2220</v>
      </c>
      <c r="E40" s="235"/>
      <c r="F40" s="2531">
        <f>F21</f>
        <v>0.02</v>
      </c>
      <c r="G40" s="237" t="s">
        <v>2221</v>
      </c>
    </row>
    <row r="41" spans="1:7" s="217" customFormat="1" ht="13.5" customHeight="1">
      <c r="A41" s="258" t="s">
        <v>2222</v>
      </c>
      <c r="B41" s="213" t="s">
        <v>2223</v>
      </c>
      <c r="C41" s="235">
        <f ca="1">ROUND(SUM(C42:C43),0)</f>
        <v>1920</v>
      </c>
      <c r="D41" s="238">
        <f ca="1">C44</f>
        <v>8.9999999999999998E-4</v>
      </c>
      <c r="E41" s="239" t="s">
        <v>2220</v>
      </c>
      <c r="F41" s="2532">
        <f ca="1">F22</f>
        <v>4.3499999999999997E-2</v>
      </c>
      <c r="G41" s="237" t="str">
        <f>IF('数据-取费表'!B22&lt;=1,"单利计息","复利计息")</f>
        <v>复利计息</v>
      </c>
    </row>
    <row r="42" spans="1:7" ht="13.5" customHeight="1">
      <c r="A42" s="885" t="s">
        <v>791</v>
      </c>
      <c r="B42" s="218" t="s">
        <v>2224</v>
      </c>
      <c r="C42" s="241">
        <f ca="1">ROUND(IF('数据-取费表'!B22&lt;=1,C33*F22*'数据-取费表'!B21/2,C33*(POWER((1+F22),'数据-取费表'!B21/2)-1)),0)</f>
        <v>1882</v>
      </c>
      <c r="D42" s="241"/>
      <c r="E42" s="241"/>
      <c r="F42" s="242"/>
      <c r="G42" s="3269" t="s">
        <v>2225</v>
      </c>
    </row>
    <row r="43" spans="1:7" ht="13.5" customHeight="1">
      <c r="A43" s="885" t="s">
        <v>792</v>
      </c>
      <c r="B43" s="218" t="s">
        <v>2226</v>
      </c>
      <c r="C43" s="241">
        <f ca="1">ROUND(IF('数据-取费表'!B22&lt;=1,C39*F22*'数据-取费表'!B21/2,C39*(POWER((1+F22),'数据-取费表'!B21/2)-1)),0)</f>
        <v>38</v>
      </c>
      <c r="D43" s="241"/>
      <c r="E43" s="241"/>
      <c r="F43" s="242"/>
      <c r="G43" s="3270"/>
    </row>
    <row r="44" spans="1:7" ht="13.5" customHeight="1">
      <c r="A44" s="885" t="s">
        <v>793</v>
      </c>
      <c r="B44" s="218" t="s">
        <v>2227</v>
      </c>
      <c r="C44" s="241">
        <f ca="1">ROUND(IF('数据-取费表'!B22&lt;=1,C40*F22*'数据-取费表'!B21/2,C40*(POWER((1+F22),'数据-取费表'!B21/2)-1)),4)</f>
        <v>8.9999999999999998E-4</v>
      </c>
      <c r="D44" s="241"/>
      <c r="E44" s="241"/>
      <c r="F44" s="242"/>
      <c r="G44" s="3271"/>
    </row>
    <row r="45" spans="1:7" s="217" customFormat="1" ht="13.5" customHeight="1">
      <c r="A45" s="258" t="s">
        <v>2228</v>
      </c>
      <c r="B45" s="247" t="s">
        <v>2194</v>
      </c>
      <c r="C45" s="248">
        <f ca="1">C46</f>
        <v>8824</v>
      </c>
      <c r="D45" s="238">
        <f ca="1">C47</f>
        <v>4.0000000000000001E-3</v>
      </c>
      <c r="E45" s="239" t="s">
        <v>2220</v>
      </c>
      <c r="F45" s="2533">
        <f ca="1">F27</f>
        <v>0.2</v>
      </c>
      <c r="G45" s="250" t="s">
        <v>2229</v>
      </c>
    </row>
    <row r="46" spans="1:7" s="217" customFormat="1" ht="13.5" customHeight="1">
      <c r="A46" s="885" t="s">
        <v>791</v>
      </c>
      <c r="B46" s="251" t="s">
        <v>2230</v>
      </c>
      <c r="C46" s="252">
        <f ca="1">ROUND((C33+C39)*F27,0)</f>
        <v>8824</v>
      </c>
      <c r="D46" s="266"/>
      <c r="E46" s="239"/>
      <c r="F46" s="249"/>
      <c r="G46" s="250"/>
    </row>
    <row r="47" spans="1:7" s="217" customFormat="1" ht="13.5" customHeight="1">
      <c r="A47" s="885" t="s">
        <v>792</v>
      </c>
      <c r="B47" s="251" t="s">
        <v>2231</v>
      </c>
      <c r="C47" s="241">
        <f ca="1">ROUND(C40*F27,4)</f>
        <v>4.0000000000000001E-3</v>
      </c>
      <c r="D47" s="266"/>
      <c r="E47" s="239"/>
      <c r="F47" s="249"/>
      <c r="G47" s="250"/>
    </row>
    <row r="48" spans="1:7" s="217" customFormat="1" ht="13.5" customHeight="1">
      <c r="A48" s="258" t="s">
        <v>2193</v>
      </c>
      <c r="B48" s="213" t="s">
        <v>2232</v>
      </c>
      <c r="C48" s="1493">
        <f>ROUND(F30/(1+'数据-取费表'!C42),4)</f>
        <v>5.2400000000000002E-2</v>
      </c>
      <c r="D48" s="239" t="s">
        <v>2220</v>
      </c>
      <c r="E48" s="235"/>
      <c r="F48" s="2532">
        <f>F30</f>
        <v>5.5000000000000007E-2</v>
      </c>
      <c r="G48" s="237" t="s">
        <v>2233</v>
      </c>
    </row>
    <row r="49" spans="1:7" ht="16.5" customHeight="1">
      <c r="A49" s="258" t="s">
        <v>2199</v>
      </c>
      <c r="B49" s="213" t="s">
        <v>2234</v>
      </c>
      <c r="C49" s="235">
        <f ca="1">ROUND((C33+C39+C41+C45)/(1-C40-D41-D45-C48),0)</f>
        <v>59460</v>
      </c>
      <c r="D49" s="235"/>
      <c r="E49" s="235"/>
      <c r="F49" s="267"/>
      <c r="G49" s="237" t="s">
        <v>2235</v>
      </c>
    </row>
    <row r="50" spans="1:7" s="261" customFormat="1" ht="24">
      <c r="A50" s="258" t="s">
        <v>2236</v>
      </c>
      <c r="B50" s="213" t="s">
        <v>2237</v>
      </c>
      <c r="C50" s="235"/>
      <c r="D50" s="235"/>
      <c r="E50" s="235"/>
      <c r="F50" s="267">
        <f>IF('数据-取费表'!B24=0,'数据-取费表'!N16,1)</f>
        <v>0.93</v>
      </c>
      <c r="G50" s="250" t="s">
        <v>2238</v>
      </c>
    </row>
    <row r="51" spans="1:7" ht="16.5" customHeight="1">
      <c r="A51" s="258" t="s">
        <v>2239</v>
      </c>
      <c r="B51" s="213" t="s">
        <v>2240</v>
      </c>
      <c r="C51" s="235">
        <f ca="1">ROUND(C49*F50,0)</f>
        <v>55298</v>
      </c>
      <c r="D51" s="235"/>
      <c r="E51" s="235"/>
      <c r="F51" s="267"/>
      <c r="G51" s="237" t="s">
        <v>2241</v>
      </c>
    </row>
    <row r="52" spans="1:7" s="211" customFormat="1" ht="16.5" thickBot="1">
      <c r="A52" s="268" t="s">
        <v>2242</v>
      </c>
      <c r="B52" s="269"/>
      <c r="C52" s="270">
        <f ca="1">C31+C51</f>
        <v>77417</v>
      </c>
      <c r="D52" s="269"/>
      <c r="E52" s="269"/>
      <c r="F52" s="269"/>
      <c r="G52" s="271"/>
    </row>
    <row r="55" spans="1:7" ht="15">
      <c r="B55" s="273" t="s">
        <v>2243</v>
      </c>
      <c r="C55" s="274"/>
    </row>
    <row r="56" spans="1:7">
      <c r="B56" s="276" t="s">
        <v>1478</v>
      </c>
      <c r="C56" s="278">
        <f ca="1">1-C57</f>
        <v>0.28600000000000003</v>
      </c>
    </row>
    <row r="57" spans="1:7">
      <c r="B57" s="276" t="s">
        <v>1479</v>
      </c>
      <c r="C57" s="277">
        <f ca="1">ROUND(C51/C52,3)</f>
        <v>0.71399999999999997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2142</v>
      </c>
      <c r="B1" s="1652"/>
      <c r="C1" s="2041" t="s">
        <v>2244</v>
      </c>
      <c r="D1" s="201"/>
      <c r="E1" s="201"/>
      <c r="F1" s="201"/>
      <c r="G1" s="1285">
        <f>MATCH(B1,'数据-取费表'!A6:A16,0)+5</f>
        <v>7</v>
      </c>
      <c r="H1" s="1189" t="str">
        <f>IF(ISERROR(FIND("住宅",B1)),"非住宅","住宅")</f>
        <v>非住宅</v>
      </c>
    </row>
    <row r="2" spans="1:8" s="203" customFormat="1" ht="18" customHeight="1">
      <c r="A2" s="204" t="s">
        <v>2143</v>
      </c>
      <c r="B2" s="205">
        <f ca="1">ROUND(IF(D2="——",C52/10000,C52/10000-E2),0)</f>
        <v>58680</v>
      </c>
      <c r="C2" s="202" t="s">
        <v>2144</v>
      </c>
      <c r="D2" s="2035" t="s">
        <v>70</v>
      </c>
      <c r="E2" s="1328" t="e">
        <f ca="1">SUMIF(INDIRECT("'"&amp;G2&amp;"'"&amp;"!A:A"),"承租人权益价值",INDIRECT("'"&amp;G2&amp;"'"&amp;"!c:c"))</f>
        <v>#REF!</v>
      </c>
      <c r="F2" s="2036" t="s">
        <v>2144</v>
      </c>
      <c r="G2" s="2037"/>
    </row>
    <row r="3" spans="1:8" s="203" customFormat="1" ht="18" customHeight="1" thickBot="1">
      <c r="A3" s="206" t="s">
        <v>2145</v>
      </c>
      <c r="B3" s="207">
        <f ca="1">ROUND(B2*10000/(IF(B1="",'数据-汇总表'!E3,INDIRECT("'数据-取费表'!k"&amp;$G$1))),0)</f>
        <v>6051</v>
      </c>
      <c r="C3" s="202" t="s">
        <v>2146</v>
      </c>
      <c r="D3" s="202"/>
      <c r="E3" s="202"/>
      <c r="F3" s="202"/>
      <c r="G3" s="202"/>
    </row>
    <row r="4" spans="1:8" s="211" customFormat="1" ht="15.75">
      <c r="A4" s="208" t="s">
        <v>2147</v>
      </c>
      <c r="B4" s="209"/>
      <c r="C4" s="209"/>
      <c r="D4" s="209"/>
      <c r="E4" s="209"/>
      <c r="F4" s="209"/>
      <c r="G4" s="210"/>
    </row>
    <row r="5" spans="1:8" s="217" customFormat="1" ht="13.5" customHeight="1">
      <c r="A5" s="258" t="s">
        <v>2148</v>
      </c>
      <c r="B5" s="213" t="s">
        <v>2149</v>
      </c>
      <c r="C5" s="214">
        <f ca="1">C6+C7+C8</f>
        <v>4364245</v>
      </c>
      <c r="D5" s="214" t="s">
        <v>2150</v>
      </c>
      <c r="E5" s="215" t="s">
        <v>2151</v>
      </c>
      <c r="F5" s="215" t="s">
        <v>2152</v>
      </c>
      <c r="G5" s="216"/>
    </row>
    <row r="6" spans="1:8" s="217" customFormat="1" ht="13.5" customHeight="1">
      <c r="A6" s="883" t="s">
        <v>2153</v>
      </c>
      <c r="B6" s="218" t="s">
        <v>2154</v>
      </c>
      <c r="C6" s="219"/>
      <c r="D6" s="220"/>
      <c r="E6" s="221"/>
      <c r="F6" s="221"/>
      <c r="G6" s="222"/>
    </row>
    <row r="7" spans="1:8" s="217" customFormat="1" ht="13.5" customHeight="1">
      <c r="A7" s="883" t="s">
        <v>2155</v>
      </c>
      <c r="B7" s="218" t="s">
        <v>2156</v>
      </c>
      <c r="C7" s="223">
        <f>ROUND(C6*F7,0)</f>
        <v>0</v>
      </c>
      <c r="D7" s="223"/>
      <c r="E7" s="221"/>
      <c r="F7" s="224">
        <f>IF(项目基本情况!B8="出让",0,'数据-取费表'!B48+'数据-取费表'!B49)</f>
        <v>3.0499999999999999E-2</v>
      </c>
      <c r="G7" s="222"/>
    </row>
    <row r="8" spans="1:8" s="226" customFormat="1">
      <c r="A8" s="883" t="s">
        <v>2157</v>
      </c>
      <c r="B8" s="218" t="s">
        <v>2158</v>
      </c>
      <c r="C8" s="223">
        <f ca="1">IF(G8="已包含在土地购买价格中",0,C9+C10)</f>
        <v>4364245</v>
      </c>
      <c r="D8" s="225"/>
      <c r="E8" s="223"/>
      <c r="F8" s="224"/>
      <c r="G8" s="2038"/>
    </row>
    <row r="9" spans="1:8" s="217" customFormat="1" ht="13.5" customHeight="1">
      <c r="A9" s="884" t="s">
        <v>800</v>
      </c>
      <c r="B9" s="227" t="s">
        <v>2159</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801</v>
      </c>
      <c r="B10" s="227" t="s">
        <v>2161</v>
      </c>
      <c r="C10" s="228">
        <f ca="1">ROUND(D10*E10,0)</f>
        <v>4364245</v>
      </c>
      <c r="D10" s="951">
        <f ca="1">IF(B1="",'数据-汇总表'!E6,IF(INDIRECT("'数据-取费表'!c"&amp;$G$1)="住宅",INDIRECT("'数据-取费表'!s"&amp;$G$1),INDIRECT("'数据-取费表'!k"&amp;$G$1)+INDIRECT("'数据-取费表'!s"&amp;$G$1)))</f>
        <v>96983.22</v>
      </c>
      <c r="E10" s="228">
        <f>'数据-取费表'!B28</f>
        <v>45</v>
      </c>
      <c r="F10" s="224"/>
      <c r="G10" s="229"/>
    </row>
    <row r="11" spans="1:8" s="217" customFormat="1" ht="13.5" hidden="1" customHeight="1">
      <c r="A11" s="230" t="s">
        <v>7</v>
      </c>
      <c r="B11" s="218" t="s">
        <v>2162</v>
      </c>
      <c r="C11" s="214"/>
      <c r="D11" s="953"/>
      <c r="E11" s="221"/>
      <c r="F11" s="221"/>
      <c r="G11" s="222"/>
    </row>
    <row r="12" spans="1:8" s="217" customFormat="1" ht="13.5" hidden="1" customHeight="1">
      <c r="A12" s="230" t="s">
        <v>8</v>
      </c>
      <c r="B12" s="218" t="s">
        <v>2245</v>
      </c>
      <c r="C12" s="214">
        <v>0</v>
      </c>
      <c r="D12" s="953"/>
      <c r="E12" s="231"/>
      <c r="F12" s="224">
        <v>3.0499999999999999E-2</v>
      </c>
      <c r="G12" s="222"/>
    </row>
    <row r="13" spans="1:8" s="217" customFormat="1" ht="13.5" hidden="1" customHeight="1">
      <c r="A13" s="230" t="s">
        <v>9</v>
      </c>
      <c r="B13" s="218" t="s">
        <v>2246</v>
      </c>
      <c r="C13" s="214"/>
      <c r="D13" s="953"/>
      <c r="E13" s="221"/>
      <c r="F13" s="221"/>
      <c r="G13" s="222"/>
    </row>
    <row r="14" spans="1:8" s="217" customFormat="1" ht="13.5" hidden="1" customHeight="1">
      <c r="A14" s="230" t="s">
        <v>10</v>
      </c>
      <c r="B14" s="218" t="s">
        <v>2158</v>
      </c>
      <c r="C14" s="214"/>
      <c r="D14" s="953"/>
      <c r="E14" s="221"/>
      <c r="F14" s="221"/>
      <c r="G14" s="222" t="s">
        <v>2247</v>
      </c>
    </row>
    <row r="15" spans="1:8" s="217" customFormat="1" ht="13.5" hidden="1" customHeight="1">
      <c r="A15" s="230" t="s">
        <v>11</v>
      </c>
      <c r="B15" s="218" t="s">
        <v>2248</v>
      </c>
      <c r="C15" s="223"/>
      <c r="D15" s="953"/>
      <c r="E15" s="221"/>
      <c r="F15" s="221"/>
      <c r="G15" s="222" t="s">
        <v>2249</v>
      </c>
    </row>
    <row r="16" spans="1:8" s="217" customFormat="1" ht="13.5" hidden="1" customHeight="1">
      <c r="A16" s="230" t="s">
        <v>12</v>
      </c>
      <c r="B16" s="218" t="s">
        <v>2158</v>
      </c>
      <c r="C16" s="223"/>
      <c r="D16" s="953"/>
      <c r="E16" s="221"/>
      <c r="F16" s="221"/>
      <c r="G16" s="222"/>
    </row>
    <row r="17" spans="1:7" s="217" customFormat="1" ht="13.5" hidden="1" customHeight="1">
      <c r="A17" s="230" t="s">
        <v>13</v>
      </c>
      <c r="B17" s="218" t="s">
        <v>2250</v>
      </c>
      <c r="C17" s="232"/>
      <c r="D17" s="954"/>
      <c r="E17" s="232"/>
      <c r="F17" s="232"/>
      <c r="G17" s="222" t="s">
        <v>2249</v>
      </c>
    </row>
    <row r="18" spans="1:7" s="217" customFormat="1" ht="13.5" hidden="1" customHeight="1">
      <c r="A18" s="230" t="s">
        <v>14</v>
      </c>
      <c r="B18" s="218" t="s">
        <v>2251</v>
      </c>
      <c r="C18" s="223">
        <v>0</v>
      </c>
      <c r="D18" s="953"/>
      <c r="E18" s="221"/>
      <c r="F18" s="224">
        <v>3.0499999999999999E-2</v>
      </c>
      <c r="G18" s="222" t="s">
        <v>2252</v>
      </c>
    </row>
    <row r="19" spans="1:7" s="226" customFormat="1" ht="13.5" customHeight="1">
      <c r="A19" s="258" t="s">
        <v>2253</v>
      </c>
      <c r="B19" s="213" t="s">
        <v>2254</v>
      </c>
      <c r="C19" s="214">
        <f ca="1">IF(G19="已包含在土地取得成本中","0",ROUND(D19*E19,0))</f>
        <v>19396644</v>
      </c>
      <c r="D19" s="955">
        <f ca="1">D9+D10</f>
        <v>96983.22</v>
      </c>
      <c r="E19" s="214">
        <f>'数据-取费表'!B31</f>
        <v>200</v>
      </c>
      <c r="F19" s="234"/>
      <c r="G19" s="2038"/>
    </row>
    <row r="20" spans="1:7" s="217" customFormat="1" ht="13.5" customHeight="1">
      <c r="A20" s="258" t="s">
        <v>2255</v>
      </c>
      <c r="B20" s="213" t="s">
        <v>2256</v>
      </c>
      <c r="C20" s="235">
        <f ca="1">ROUND((C5+C19)*F20,0)</f>
        <v>475218</v>
      </c>
      <c r="D20" s="235"/>
      <c r="E20" s="235"/>
      <c r="F20" s="236">
        <f>'数据-取费表'!B37</f>
        <v>0.02</v>
      </c>
      <c r="G20" s="237" t="s">
        <v>2257</v>
      </c>
    </row>
    <row r="21" spans="1:7" s="217" customFormat="1" ht="13.5" customHeight="1">
      <c r="A21" s="258" t="s">
        <v>2258</v>
      </c>
      <c r="B21" s="213" t="s">
        <v>2259</v>
      </c>
      <c r="C21" s="238">
        <f>F21</f>
        <v>0.02</v>
      </c>
      <c r="D21" s="239" t="s">
        <v>2260</v>
      </c>
      <c r="E21" s="235"/>
      <c r="F21" s="236">
        <f>'数据-取费表'!B38</f>
        <v>0.02</v>
      </c>
      <c r="G21" s="237" t="s">
        <v>2261</v>
      </c>
    </row>
    <row r="22" spans="1:7" s="217" customFormat="1" ht="13.5" customHeight="1">
      <c r="A22" s="258" t="s">
        <v>2262</v>
      </c>
      <c r="B22" s="213" t="s">
        <v>2263</v>
      </c>
      <c r="C22" s="1286">
        <f ca="1">ROUND(SUM(C23:C25),0)</f>
        <v>2132831</v>
      </c>
      <c r="D22" s="238">
        <f ca="1">C26</f>
        <v>8.9999999999999998E-4</v>
      </c>
      <c r="E22" s="239" t="s">
        <v>2260</v>
      </c>
      <c r="F22" s="240">
        <f ca="1">'数据-取费表'!B40</f>
        <v>4.3499999999999997E-2</v>
      </c>
      <c r="G22" s="237" t="str">
        <f>IF('数据-取费表'!B22&lt;=1,"单利计息","复利计息")</f>
        <v>复利计息</v>
      </c>
    </row>
    <row r="23" spans="1:7" s="217" customFormat="1" ht="13.5" customHeight="1">
      <c r="A23" s="885" t="s">
        <v>2153</v>
      </c>
      <c r="B23" s="218" t="s">
        <v>2264</v>
      </c>
      <c r="C23" s="1287">
        <f ca="1">ROUND(IF('数据-取费表'!B22&lt;=1,C5*F22*'数据-取费表'!B22,C5*(POWER((1+F22),'数据-取费表'!B22)-1)),0)</f>
        <v>387948</v>
      </c>
      <c r="D23" s="241"/>
      <c r="E23" s="241"/>
      <c r="F23" s="242"/>
      <c r="G23" s="243" t="s">
        <v>2265</v>
      </c>
    </row>
    <row r="24" spans="1:7" s="217" customFormat="1" ht="13.5" customHeight="1">
      <c r="A24" s="885" t="s">
        <v>2155</v>
      </c>
      <c r="B24" s="218" t="s">
        <v>2266</v>
      </c>
      <c r="C24" s="1287">
        <f ca="1">ROUND(IF('数据-取费表'!B22&lt;=1,C19*F22*('数据-取费表'!B19/2+'数据-取费表'!B20),C19*(POWER((1+F22),('数据-取费表'!B19/2+'数据-取费表'!B20))-1)),0)</f>
        <v>1724211</v>
      </c>
      <c r="D24" s="241"/>
      <c r="E24" s="241"/>
      <c r="F24" s="242"/>
      <c r="G24" s="243" t="s">
        <v>2267</v>
      </c>
    </row>
    <row r="25" spans="1:7" s="217" customFormat="1" ht="24">
      <c r="A25" s="885" t="s">
        <v>2157</v>
      </c>
      <c r="B25" s="218" t="s">
        <v>2268</v>
      </c>
      <c r="C25" s="1287">
        <f ca="1">ROUND(IF('数据-取费表'!B22&lt;=1,C20*F22*'数据-取费表'!B22/2,C20*(POWER((1+F22),'数据-取费表'!B22/2)-1)),0)</f>
        <v>20672</v>
      </c>
      <c r="D25" s="241"/>
      <c r="E25" s="244"/>
      <c r="F25" s="242"/>
      <c r="G25" s="245" t="s">
        <v>2269</v>
      </c>
    </row>
    <row r="26" spans="1:7" s="217" customFormat="1">
      <c r="A26" s="885" t="s">
        <v>795</v>
      </c>
      <c r="B26" s="218" t="s">
        <v>2192</v>
      </c>
      <c r="C26" s="241">
        <f ca="1">ROUND(IF('数据-取费表'!B22&lt;=1,F21*F22*'数据-取费表'!B22/2,F21*(POWER((1+F22),'数据-取费表'!B22/2)-1)),4)</f>
        <v>8.9999999999999998E-4</v>
      </c>
      <c r="D26" s="241"/>
      <c r="E26" s="244"/>
      <c r="F26" s="242"/>
      <c r="G26" s="246"/>
    </row>
    <row r="27" spans="1:7" s="217" customFormat="1" ht="24.75">
      <c r="A27" s="258" t="s">
        <v>2193</v>
      </c>
      <c r="B27" s="247" t="s">
        <v>2194</v>
      </c>
      <c r="C27" s="248">
        <f ca="1">C28</f>
        <v>4847221</v>
      </c>
      <c r="D27" s="238">
        <f ca="1">C29</f>
        <v>4.0000000000000001E-3</v>
      </c>
      <c r="E27" s="239" t="s">
        <v>2195</v>
      </c>
      <c r="F27" s="249">
        <f ca="1">IF(B1="",'数据-取费表'!Q16,INDIRECT("'数据-取费表'!q"&amp;$G$1))</f>
        <v>0.2</v>
      </c>
      <c r="G27" s="250" t="s">
        <v>2196</v>
      </c>
    </row>
    <row r="28" spans="1:7" s="217" customFormat="1" ht="13.5" customHeight="1">
      <c r="A28" s="885" t="s">
        <v>791</v>
      </c>
      <c r="B28" s="251" t="s">
        <v>2197</v>
      </c>
      <c r="C28" s="252">
        <f ca="1">ROUND((C5+C19+C20)*F27,0)</f>
        <v>4847221</v>
      </c>
      <c r="D28" s="238"/>
      <c r="E28" s="239"/>
      <c r="F28" s="249"/>
      <c r="G28" s="250"/>
    </row>
    <row r="29" spans="1:7" s="217" customFormat="1" ht="13.5" customHeight="1">
      <c r="A29" s="885" t="s">
        <v>792</v>
      </c>
      <c r="B29" s="251" t="s">
        <v>2198</v>
      </c>
      <c r="C29" s="241">
        <f ca="1">ROUND(C21*F27,4)</f>
        <v>4.0000000000000001E-3</v>
      </c>
      <c r="D29" s="238"/>
      <c r="E29" s="239"/>
      <c r="F29" s="249"/>
      <c r="G29" s="250"/>
    </row>
    <row r="30" spans="1:7" s="217" customFormat="1" ht="13.5" customHeight="1">
      <c r="A30" s="258" t="s">
        <v>2199</v>
      </c>
      <c r="B30" s="213" t="s">
        <v>2200</v>
      </c>
      <c r="C30" s="238">
        <f>ROUND(F30/(1+'数据-取费表'!C42),4)</f>
        <v>5.2400000000000002E-2</v>
      </c>
      <c r="D30" s="239" t="s">
        <v>2195</v>
      </c>
      <c r="E30" s="244"/>
      <c r="F30" s="240">
        <f>'数据-取费表'!B41</f>
        <v>5.5000000000000007E-2</v>
      </c>
      <c r="G30" s="237" t="s">
        <v>2201</v>
      </c>
    </row>
    <row r="31" spans="1:7" ht="16.5" customHeight="1">
      <c r="A31" s="212">
        <v>1</v>
      </c>
      <c r="B31" s="213" t="s">
        <v>2202</v>
      </c>
      <c r="C31" s="214">
        <f ca="1">ROUND((C5+C19+C20+C22+C27)/(1-C21-D22-D27-C30),0)</f>
        <v>33831320</v>
      </c>
      <c r="D31" s="233"/>
      <c r="E31" s="214"/>
      <c r="F31" s="253"/>
      <c r="G31" s="237" t="s">
        <v>2203</v>
      </c>
    </row>
    <row r="32" spans="1:7" s="211" customFormat="1" ht="15.75">
      <c r="A32" s="255" t="s">
        <v>2270</v>
      </c>
      <c r="B32" s="256"/>
      <c r="C32" s="256"/>
      <c r="D32" s="256"/>
      <c r="E32" s="256"/>
      <c r="F32" s="256"/>
      <c r="G32" s="257"/>
    </row>
    <row r="33" spans="1:7" s="217" customFormat="1" ht="13.5" customHeight="1">
      <c r="A33" s="258" t="s">
        <v>782</v>
      </c>
      <c r="B33" s="213" t="s">
        <v>2271</v>
      </c>
      <c r="C33" s="259">
        <f ca="1">SUM(C34:C38)</f>
        <v>432545161</v>
      </c>
      <c r="D33" s="235"/>
      <c r="E33" s="215"/>
      <c r="F33" s="244"/>
      <c r="G33" s="237"/>
    </row>
    <row r="34" spans="1:7" s="261" customFormat="1" ht="13.5" customHeight="1">
      <c r="A34" s="885" t="s">
        <v>791</v>
      </c>
      <c r="B34" s="218" t="s">
        <v>2206</v>
      </c>
      <c r="C34" s="223">
        <f ca="1">ROUND(IF(B1="",SUMPRODUCT('数据-取费表'!K6:K14,'数据-取费表'!L6:L14),INDIRECT("'数据-取费表'!l"&amp;$G$1)*INDIRECT("'数据-取费表'!k"&amp;$G$1)+'数据-取费表'!L14*INDIRECT("'数据-取费表'!S"&amp;$G$1)),0)</f>
        <v>387932880</v>
      </c>
      <c r="D34" s="220"/>
      <c r="E34" s="223"/>
      <c r="F34" s="260"/>
      <c r="G34" s="222"/>
    </row>
    <row r="35" spans="1:7" ht="13.5" customHeight="1">
      <c r="A35" s="885" t="s">
        <v>796</v>
      </c>
      <c r="B35" s="218" t="s">
        <v>2208</v>
      </c>
      <c r="C35" s="223">
        <f ca="1">ROUND(C34*F35,0)</f>
        <v>19396644</v>
      </c>
      <c r="D35" s="223"/>
      <c r="E35" s="223"/>
      <c r="F35" s="262">
        <f>'数据-取费表'!B33</f>
        <v>0.05</v>
      </c>
      <c r="G35" s="222" t="s">
        <v>2209</v>
      </c>
    </row>
    <row r="36" spans="1:7" ht="24">
      <c r="A36" s="885" t="s">
        <v>797</v>
      </c>
      <c r="B36" s="218" t="s">
        <v>2210</v>
      </c>
      <c r="C36" s="223">
        <f ca="1">ROUND(IF(B1="",SUM('数据-取费表'!AP6:AP13)*F36,IF(INDIRECT("'数据-取费表'!c"&amp;$G$1)="住宅",INDIRECT("'数据-取费表'!k"&amp;$G$1)*INDIRECT("'数据-取费表'!l"&amp;$G$1)*F36,0)),0)</f>
        <v>0</v>
      </c>
      <c r="D36" s="223"/>
      <c r="E36" s="223"/>
      <c r="F36" s="262">
        <f>'数据-取费表'!B34</f>
        <v>0</v>
      </c>
      <c r="G36" s="263" t="s">
        <v>2211</v>
      </c>
    </row>
    <row r="37" spans="1:7" s="261" customFormat="1" ht="13.5" customHeight="1">
      <c r="A37" s="885" t="s">
        <v>798</v>
      </c>
      <c r="B37" s="218" t="s">
        <v>2212</v>
      </c>
      <c r="C37" s="252">
        <f ca="1">ROUND(E37*D37,0)</f>
        <v>19396644</v>
      </c>
      <c r="D37" s="220">
        <f ca="1">D19</f>
        <v>96983.22</v>
      </c>
      <c r="E37" s="252">
        <f>'数据-取费表'!B35</f>
        <v>200</v>
      </c>
      <c r="F37" s="262"/>
      <c r="G37" s="264"/>
    </row>
    <row r="38" spans="1:7" ht="13.5" customHeight="1">
      <c r="A38" s="885" t="s">
        <v>799</v>
      </c>
      <c r="B38" s="218" t="s">
        <v>2214</v>
      </c>
      <c r="C38" s="223">
        <f ca="1">ROUND(C34*F38,0)</f>
        <v>5818993</v>
      </c>
      <c r="D38" s="223"/>
      <c r="E38" s="223"/>
      <c r="F38" s="262">
        <f>'数据-取费表'!B36</f>
        <v>1.4999999999999999E-2</v>
      </c>
      <c r="G38" s="222" t="s">
        <v>2209</v>
      </c>
    </row>
    <row r="39" spans="1:7" s="217" customFormat="1" ht="13.5" customHeight="1">
      <c r="A39" s="258" t="s">
        <v>2215</v>
      </c>
      <c r="B39" s="213" t="s">
        <v>2216</v>
      </c>
      <c r="C39" s="235">
        <f ca="1">ROUND(C33*F20,0)</f>
        <v>8650903</v>
      </c>
      <c r="D39" s="235"/>
      <c r="E39" s="235"/>
      <c r="F39" s="2531">
        <f>F20</f>
        <v>0.02</v>
      </c>
      <c r="G39" s="237" t="s">
        <v>2217</v>
      </c>
    </row>
    <row r="40" spans="1:7" s="217" customFormat="1" ht="13.5" customHeight="1">
      <c r="A40" s="258" t="s">
        <v>2218</v>
      </c>
      <c r="B40" s="213" t="s">
        <v>2219</v>
      </c>
      <c r="C40" s="1493">
        <f>F21</f>
        <v>0.02</v>
      </c>
      <c r="D40" s="239" t="s">
        <v>2220</v>
      </c>
      <c r="E40" s="235"/>
      <c r="F40" s="2531">
        <f>F21</f>
        <v>0.02</v>
      </c>
      <c r="G40" s="237" t="s">
        <v>2221</v>
      </c>
    </row>
    <row r="41" spans="1:7" s="217" customFormat="1" ht="13.5" customHeight="1">
      <c r="A41" s="258" t="s">
        <v>2222</v>
      </c>
      <c r="B41" s="213" t="s">
        <v>2223</v>
      </c>
      <c r="C41" s="235">
        <f ca="1">ROUND(SUM(C42:C43),0)</f>
        <v>19192029</v>
      </c>
      <c r="D41" s="238">
        <f ca="1">C44</f>
        <v>8.9999999999999998E-4</v>
      </c>
      <c r="E41" s="239" t="s">
        <v>2220</v>
      </c>
      <c r="F41" s="2532">
        <f ca="1">F22</f>
        <v>4.3499999999999997E-2</v>
      </c>
      <c r="G41" s="237" t="str">
        <f>IF('数据-取费表'!B22&lt;=1,"单利计息","复利计息")</f>
        <v>复利计息</v>
      </c>
    </row>
    <row r="42" spans="1:7" ht="13.5" customHeight="1">
      <c r="A42" s="885" t="s">
        <v>791</v>
      </c>
      <c r="B42" s="218" t="s">
        <v>2224</v>
      </c>
      <c r="C42" s="241">
        <f ca="1">ROUND(IF('数据-取费表'!B22&lt;=1,C33*F22*'数据-取费表'!B20/2,C33*(POWER((1+F22),'数据-取费表'!B20/2)-1)),0)</f>
        <v>18815715</v>
      </c>
      <c r="D42" s="241"/>
      <c r="E42" s="241"/>
      <c r="F42" s="242"/>
      <c r="G42" s="3269" t="s">
        <v>2272</v>
      </c>
    </row>
    <row r="43" spans="1:7" ht="13.5" customHeight="1">
      <c r="A43" s="885" t="s">
        <v>792</v>
      </c>
      <c r="B43" s="218" t="s">
        <v>2226</v>
      </c>
      <c r="C43" s="241">
        <f ca="1">ROUND(IF('数据-取费表'!B22&lt;=1,C39*F22*'数据-取费表'!B20/2,C39*(POWER((1+F22),'数据-取费表'!B20/2)-1)),0)</f>
        <v>376314</v>
      </c>
      <c r="D43" s="241"/>
      <c r="E43" s="241"/>
      <c r="F43" s="242"/>
      <c r="G43" s="3270"/>
    </row>
    <row r="44" spans="1:7" ht="13.5" customHeight="1">
      <c r="A44" s="885" t="s">
        <v>793</v>
      </c>
      <c r="B44" s="218" t="s">
        <v>2227</v>
      </c>
      <c r="C44" s="241">
        <f ca="1">ROUND(IF('数据-取费表'!B22&lt;=1,C40*F22*'数据-取费表'!B20/2,C40*(POWER((1+F22),'数据-取费表'!B20/2)-1)),4)</f>
        <v>8.9999999999999998E-4</v>
      </c>
      <c r="D44" s="241"/>
      <c r="E44" s="241"/>
      <c r="F44" s="242"/>
      <c r="G44" s="3271"/>
    </row>
    <row r="45" spans="1:7" s="217" customFormat="1" ht="13.5" customHeight="1">
      <c r="A45" s="258" t="s">
        <v>2228</v>
      </c>
      <c r="B45" s="247" t="s">
        <v>2194</v>
      </c>
      <c r="C45" s="248">
        <f ca="1">C46</f>
        <v>88239213</v>
      </c>
      <c r="D45" s="238">
        <f ca="1">C47</f>
        <v>4.0000000000000001E-3</v>
      </c>
      <c r="E45" s="239" t="s">
        <v>2220</v>
      </c>
      <c r="F45" s="2533">
        <f ca="1">F27</f>
        <v>0.2</v>
      </c>
      <c r="G45" s="250" t="s">
        <v>2229</v>
      </c>
    </row>
    <row r="46" spans="1:7" s="217" customFormat="1" ht="13.5" customHeight="1">
      <c r="A46" s="885" t="s">
        <v>791</v>
      </c>
      <c r="B46" s="251" t="s">
        <v>2230</v>
      </c>
      <c r="C46" s="252">
        <f ca="1">ROUND((C33+C39)*F27,0)</f>
        <v>88239213</v>
      </c>
      <c r="D46" s="266"/>
      <c r="E46" s="239"/>
      <c r="F46" s="249"/>
      <c r="G46" s="250"/>
    </row>
    <row r="47" spans="1:7" s="217" customFormat="1" ht="13.5" customHeight="1">
      <c r="A47" s="885" t="s">
        <v>792</v>
      </c>
      <c r="B47" s="251" t="s">
        <v>2231</v>
      </c>
      <c r="C47" s="241">
        <f ca="1">ROUND(C40*F27,4)</f>
        <v>4.0000000000000001E-3</v>
      </c>
      <c r="D47" s="266"/>
      <c r="E47" s="239"/>
      <c r="F47" s="249"/>
      <c r="G47" s="250"/>
    </row>
    <row r="48" spans="1:7" s="217" customFormat="1" ht="13.5" customHeight="1">
      <c r="A48" s="258" t="s">
        <v>2193</v>
      </c>
      <c r="B48" s="213" t="s">
        <v>2232</v>
      </c>
      <c r="C48" s="265">
        <f>ROUND(F30/(1+'数据-取费表'!C42),4)</f>
        <v>5.2400000000000002E-2</v>
      </c>
      <c r="D48" s="239" t="s">
        <v>2220</v>
      </c>
      <c r="E48" s="235"/>
      <c r="F48" s="2532">
        <f>F30</f>
        <v>5.5000000000000007E-2</v>
      </c>
      <c r="G48" s="237" t="s">
        <v>2233</v>
      </c>
    </row>
    <row r="49" spans="1:7" ht="16.5" customHeight="1">
      <c r="A49" s="258" t="s">
        <v>2199</v>
      </c>
      <c r="B49" s="213" t="s">
        <v>2273</v>
      </c>
      <c r="C49" s="235">
        <f ca="1">ROUND((C33+C39+C41+C45)/(1-C40-D41-D45-C48),0)</f>
        <v>594589039</v>
      </c>
      <c r="D49" s="235"/>
      <c r="E49" s="235"/>
      <c r="F49" s="267"/>
      <c r="G49" s="237" t="s">
        <v>2235</v>
      </c>
    </row>
    <row r="50" spans="1:7" s="261" customFormat="1">
      <c r="A50" s="258" t="s">
        <v>2236</v>
      </c>
      <c r="B50" s="213" t="s">
        <v>2237</v>
      </c>
      <c r="C50" s="235"/>
      <c r="D50" s="235"/>
      <c r="E50" s="235"/>
      <c r="F50" s="267">
        <f>IF('数据-取费表'!B24=0,'数据-取费表'!N16,1)</f>
        <v>0.93</v>
      </c>
      <c r="G50" s="250"/>
    </row>
    <row r="51" spans="1:7" ht="16.5" customHeight="1">
      <c r="A51" s="258" t="s">
        <v>2239</v>
      </c>
      <c r="B51" s="213" t="s">
        <v>2274</v>
      </c>
      <c r="C51" s="235">
        <f ca="1">ROUND(C49*F50,0)</f>
        <v>552967806</v>
      </c>
      <c r="D51" s="235"/>
      <c r="E51" s="235"/>
      <c r="F51" s="267"/>
      <c r="G51" s="237" t="s">
        <v>2241</v>
      </c>
    </row>
    <row r="52" spans="1:7" s="211" customFormat="1" ht="16.5" thickBot="1">
      <c r="A52" s="268" t="s">
        <v>2242</v>
      </c>
      <c r="B52" s="269"/>
      <c r="C52" s="270">
        <f ca="1">C31+C51</f>
        <v>586799126</v>
      </c>
      <c r="D52" s="269"/>
      <c r="E52" s="269"/>
      <c r="F52" s="269"/>
      <c r="G52" s="271"/>
    </row>
    <row r="55" spans="1:7" ht="15">
      <c r="B55" s="273" t="s">
        <v>2243</v>
      </c>
      <c r="C55" s="274"/>
    </row>
    <row r="56" spans="1:7">
      <c r="B56" s="276" t="s">
        <v>1478</v>
      </c>
      <c r="C56" s="278">
        <f ca="1">1-C57</f>
        <v>5.8000000000000052E-2</v>
      </c>
    </row>
    <row r="57" spans="1:7">
      <c r="B57" s="276" t="s">
        <v>1479</v>
      </c>
      <c r="C57" s="277">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2275</v>
      </c>
      <c r="B1" s="1350"/>
      <c r="C1" s="1351"/>
      <c r="D1" s="1349"/>
      <c r="E1" s="3028"/>
      <c r="F1" s="3028"/>
      <c r="G1" s="2891"/>
      <c r="H1" s="3028"/>
      <c r="I1" s="3028"/>
      <c r="J1" s="3028"/>
      <c r="K1" s="3029">
        <f>MATCH(C1,'数据-取费表'!A6:A16,0)+5</f>
        <v>7</v>
      </c>
    </row>
    <row r="2" spans="1:33" ht="18" customHeight="1">
      <c r="A2" s="204" t="s">
        <v>2143</v>
      </c>
      <c r="B2" s="207">
        <f ca="1">C32</f>
        <v>86341</v>
      </c>
      <c r="C2" s="279" t="s">
        <v>2276</v>
      </c>
      <c r="D2" s="279"/>
      <c r="E2" s="3028"/>
      <c r="F2" s="3028"/>
      <c r="G2" s="3028"/>
      <c r="H2" s="3028"/>
      <c r="I2" s="3028"/>
      <c r="J2" s="3028"/>
      <c r="K2" s="3028"/>
    </row>
    <row r="3" spans="1:33" ht="18" customHeight="1" thickBot="1">
      <c r="A3" s="206" t="s">
        <v>2145</v>
      </c>
      <c r="B3" s="207">
        <f ca="1">ROUND(B2*10000/IF(C1="",'数据-汇总表'!E3,INDIRECT("'数据-取费表'!K"&amp;$K$1)),0)</f>
        <v>8903</v>
      </c>
      <c r="C3" s="279" t="s">
        <v>2277</v>
      </c>
      <c r="D3" s="279"/>
      <c r="E3" s="3028"/>
      <c r="F3" s="3028"/>
      <c r="G3" s="3028"/>
      <c r="H3" s="3028"/>
      <c r="I3" s="3028"/>
      <c r="J3" s="3028"/>
      <c r="K3" s="3028"/>
    </row>
    <row r="4" spans="1:33" s="890" customFormat="1" ht="16.5" customHeight="1">
      <c r="A4" s="887" t="s">
        <v>2278</v>
      </c>
      <c r="B4" s="888"/>
      <c r="C4" s="930">
        <f ca="1">SUM(C8:K8)</f>
        <v>93756</v>
      </c>
      <c r="D4" s="888"/>
      <c r="E4" s="888"/>
      <c r="F4" s="888"/>
      <c r="G4" s="888"/>
      <c r="H4" s="888"/>
      <c r="I4" s="888"/>
      <c r="J4" s="888"/>
      <c r="K4" s="889"/>
    </row>
    <row r="5" spans="1:33" s="894" customFormat="1" ht="15">
      <c r="A5" s="891" t="s">
        <v>2279</v>
      </c>
      <c r="B5" s="892" t="s">
        <v>2280</v>
      </c>
      <c r="C5" s="2042" t="s">
        <v>3047</v>
      </c>
      <c r="D5" s="2042"/>
      <c r="E5" s="2042"/>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2281</v>
      </c>
      <c r="C6" s="896">
        <f ca="1">收益法!C43</f>
        <v>9667</v>
      </c>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2282</v>
      </c>
      <c r="B7" s="133" t="s">
        <v>2283</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2284</v>
      </c>
      <c r="B8" s="166" t="s">
        <v>2285</v>
      </c>
      <c r="C8" s="931">
        <f ca="1">收益法!C40</f>
        <v>93756</v>
      </c>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2286</v>
      </c>
      <c r="B9" s="888"/>
      <c r="C9" s="888"/>
      <c r="D9" s="888"/>
      <c r="E9" s="888"/>
      <c r="F9" s="888"/>
      <c r="G9" s="888"/>
      <c r="H9" s="888"/>
      <c r="I9" s="888"/>
      <c r="J9" s="888"/>
      <c r="K9" s="889"/>
    </row>
    <row r="10" spans="1:33" s="904" customFormat="1" ht="13.5" customHeight="1">
      <c r="A10" s="891" t="s">
        <v>2287</v>
      </c>
      <c r="B10" s="8" t="s">
        <v>2288</v>
      </c>
      <c r="C10" s="900" t="s">
        <v>2289</v>
      </c>
      <c r="D10" s="901" t="s">
        <v>2290</v>
      </c>
      <c r="E10" s="901" t="s">
        <v>2291</v>
      </c>
      <c r="F10" s="901" t="s">
        <v>2292</v>
      </c>
      <c r="G10" s="8"/>
      <c r="H10" s="902"/>
      <c r="I10" s="902"/>
      <c r="J10" s="902"/>
      <c r="K10" s="903"/>
    </row>
    <row r="11" spans="1:33" s="909" customFormat="1" ht="13.5" customHeight="1">
      <c r="A11" s="905" t="s">
        <v>1300</v>
      </c>
      <c r="B11" s="906" t="s">
        <v>2293</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2294</v>
      </c>
      <c r="C12" s="24">
        <f ca="1">ROUND(C11*F12,0)</f>
        <v>0</v>
      </c>
      <c r="D12" s="907"/>
      <c r="E12" s="332"/>
      <c r="F12" s="910">
        <f>'数据-取费表'!B33</f>
        <v>0.05</v>
      </c>
      <c r="G12" s="8" t="s">
        <v>2295</v>
      </c>
      <c r="H12" s="902"/>
      <c r="I12" s="902"/>
      <c r="J12" s="902"/>
      <c r="K12" s="903"/>
    </row>
    <row r="13" spans="1:33" s="909" customFormat="1" ht="13.5" customHeight="1">
      <c r="A13" s="905" t="s">
        <v>1302</v>
      </c>
      <c r="B13" s="906" t="s">
        <v>2296</v>
      </c>
      <c r="C13" s="24">
        <f ca="1">ROUND(IF(C1="",SUMIF('数据-取费表'!C:C,"住宅",'数据-取费表'!P:P)*F13,IF(INDIRECT("'数据-取费表'!c"&amp;$K$1)="住宅",INDIRECT("'数据-取费表'!P"&amp;$K$1)*F13,0)),0)</f>
        <v>0</v>
      </c>
      <c r="D13" s="952"/>
      <c r="E13" s="332"/>
      <c r="F13" s="910">
        <f>'数据-取费表'!B34</f>
        <v>0</v>
      </c>
      <c r="G13" s="8" t="s">
        <v>2297</v>
      </c>
      <c r="H13" s="902"/>
      <c r="I13" s="902"/>
      <c r="J13" s="902"/>
      <c r="K13" s="903"/>
    </row>
    <row r="14" spans="1:33" s="911" customFormat="1" ht="13.5" customHeight="1">
      <c r="A14" s="905" t="s">
        <v>1303</v>
      </c>
      <c r="B14" s="906" t="s">
        <v>2298</v>
      </c>
      <c r="C14" s="24">
        <f ca="1">ROUND(D14*E14*F11/10000,0)</f>
        <v>0</v>
      </c>
      <c r="D14" s="952">
        <f ca="1">IF(C1="",'数据-汇总表'!E3,INDIRECT("'数据-取费表'!K"&amp;$K$1)+INDIRECT("'数据-取费表'!S"&amp;$K$1))</f>
        <v>96983.22</v>
      </c>
      <c r="E14" s="24">
        <f>'数据-取费表'!B35</f>
        <v>200</v>
      </c>
      <c r="F14" s="910"/>
      <c r="G14" s="8" t="s">
        <v>2299</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2300</v>
      </c>
      <c r="C15" s="917">
        <f ca="1">ROUND(C11*F15,0)</f>
        <v>0</v>
      </c>
      <c r="D15" s="912"/>
      <c r="E15" s="917"/>
      <c r="F15" s="918">
        <f>'数据-取费表'!B36</f>
        <v>1.4999999999999999E-2</v>
      </c>
      <c r="G15" s="133" t="s">
        <v>2301</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2302</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2303</v>
      </c>
      <c r="C17" s="24">
        <f ca="1">ROUND(D17*E17/10000,0)</f>
        <v>0</v>
      </c>
      <c r="D17" s="952">
        <f ca="1">D14</f>
        <v>96983.22</v>
      </c>
      <c r="E17" s="24">
        <f>'数据-取费表'!B32</f>
        <v>0</v>
      </c>
      <c r="F17" s="912"/>
      <c r="G17" s="133" t="s">
        <v>2304</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2305</v>
      </c>
      <c r="C18" s="24">
        <f ca="1">C19+C20-IF(C1="",'数据-取费表'!B29,IF(G18="已全部缴纳",C19+C20,H18))</f>
        <v>0</v>
      </c>
      <c r="D18" s="952"/>
      <c r="E18" s="24"/>
      <c r="F18" s="910"/>
      <c r="G18" s="2044"/>
      <c r="H18" s="1346"/>
      <c r="I18" s="2045" t="s">
        <v>2306</v>
      </c>
      <c r="J18" s="913"/>
      <c r="K18" s="914"/>
    </row>
    <row r="19" spans="1:33" s="909" customFormat="1" ht="13.5" customHeight="1">
      <c r="A19" s="905" t="s">
        <v>805</v>
      </c>
      <c r="B19" s="906" t="s">
        <v>2307</v>
      </c>
      <c r="C19" s="24">
        <f ca="1">ROUND(D19*E19/10000,0)</f>
        <v>0</v>
      </c>
      <c r="D19" s="952">
        <f ca="1">IF(C1="",'数据-汇总表'!E5,IF(INDIRECT("'数据-取费表'!c"&amp;$K$1)="住宅",INDIRECT("'数据-取费表'!k"&amp;$K$1),0))</f>
        <v>0</v>
      </c>
      <c r="E19" s="24">
        <f>'数据-取费表'!B27</f>
        <v>0</v>
      </c>
      <c r="F19" s="910"/>
      <c r="G19" s="15"/>
      <c r="H19" s="1348"/>
      <c r="I19" s="915"/>
      <c r="J19" s="915"/>
      <c r="K19" s="916"/>
    </row>
    <row r="20" spans="1:33" s="909" customFormat="1" ht="13.5" customHeight="1">
      <c r="A20" s="905" t="s">
        <v>806</v>
      </c>
      <c r="B20" s="906" t="s">
        <v>2308</v>
      </c>
      <c r="C20" s="24">
        <f ca="1">ROUND(D20*E20/10000,0)</f>
        <v>436</v>
      </c>
      <c r="D20" s="952">
        <f ca="1">IF(C1="",'数据-汇总表'!E6,IF(INDIRECT("'数据-取费表'!c"&amp;$K$1)="住宅",INDIRECT("'数据-取费表'!s"&amp;$K$1),INDIRECT("'数据-取费表'!k"&amp;$K$1)+INDIRECT("'数据-取费表'!s"&amp;$K$1)))</f>
        <v>96983.22</v>
      </c>
      <c r="E20" s="24">
        <f>'数据-取费表'!B28</f>
        <v>45</v>
      </c>
      <c r="F20" s="910"/>
      <c r="G20" s="15"/>
      <c r="H20" s="915"/>
      <c r="I20" s="915"/>
      <c r="J20" s="915"/>
      <c r="K20" s="916"/>
    </row>
    <row r="21" spans="1:33" s="909" customFormat="1" ht="13.5" customHeight="1">
      <c r="A21" s="895" t="s">
        <v>802</v>
      </c>
      <c r="B21" s="919" t="s">
        <v>2309</v>
      </c>
      <c r="C21" s="920">
        <f ca="1">C16+C17+C18</f>
        <v>0</v>
      </c>
      <c r="D21" s="921"/>
      <c r="E21" s="284"/>
      <c r="F21" s="284"/>
      <c r="G21" s="133" t="s">
        <v>2310</v>
      </c>
      <c r="H21" s="913"/>
      <c r="I21" s="913"/>
      <c r="J21" s="913"/>
      <c r="K21" s="914"/>
    </row>
    <row r="22" spans="1:33" s="909" customFormat="1" ht="13.5" customHeight="1">
      <c r="A22" s="895" t="s">
        <v>2282</v>
      </c>
      <c r="B22" s="919" t="s">
        <v>2311</v>
      </c>
      <c r="C22" s="920">
        <f ca="1">ROUND(C21*F22,0)</f>
        <v>0</v>
      </c>
      <c r="D22" s="284"/>
      <c r="E22" s="284"/>
      <c r="F22" s="922">
        <f>'数据-取费表'!B37</f>
        <v>0.02</v>
      </c>
      <c r="G22" s="8" t="s">
        <v>2312</v>
      </c>
      <c r="H22" s="902"/>
      <c r="I22" s="902"/>
      <c r="J22" s="902"/>
      <c r="K22" s="903"/>
    </row>
    <row r="23" spans="1:33" s="909" customFormat="1" ht="13.5" customHeight="1">
      <c r="A23" s="895" t="s">
        <v>2284</v>
      </c>
      <c r="B23" s="919" t="s">
        <v>2313</v>
      </c>
      <c r="C23" s="920">
        <f ca="1">ROUND(C4*F23*F11,0)</f>
        <v>0</v>
      </c>
      <c r="D23" s="284"/>
      <c r="E23" s="284"/>
      <c r="F23" s="922">
        <f>'数据-取费表'!B38</f>
        <v>0.02</v>
      </c>
      <c r="G23" s="8" t="s">
        <v>2314</v>
      </c>
      <c r="H23" s="902"/>
      <c r="I23" s="902"/>
      <c r="J23" s="902"/>
      <c r="K23" s="903"/>
    </row>
    <row r="24" spans="1:33" s="909" customFormat="1" ht="13.5" customHeight="1">
      <c r="A24" s="895" t="s">
        <v>2315</v>
      </c>
      <c r="B24" s="919" t="s">
        <v>2316</v>
      </c>
      <c r="C24" s="283">
        <f>ROUND(F24/(1+'数据-取费表'!C42),4)</f>
        <v>2.9000000000000001E-2</v>
      </c>
      <c r="D24" s="284" t="s">
        <v>15</v>
      </c>
      <c r="E24" s="284"/>
      <c r="F24" s="922">
        <f>IF(项目基本情况!B8="出让",0,'数据-取费表'!B48+'数据-取费表'!B49)</f>
        <v>3.0499999999999999E-2</v>
      </c>
      <c r="G24" s="8" t="s">
        <v>2317</v>
      </c>
      <c r="H24" s="924"/>
      <c r="I24" s="924"/>
      <c r="J24" s="924"/>
      <c r="K24" s="925"/>
    </row>
    <row r="25" spans="1:33" s="909" customFormat="1" ht="13.5" customHeight="1">
      <c r="A25" s="895" t="s">
        <v>2318</v>
      </c>
      <c r="B25" s="921" t="s">
        <v>2319</v>
      </c>
      <c r="C25" s="1263">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2320</v>
      </c>
      <c r="C26" s="1264">
        <f ca="1">ROUND(IF('数据-取费表'!B22&lt;=1,(1+C24)*F25*'数据-取费表'!B24,(1+C24)*(POWER((1+F25),'数据-取费表'!B24)-1)),4)</f>
        <v>0</v>
      </c>
      <c r="D26" s="287"/>
      <c r="E26" s="288"/>
      <c r="F26" s="289"/>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2321</v>
      </c>
      <c r="C27" s="1265">
        <f ca="1">ROUND(IF('数据-取费表'!B22&lt;=1,(C21+C22+C23)*F25*'数据-取费表'!B24/2,(C21+C22+C23)*(POWER((1+F25),'数据-取费表'!B24/2)-1)),0)</f>
        <v>0</v>
      </c>
      <c r="D27" s="287"/>
      <c r="E27" s="288"/>
      <c r="F27" s="289"/>
      <c r="G27" s="2046" t="str">
        <f>IF('数据-取费表'!B22&lt;=1,"（1）-（3）项×年利率×建设期÷2","（1）-（3）项×((1+年利率)^(建设期÷2)-1)")</f>
        <v>（1）-（3）项×((1+年利率)^(建设期÷2)-1)</v>
      </c>
      <c r="H27" s="913"/>
      <c r="I27" s="913"/>
      <c r="J27" s="913"/>
      <c r="K27" s="914"/>
    </row>
    <row r="28" spans="1:33" s="292" customFormat="1" ht="13.5" customHeight="1">
      <c r="A28" s="895" t="s">
        <v>2322</v>
      </c>
      <c r="B28" s="2047" t="s">
        <v>2323</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2324</v>
      </c>
      <c r="C29" s="287">
        <f ca="1">ROUND((1+C24)*F28*'数据-取费表'!B24/'数据-取费表'!B20,4)</f>
        <v>0</v>
      </c>
      <c r="D29" s="287"/>
      <c r="E29" s="288"/>
      <c r="F29" s="293"/>
      <c r="G29" s="133" t="s">
        <v>2325</v>
      </c>
      <c r="H29" s="913"/>
      <c r="I29" s="913"/>
      <c r="J29" s="913"/>
      <c r="K29" s="914"/>
    </row>
    <row r="30" spans="1:33" s="294" customFormat="1" ht="13.5" customHeight="1">
      <c r="A30" s="905" t="s">
        <v>804</v>
      </c>
      <c r="B30" s="928" t="s">
        <v>2326</v>
      </c>
      <c r="C30" s="295">
        <f ca="1">ROUND((C21+C22+C23)*F28,0)</f>
        <v>0</v>
      </c>
      <c r="D30" s="287"/>
      <c r="E30" s="288"/>
      <c r="F30" s="293"/>
      <c r="G30" s="133"/>
      <c r="H30" s="913"/>
      <c r="I30" s="913"/>
      <c r="J30" s="913"/>
      <c r="K30" s="914"/>
    </row>
    <row r="31" spans="1:33" s="909" customFormat="1" ht="13.5" customHeight="1" thickBot="1">
      <c r="A31" s="2048" t="s">
        <v>2327</v>
      </c>
      <c r="B31" s="939" t="s">
        <v>2328</v>
      </c>
      <c r="C31" s="940">
        <f ca="1">ROUND(C4*F31/(1+'数据-取费表'!C42),0)</f>
        <v>4911</v>
      </c>
      <c r="D31" s="941"/>
      <c r="E31" s="942"/>
      <c r="F31" s="943">
        <f>'数据-取费表'!B41</f>
        <v>5.5000000000000007E-2</v>
      </c>
      <c r="G31" s="944" t="s">
        <v>2329</v>
      </c>
      <c r="H31" s="945"/>
      <c r="I31" s="945"/>
      <c r="J31" s="945"/>
      <c r="K31" s="946"/>
    </row>
    <row r="32" spans="1:33" s="904" customFormat="1" ht="13.5" customHeight="1" thickBot="1">
      <c r="A32" s="934" t="s">
        <v>2330</v>
      </c>
      <c r="B32" s="935"/>
      <c r="C32" s="936">
        <f ca="1">ROUND((C4-C21-C22-C23-C25-C28-C31)/(1+C24+D25+D28),0)</f>
        <v>86341</v>
      </c>
      <c r="D32" s="935"/>
      <c r="E32" s="935"/>
      <c r="F32" s="935"/>
      <c r="G32" s="937" t="s">
        <v>2331</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1343</v>
      </c>
      <c r="D1" s="1544" t="s">
        <v>70</v>
      </c>
      <c r="E1" s="1545" t="s">
        <v>1352</v>
      </c>
      <c r="F1" s="1190">
        <f ca="1">J53</f>
        <v>34.69</v>
      </c>
      <c r="G1" s="1560">
        <f>MATCH(C1,'数据-取费表'!A6:A16,0)+5</f>
        <v>6</v>
      </c>
      <c r="H1" s="2912"/>
      <c r="I1" s="2913"/>
      <c r="J1" s="2913"/>
      <c r="K1" s="2914"/>
      <c r="L1" s="2913"/>
      <c r="M1" s="2913"/>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93756</v>
      </c>
      <c r="C2" s="1569" t="s">
        <v>1481</v>
      </c>
      <c r="D2" s="1569"/>
      <c r="E2" s="1570"/>
      <c r="F2" s="1571"/>
      <c r="G2" s="2926"/>
      <c r="H2" s="2915"/>
      <c r="I2" s="2915"/>
      <c r="J2" s="2915"/>
      <c r="K2" s="2916"/>
      <c r="L2" s="2915"/>
      <c r="M2" s="2915"/>
    </row>
    <row r="3" spans="1:37" ht="18" customHeight="1" thickBot="1">
      <c r="A3" s="1572" t="s">
        <v>1482</v>
      </c>
      <c r="B3" s="1573">
        <f ca="1">IF(ISERROR(B2*10000/F43),0,ROUND(B2*10000/F43,0))</f>
        <v>9667</v>
      </c>
      <c r="C3" s="1569" t="s">
        <v>1483</v>
      </c>
      <c r="D3" s="1569"/>
      <c r="E3" s="1570"/>
      <c r="F3" s="1571"/>
      <c r="G3" s="2926"/>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6380</v>
      </c>
      <c r="D5" s="1546" t="s">
        <v>1367</v>
      </c>
      <c r="E5" s="1200"/>
      <c r="F5" s="1201"/>
      <c r="G5" s="1566"/>
      <c r="H5" s="302">
        <v>1</v>
      </c>
      <c r="I5" s="303" t="s">
        <v>1366</v>
      </c>
      <c r="J5" s="1199">
        <f ca="1">J6+J10+J12</f>
        <v>0</v>
      </c>
      <c r="K5" s="1546" t="s">
        <v>1367</v>
      </c>
      <c r="L5" s="1200"/>
      <c r="M5" s="1201"/>
    </row>
    <row r="6" spans="1:37" ht="18" customHeight="1">
      <c r="A6" s="1198" t="s">
        <v>1003</v>
      </c>
      <c r="B6" s="3274" t="s">
        <v>1368</v>
      </c>
      <c r="C6" s="1203">
        <f ca="1">ROUND(F6*F8*F7*(1-F9)/10000,0)</f>
        <v>6372</v>
      </c>
      <c r="D6" s="157" t="s">
        <v>2841</v>
      </c>
      <c r="E6" s="305" t="s">
        <v>1370</v>
      </c>
      <c r="F6" s="306">
        <f ca="1">INDIRECT("'数据-取费表'!u"&amp;$G$1)</f>
        <v>2</v>
      </c>
      <c r="G6" s="1566"/>
      <c r="H6" s="1198" t="s">
        <v>1003</v>
      </c>
      <c r="I6" s="3274" t="s">
        <v>1368</v>
      </c>
      <c r="J6" s="304">
        <f ca="1">ROUND(M6*M8*M7*(1-M9)/10000,0)</f>
        <v>0</v>
      </c>
      <c r="K6" s="157" t="s">
        <v>2840</v>
      </c>
      <c r="L6" s="305" t="s">
        <v>1370</v>
      </c>
      <c r="M6" s="306">
        <f ca="1">INDIRECT("'数据-取费表'!z"&amp;$G$1)</f>
        <v>0</v>
      </c>
    </row>
    <row r="7" spans="1:37" ht="18" customHeight="1">
      <c r="A7" s="1202"/>
      <c r="B7" s="3275"/>
      <c r="C7" s="1204"/>
      <c r="D7" s="310"/>
      <c r="E7" s="1205" t="s">
        <v>1371</v>
      </c>
      <c r="F7" s="306">
        <f ca="1">IF(INDIRECT("'数据-取费表'!ah"&amp;$G$1)="",INDIRECT("'数据-取费表'!k"&amp;$G$1),INDIRECT("'数据-取费表'!ah"&amp;$G$1))</f>
        <v>96983.22</v>
      </c>
      <c r="G7" s="1566"/>
      <c r="H7" s="307"/>
      <c r="I7" s="3275"/>
      <c r="J7" s="309"/>
      <c r="K7" s="310"/>
      <c r="L7" s="305" t="s">
        <v>1371</v>
      </c>
      <c r="M7" s="306">
        <f ca="1">F7</f>
        <v>96983.22</v>
      </c>
    </row>
    <row r="8" spans="1:37" ht="18" customHeight="1">
      <c r="A8" s="307"/>
      <c r="B8" s="3275"/>
      <c r="C8" s="309"/>
      <c r="D8" s="310"/>
      <c r="E8" s="305" t="s">
        <v>1372</v>
      </c>
      <c r="F8" s="306">
        <f ca="1">INDIRECT("'数据-取费表'!ai"&amp;$G$1)</f>
        <v>365</v>
      </c>
      <c r="G8" s="1566"/>
      <c r="H8" s="307"/>
      <c r="I8" s="3275"/>
      <c r="J8" s="309"/>
      <c r="K8" s="310"/>
      <c r="L8" s="305" t="s">
        <v>1372</v>
      </c>
      <c r="M8" s="306">
        <f ca="1">INDIRECT("'数据-取费表'!ai"&amp;$G$1)</f>
        <v>365</v>
      </c>
    </row>
    <row r="9" spans="1:37" ht="18" customHeight="1">
      <c r="A9" s="307"/>
      <c r="B9" s="3276"/>
      <c r="C9" s="309"/>
      <c r="D9" s="310"/>
      <c r="E9" s="305" t="s">
        <v>1373</v>
      </c>
      <c r="F9" s="315">
        <f ca="1">INDIRECT("'数据-取费表'!w"&amp;$G$1)</f>
        <v>0.1</v>
      </c>
      <c r="G9" s="1566"/>
      <c r="H9" s="307"/>
      <c r="I9" s="3276"/>
      <c r="J9" s="309"/>
      <c r="K9" s="310"/>
      <c r="L9" s="316" t="s">
        <v>1373</v>
      </c>
      <c r="M9" s="317">
        <f ca="1">INDIRECT("'数据-取费表'!ab"&amp;$G$1)</f>
        <v>0</v>
      </c>
    </row>
    <row r="10" spans="1:37" ht="18" customHeight="1">
      <c r="A10" s="1198" t="s">
        <v>1007</v>
      </c>
      <c r="B10" s="1547" t="s">
        <v>1374</v>
      </c>
      <c r="C10" s="319">
        <f ca="1">ROUND(IF(F10="押一",C6/12*F11,IF(F10="押二",C6/12*2*F11,IF(F10="押三",C6/12*3*F11,C11*F11))),0)</f>
        <v>8</v>
      </c>
      <c r="D10" s="1548" t="s">
        <v>2849</v>
      </c>
      <c r="E10" s="316" t="s">
        <v>1375</v>
      </c>
      <c r="F10" s="1273" t="s">
        <v>3049</v>
      </c>
      <c r="G10" s="1566"/>
      <c r="H10" s="1198" t="s">
        <v>1007</v>
      </c>
      <c r="I10" s="1547" t="s">
        <v>1374</v>
      </c>
      <c r="J10" s="304">
        <f ca="1">ROUND(IF(M10="押一",J6/12*M11,IF(M10="押二",J6/12*2*M11,IF(M10="押三",J6/12*3*M11,J11*M11))),0)</f>
        <v>0</v>
      </c>
      <c r="K10" s="1548" t="s">
        <v>2848</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55298</v>
      </c>
      <c r="D13" s="1238" t="s">
        <v>1380</v>
      </c>
      <c r="E13" s="1238" t="s">
        <v>1381</v>
      </c>
      <c r="F13" s="1239">
        <f ca="1">INDIRECT("'数据-取费表'!y"&amp;$G$1)</f>
        <v>0.93</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38793</v>
      </c>
      <c r="D14" s="1527" t="s">
        <v>1383</v>
      </c>
      <c r="E14" s="1524"/>
      <c r="F14" s="322"/>
      <c r="G14" s="1566"/>
      <c r="H14" s="1110" t="s">
        <v>1003</v>
      </c>
      <c r="I14" s="305" t="s">
        <v>1384</v>
      </c>
      <c r="J14" s="24">
        <f ca="1">C29</f>
        <v>59460</v>
      </c>
      <c r="K14" s="15"/>
      <c r="L14" s="913"/>
      <c r="M14" s="914"/>
    </row>
    <row r="15" spans="1:37" s="1579" customFormat="1" ht="18" customHeight="1" thickBot="1">
      <c r="A15" s="1110" t="s">
        <v>1004</v>
      </c>
      <c r="B15" s="305" t="s">
        <v>1385</v>
      </c>
      <c r="C15" s="24">
        <f ca="1">ROUND(C14*F15,0)</f>
        <v>1940</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1430</v>
      </c>
      <c r="K16" s="1244" t="s">
        <v>1390</v>
      </c>
      <c r="L16" s="1245"/>
      <c r="M16" s="1201"/>
    </row>
    <row r="17" spans="1:37" s="1579" customFormat="1" ht="18" customHeight="1">
      <c r="A17" s="1110" t="s">
        <v>1355</v>
      </c>
      <c r="B17" s="305" t="s">
        <v>1391</v>
      </c>
      <c r="C17" s="24">
        <f ca="1">ROUND(F17*(F43+INDIRECT("'数据-取费表'!S"&amp;$G$1))/10000,0)</f>
        <v>1940</v>
      </c>
      <c r="D17" s="305" t="s">
        <v>1392</v>
      </c>
      <c r="E17" s="305" t="s">
        <v>1393</v>
      </c>
      <c r="F17" s="26">
        <f>'数据-取费表'!B35</f>
        <v>200</v>
      </c>
      <c r="G17" s="1578"/>
      <c r="H17" s="1110" t="s">
        <v>1003</v>
      </c>
      <c r="I17" s="305" t="s">
        <v>1394</v>
      </c>
      <c r="J17" s="2530">
        <f ca="1">ROUND(IF(AND(项目基本情况!B11="自然人",项目基本情况!B10="北京市"),J6*M17/(1+'数据-取费表'!C42),J18+J19+J20),0)</f>
        <v>538</v>
      </c>
      <c r="K17" s="1527" t="s">
        <v>1395</v>
      </c>
      <c r="L17" s="1526" t="s">
        <v>1396</v>
      </c>
      <c r="M17" s="2529"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582</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43255</v>
      </c>
      <c r="D19" s="133" t="s">
        <v>1401</v>
      </c>
      <c r="E19" s="1542"/>
      <c r="F19" s="26"/>
      <c r="G19" s="1566"/>
      <c r="H19" s="1110" t="s">
        <v>1004</v>
      </c>
      <c r="I19" s="305" t="s">
        <v>1402</v>
      </c>
      <c r="J19" s="24">
        <f ca="1">IF(K19="按租金收入计税",ROUND(J6*M19/(1+'数据-取费表'!C42),2),ROUND(C29*M19*0.7,2))</f>
        <v>499.46</v>
      </c>
      <c r="K19" s="1552" t="s">
        <v>1403</v>
      </c>
      <c r="L19" s="305" t="s">
        <v>1387</v>
      </c>
      <c r="M19" s="325">
        <f>IF(K19="按租金收入计税",'数据-取费表'!B51,'数据-取费表'!B50)</f>
        <v>1.2E-2</v>
      </c>
    </row>
    <row r="20" spans="1:37" s="1579" customFormat="1" ht="18" customHeight="1">
      <c r="A20" s="1110" t="s">
        <v>1007</v>
      </c>
      <c r="B20" s="305" t="s">
        <v>1404</v>
      </c>
      <c r="C20" s="24">
        <f ca="1">ROUND(C19*F20,0)</f>
        <v>865</v>
      </c>
      <c r="D20" s="326" t="s">
        <v>1405</v>
      </c>
      <c r="E20" s="305" t="s">
        <v>1387</v>
      </c>
      <c r="F20" s="325">
        <f>'数据-取费表'!B37</f>
        <v>0.02</v>
      </c>
      <c r="G20" s="1578"/>
      <c r="H20" s="1110" t="s">
        <v>1354</v>
      </c>
      <c r="I20" s="157" t="s">
        <v>1406</v>
      </c>
      <c r="J20" s="25">
        <f ca="1">ROUND(M20*M21/10000,2)</f>
        <v>38.340000000000003</v>
      </c>
      <c r="K20" s="327" t="s">
        <v>1407</v>
      </c>
      <c r="L20" s="305" t="s">
        <v>1408</v>
      </c>
      <c r="M20" s="328">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0.02</v>
      </c>
      <c r="G21" s="1578"/>
      <c r="H21" s="329"/>
      <c r="I21" s="314"/>
      <c r="J21" s="29"/>
      <c r="K21" s="330"/>
      <c r="L21" s="305" t="s">
        <v>1412</v>
      </c>
      <c r="M21" s="306">
        <f ca="1">INDIRECT("'数据-取费表'!r"&amp;$G$1)</f>
        <v>47924.04</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ROUND(J14*M22,1)</f>
        <v>891.9</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1920</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ROUND(J13*M23,1)</f>
        <v>0</v>
      </c>
      <c r="K23" s="1526" t="s">
        <v>1419</v>
      </c>
      <c r="L23" s="305" t="s">
        <v>1420</v>
      </c>
      <c r="M23" s="333">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-1430</v>
      </c>
      <c r="K25" s="1252" t="s">
        <v>1429</v>
      </c>
      <c r="L25" s="1253"/>
      <c r="M25" s="1254"/>
    </row>
    <row r="26" spans="1:37">
      <c r="A26" s="1110" t="s">
        <v>1002</v>
      </c>
      <c r="B26" s="305" t="s">
        <v>1430</v>
      </c>
      <c r="C26" s="24">
        <f ca="1">ROUND((C19+C20)*F26,0)</f>
        <v>8824</v>
      </c>
      <c r="D26" s="326" t="s">
        <v>1431</v>
      </c>
      <c r="E26" s="316" t="s">
        <v>1432</v>
      </c>
      <c r="F26" s="315">
        <f ca="1">INDIRECT("'数据-取费表'!q"&amp;$G$1)</f>
        <v>0.2</v>
      </c>
      <c r="G26" s="1566"/>
      <c r="H26" s="302" t="s">
        <v>1000</v>
      </c>
      <c r="I26" s="303" t="s">
        <v>1433</v>
      </c>
      <c r="J26" s="304">
        <f ca="1">IF(J5&lt;&gt;0,ROUND(J25*(1-((1+M28)/(1+M26))^M27)/(M26-M28),0),0)</f>
        <v>0</v>
      </c>
      <c r="K26" s="327" t="s">
        <v>1434</v>
      </c>
      <c r="L26" s="305" t="s">
        <v>1435</v>
      </c>
      <c r="M26" s="315">
        <f ca="1">INDIRECT("'数据-取费表'!I"&amp;$G$1)</f>
        <v>5.5E-2</v>
      </c>
    </row>
    <row r="27" spans="1:37" ht="18" customHeight="1">
      <c r="A27" s="1110" t="s">
        <v>1004</v>
      </c>
      <c r="B27" s="305" t="s">
        <v>1436</v>
      </c>
      <c r="C27" s="24">
        <f ca="1">ROUND(F21*F26,4)</f>
        <v>4.0000000000000001E-3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5.2400000000000002E-2</v>
      </c>
      <c r="D28" s="326" t="s">
        <v>1441</v>
      </c>
      <c r="E28" s="305" t="s">
        <v>1387</v>
      </c>
      <c r="F28" s="325">
        <f>'数据-取费表'!B41</f>
        <v>5.5000000000000007E-2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59460</v>
      </c>
      <c r="D29" s="1249"/>
      <c r="E29" s="1247"/>
      <c r="F29" s="1250"/>
      <c r="G29" s="1578"/>
      <c r="H29" s="337" t="s">
        <v>1001</v>
      </c>
      <c r="I29" s="338" t="s">
        <v>1444</v>
      </c>
      <c r="J29" s="339">
        <f ca="1">ROUND(J26/(1+F40)^F41,0)</f>
        <v>0</v>
      </c>
      <c r="K29" s="340" t="s">
        <v>1445</v>
      </c>
      <c r="L29" s="341"/>
      <c r="M29" s="342">
        <f ca="1">INDIRECT("'数据-取费表'!k"&amp;$G$1)</f>
        <v>96983.22</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2230</v>
      </c>
      <c r="D30" s="1244" t="s">
        <v>1390</v>
      </c>
      <c r="E30" s="1245"/>
      <c r="F30" s="1201"/>
      <c r="G30" s="1566"/>
      <c r="H30" s="2917"/>
      <c r="I30" s="1580"/>
      <c r="J30" s="1581"/>
      <c r="K30" s="2692"/>
      <c r="L30" s="2918"/>
      <c r="M30" s="2919"/>
    </row>
    <row r="31" spans="1:37" ht="18" customHeight="1">
      <c r="A31" s="1110" t="s">
        <v>1003</v>
      </c>
      <c r="B31" s="305" t="s">
        <v>1394</v>
      </c>
      <c r="C31" s="2530">
        <f ca="1">ROUND(IF(AND(项目基本情况!B11="自然人",项目基本情况!B10="北京市"),C6*F31/(1+'数据-取费表'!C42),C32+C33+C34),0)</f>
        <v>1100</v>
      </c>
      <c r="D31" s="1527" t="s">
        <v>1395</v>
      </c>
      <c r="E31" s="1526" t="s">
        <v>1446</v>
      </c>
      <c r="F31" s="2529" t="str">
        <f>IF(项目基本情况!B11="企业","——",IF('数据-取费表'!B10="住宅",IF(F6*F7*F8/12/(1+'数据-取费表'!F30)&gt;100000,4%,2.5%),IF(F6*F7*F8/12/(1+'数据-取费表'!F30)&gt;100000,12%,7%)))</f>
        <v>——</v>
      </c>
      <c r="G31" s="1566"/>
      <c r="H31" s="3030" t="s">
        <v>3039</v>
      </c>
      <c r="I31" s="1580"/>
      <c r="J31" s="1581"/>
      <c r="K31" s="2692"/>
      <c r="L31" s="2918"/>
      <c r="M31" s="2919"/>
    </row>
    <row r="32" spans="1:37" ht="18" customHeight="1">
      <c r="A32" s="1110" t="s">
        <v>1002</v>
      </c>
      <c r="B32" s="305" t="s">
        <v>1398</v>
      </c>
      <c r="C32" s="24">
        <f ca="1">IF(项目基本情况!B11="自然人","——",ROUND(C6*F32/(1+'数据-取费表'!C42),2))</f>
        <v>333.77</v>
      </c>
      <c r="D32" s="1526" t="s">
        <v>1399</v>
      </c>
      <c r="E32" s="305" t="s">
        <v>1387</v>
      </c>
      <c r="F32" s="334">
        <f>'数据-取费表'!B41</f>
        <v>5.5000000000000007E-2</v>
      </c>
      <c r="G32" s="1566"/>
      <c r="H32" s="2917"/>
      <c r="I32" s="1580"/>
      <c r="J32" s="1581"/>
      <c r="K32" s="2692"/>
      <c r="L32" s="2918"/>
      <c r="M32" s="2919"/>
    </row>
    <row r="33" spans="1:18" ht="18" customHeight="1">
      <c r="A33" s="1110" t="s">
        <v>1004</v>
      </c>
      <c r="B33" s="305" t="s">
        <v>1402</v>
      </c>
      <c r="C33" s="24">
        <f ca="1">IF(项目基本情况!B11="自然人","——",IF(D33="按租金收入计税",ROUND(C6*F33/(1+'数据-取费表'!C42),2),IF(D33="按房产原值计税",ROUND(C29*F33*0.7,2),INDIRECT("'数据-取费表'!Aj"&amp;$G$1))))</f>
        <v>728.23</v>
      </c>
      <c r="D33" s="1552" t="s">
        <v>3050</v>
      </c>
      <c r="E33" s="305" t="s">
        <v>1387</v>
      </c>
      <c r="F33" s="325">
        <f>IF(D33="按票据","——",IF(D33="按租金收入计税",'数据-取费表'!B51,'数据-取费表'!B50))</f>
        <v>0.12</v>
      </c>
      <c r="G33" s="1566"/>
      <c r="H33" s="2920"/>
      <c r="I33" s="3277" t="s">
        <v>3270</v>
      </c>
      <c r="J33" s="3277" t="s">
        <v>3271</v>
      </c>
      <c r="K33" s="3277"/>
      <c r="L33" s="3277"/>
      <c r="M33" s="2920"/>
    </row>
    <row r="34" spans="1:18" ht="18" customHeight="1">
      <c r="A34" s="1198" t="s">
        <v>1354</v>
      </c>
      <c r="B34" s="157" t="s">
        <v>1406</v>
      </c>
      <c r="C34" s="25">
        <f ca="1">IF(项目基本情况!B11="自然人","——",ROUND(F34*F35/10000,2))</f>
        <v>38.340000000000003</v>
      </c>
      <c r="D34" s="327" t="s">
        <v>1407</v>
      </c>
      <c r="E34" s="305" t="s">
        <v>1408</v>
      </c>
      <c r="F34" s="328">
        <f>'数据-取费表'!B52</f>
        <v>8</v>
      </c>
      <c r="G34" s="1566"/>
      <c r="H34" s="2917"/>
      <c r="I34" s="3277"/>
      <c r="J34" s="3069">
        <v>2018</v>
      </c>
      <c r="K34" s="3069">
        <v>2019</v>
      </c>
      <c r="L34" s="3069">
        <v>2020</v>
      </c>
      <c r="M34" s="2923"/>
    </row>
    <row r="35" spans="1:18" ht="18" customHeight="1">
      <c r="A35" s="1260"/>
      <c r="B35" s="1258"/>
      <c r="C35" s="29"/>
      <c r="D35" s="330"/>
      <c r="E35" s="305" t="s">
        <v>1412</v>
      </c>
      <c r="F35" s="306">
        <f ca="1">INDIRECT("'数据-取费表'!r"&amp;$G$1)</f>
        <v>47924.04</v>
      </c>
      <c r="G35" s="1566"/>
      <c r="H35" s="2917"/>
      <c r="I35" s="3070" t="s">
        <v>3272</v>
      </c>
      <c r="J35" s="3071">
        <f>([1]广西北海!$H$4)/10000</f>
        <v>6692.2834780000003</v>
      </c>
      <c r="K35" s="3071">
        <f>('[2]附件1.1-净物业收入分成-北海'!$F$9)/10000</f>
        <v>7020.7045699999999</v>
      </c>
      <c r="L35" s="3071">
        <f>('[3]附件1.1-净物业收入分成-北海银海'!$F$9)/10000</f>
        <v>5836.7109099999998</v>
      </c>
      <c r="M35" s="2920"/>
    </row>
    <row r="36" spans="1:18" ht="18" customHeight="1">
      <c r="A36" s="1259" t="s">
        <v>1007</v>
      </c>
      <c r="B36" s="305" t="s">
        <v>1414</v>
      </c>
      <c r="C36" s="24">
        <f ca="1">ROUND(C29*F36,1)</f>
        <v>891.9</v>
      </c>
      <c r="D36" s="1526" t="s">
        <v>1447</v>
      </c>
      <c r="E36" s="305" t="s">
        <v>1387</v>
      </c>
      <c r="F36" s="331">
        <f ca="1">INDIRECT("'数据-取费表'!Ak"&amp;$G$1)</f>
        <v>1.4999999999999999E-2</v>
      </c>
      <c r="G36" s="1566"/>
      <c r="H36" s="2920"/>
      <c r="I36" s="3070" t="s">
        <v>3273</v>
      </c>
      <c r="J36" s="3071">
        <f>([1]江西抚州!$H$4)/10000</f>
        <v>7477.4837749999997</v>
      </c>
      <c r="K36" s="3071">
        <f>('[2]附件1.2-净物业收益分成-抚州'!$F$9)/10000</f>
        <v>7630.8964459999997</v>
      </c>
      <c r="L36" s="3071">
        <f>('[3]附件1.2-净物业收益分成-抚州临川'!$F$9)/10000</f>
        <v>5465.7917729999999</v>
      </c>
      <c r="M36" s="2920"/>
    </row>
    <row r="37" spans="1:18" ht="18" customHeight="1">
      <c r="A37" s="1110" t="s">
        <v>1043</v>
      </c>
      <c r="B37" s="305" t="s">
        <v>1418</v>
      </c>
      <c r="C37" s="24">
        <f ca="1">ROUND(C13*F37,1)</f>
        <v>110.6</v>
      </c>
      <c r="D37" s="1526" t="s">
        <v>1419</v>
      </c>
      <c r="E37" s="305" t="s">
        <v>1420</v>
      </c>
      <c r="F37" s="333">
        <f ca="1">INDIRECT("'数据-取费表'!Al"&amp;$G$1)</f>
        <v>2E-3</v>
      </c>
      <c r="G37" s="1566"/>
      <c r="H37" s="2920"/>
      <c r="I37" s="3070" t="s">
        <v>3274</v>
      </c>
      <c r="J37" s="3071">
        <f>([1]江西九江!$H$4)/10000</f>
        <v>6845.8960459999989</v>
      </c>
      <c r="K37" s="3071">
        <f>('[2]附件1.3-净物业收益分成-九江'!$F$9)/10000</f>
        <v>7068.6450540000005</v>
      </c>
      <c r="L37" s="3071">
        <f>('[3]附件1.3-净物业收益分成-九江濂溪'!$F$9)/10000</f>
        <v>6166.6539249999996</v>
      </c>
      <c r="M37" s="2920"/>
    </row>
    <row r="38" spans="1:18" ht="18" customHeight="1" thickBot="1">
      <c r="A38" s="1246" t="s">
        <v>1358</v>
      </c>
      <c r="B38" s="1247" t="s">
        <v>1404</v>
      </c>
      <c r="C38" s="1248">
        <f ca="1">ROUND(C5*F38,1)</f>
        <v>127.6</v>
      </c>
      <c r="D38" s="1249" t="s">
        <v>1424</v>
      </c>
      <c r="E38" s="1247" t="s">
        <v>1420</v>
      </c>
      <c r="F38" s="1243">
        <f ca="1">INDIRECT("'数据-取费表'!Am"&amp;$G$1)</f>
        <v>0.02</v>
      </c>
      <c r="G38" s="1566"/>
      <c r="H38" s="2920"/>
      <c r="I38" s="3074" t="s">
        <v>3275</v>
      </c>
      <c r="J38" s="3075">
        <f>([1]四川雅安!$H$4)/10000</f>
        <v>6804.0932870000006</v>
      </c>
      <c r="K38" s="3075">
        <f>('[2]附件1.4-净物业收益分成-雅安'!$F$9)/10000</f>
        <v>7040.6372920000003</v>
      </c>
      <c r="L38" s="3075">
        <f>('[3]附件1.4-净物业收益分成-雅安'!$F$9)/10000</f>
        <v>5937.899077</v>
      </c>
      <c r="M38" s="3076">
        <f>K38/J37:J38-1</f>
        <v>3.4764956184822449E-2</v>
      </c>
    </row>
    <row r="39" spans="1:18" ht="24.6" customHeight="1" thickTop="1">
      <c r="A39" s="1236" t="s">
        <v>999</v>
      </c>
      <c r="B39" s="1251" t="s">
        <v>1448</v>
      </c>
      <c r="C39" s="313">
        <f ca="1">C5-C30</f>
        <v>4150</v>
      </c>
      <c r="D39" s="1252" t="s">
        <v>1449</v>
      </c>
      <c r="E39" s="1253"/>
      <c r="F39" s="1254"/>
      <c r="G39" s="1566"/>
      <c r="H39" s="2920"/>
      <c r="I39" s="3070" t="s">
        <v>3276</v>
      </c>
      <c r="J39" s="3071">
        <f>([1]辽宁辽阳!$H$4)/10000</f>
        <v>4152.5784020000001</v>
      </c>
      <c r="K39" s="3071">
        <f>('[2]附件1.5-净物业收益分成-辽阳'!$F$9)/10000</f>
        <v>4114.1787020000002</v>
      </c>
      <c r="L39" s="3071">
        <f>('[3]附件1.5-净物业收益分成-辽阳'!$F$9)/10000</f>
        <v>3127.0209500000001</v>
      </c>
      <c r="M39" s="2920"/>
    </row>
    <row r="40" spans="1:18" ht="18" customHeight="1">
      <c r="A40" s="302" t="s">
        <v>1000</v>
      </c>
      <c r="B40" s="303" t="s">
        <v>1450</v>
      </c>
      <c r="C40" s="304">
        <f ca="1">ROUND(C39*(1-((1+F42)/(1+F40))^F41)/(F40-F42),0)</f>
        <v>93756</v>
      </c>
      <c r="D40" s="327" t="s">
        <v>1434</v>
      </c>
      <c r="E40" s="305" t="s">
        <v>1435</v>
      </c>
      <c r="F40" s="315">
        <f ca="1">INDIRECT("'数据-取费表'!I"&amp;$G$1)</f>
        <v>5.5E-2</v>
      </c>
      <c r="G40" s="1566"/>
      <c r="H40" s="1643"/>
      <c r="I40" s="3072" t="s">
        <v>3277</v>
      </c>
      <c r="J40" s="3073">
        <f>SUM(J35:J39)</f>
        <v>31972.334987999999</v>
      </c>
      <c r="K40" s="3073">
        <f t="shared" ref="K40:L40" si="0">SUM(K35:K39)</f>
        <v>32875.062063999998</v>
      </c>
      <c r="L40" s="3073">
        <f t="shared" si="0"/>
        <v>26534.076634999998</v>
      </c>
      <c r="M40" s="1643"/>
    </row>
    <row r="41" spans="1:18" ht="18" customHeight="1">
      <c r="A41" s="307"/>
      <c r="B41" s="308"/>
      <c r="C41" s="309"/>
      <c r="D41" s="335" t="s">
        <v>1451</v>
      </c>
      <c r="E41" s="305" t="s">
        <v>1439</v>
      </c>
      <c r="F41" s="336">
        <f ca="1">IF(INDIRECT("'数据-取费表'!af"&amp;$G$1)=0,INDIRECT("'数据-取费表'!ae"&amp;$G$1),INDIRECT("'数据-取费表'!af"&amp;$G$1))</f>
        <v>34.69</v>
      </c>
      <c r="G41" s="1566"/>
      <c r="H41" s="1350"/>
      <c r="I41" s="1580"/>
      <c r="J41" s="1581"/>
      <c r="K41" s="2761"/>
      <c r="L41" s="1350"/>
      <c r="M41" s="1350"/>
    </row>
    <row r="42" spans="1:18" ht="18" customHeight="1">
      <c r="A42" s="311"/>
      <c r="B42" s="312"/>
      <c r="C42" s="313"/>
      <c r="D42" s="330"/>
      <c r="E42" s="305" t="s">
        <v>1442</v>
      </c>
      <c r="F42" s="315">
        <f ca="1">INDIRECT("'数据-取费表'!v"&amp;$G$1)</f>
        <v>0.03</v>
      </c>
      <c r="G42" s="1566"/>
      <c r="H42" s="1350"/>
      <c r="I42" s="1580"/>
      <c r="J42" s="1581"/>
      <c r="K42" s="2761"/>
      <c r="L42" s="1350"/>
      <c r="M42" s="1350"/>
    </row>
    <row r="43" spans="1:18" ht="18" customHeight="1" thickBot="1">
      <c r="A43" s="337" t="s">
        <v>1001</v>
      </c>
      <c r="B43" s="338" t="s">
        <v>1452</v>
      </c>
      <c r="C43" s="339">
        <f ca="1">ROUND(C40*10000/F43,0)</f>
        <v>9667</v>
      </c>
      <c r="D43" s="340" t="s">
        <v>1453</v>
      </c>
      <c r="E43" s="341" t="s">
        <v>1454</v>
      </c>
      <c r="F43" s="342">
        <f ca="1">INDIRECT("'数据-取费表'!k"&amp;$G$1)</f>
        <v>96983.22</v>
      </c>
      <c r="G43" s="1566"/>
      <c r="H43" s="1350"/>
      <c r="I43" s="1580" t="s">
        <v>3278</v>
      </c>
      <c r="J43" s="1350"/>
      <c r="K43" s="2761"/>
      <c r="L43" s="1350"/>
      <c r="M43" s="1350"/>
    </row>
    <row r="44" spans="1:18" s="1566" customFormat="1" ht="18" customHeight="1">
      <c r="A44" s="1582"/>
      <c r="B44" s="1582"/>
      <c r="C44" s="1583"/>
      <c r="D44" s="1582"/>
      <c r="E44" s="1582"/>
      <c r="F44" s="1582"/>
      <c r="I44" s="1350" t="s">
        <v>3279</v>
      </c>
      <c r="K44" s="1584"/>
    </row>
    <row r="45" spans="1:18" s="1566" customFormat="1" ht="18" customHeight="1" thickBot="1">
      <c r="A45" s="1582"/>
      <c r="B45" s="1582"/>
      <c r="C45" s="1583"/>
      <c r="D45" s="1582"/>
      <c r="E45" s="1582"/>
      <c r="F45" s="1582"/>
      <c r="J45" s="732"/>
      <c r="O45" s="2925" t="s">
        <v>1484</v>
      </c>
      <c r="P45" s="1643"/>
      <c r="Q45" s="1643"/>
      <c r="R45" s="1643"/>
    </row>
    <row r="46" spans="1:18" s="1566" customFormat="1" ht="13.5" thickBot="1">
      <c r="A46" s="1586" t="s">
        <v>1485</v>
      </c>
      <c r="C46" s="1587">
        <f ca="1">C68-C40</f>
        <v>-186371</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3085</v>
      </c>
      <c r="K47" s="1598" t="s">
        <v>1492</v>
      </c>
      <c r="L47" s="1599">
        <f ca="1">INDIRECT("'数据-取费表'!d"&amp;$G$1)</f>
        <v>40</v>
      </c>
      <c r="M47" s="1562" t="str">
        <f>IF(ISNUMBER(FIND("住宅",C1)),"住宅","非住宅")</f>
        <v>非住宅</v>
      </c>
      <c r="O47" s="1600" t="s">
        <v>1008</v>
      </c>
      <c r="P47" s="1601" t="s">
        <v>1493</v>
      </c>
      <c r="Q47" s="1602">
        <f ca="1">C40+J29</f>
        <v>93756</v>
      </c>
      <c r="R47" s="1602" t="s">
        <v>1494</v>
      </c>
    </row>
    <row r="48" spans="1:18" s="1566" customFormat="1" ht="28.5" thickBot="1">
      <c r="A48" s="1267" t="s">
        <v>1103</v>
      </c>
      <c r="B48" s="303" t="s">
        <v>1366</v>
      </c>
      <c r="C48" s="1541">
        <f ca="1">C49+C53+C55</f>
        <v>0</v>
      </c>
      <c r="D48" s="1269"/>
      <c r="E48" s="1270"/>
      <c r="F48" s="1090"/>
      <c r="G48" s="728"/>
      <c r="H48" s="729"/>
      <c r="I48" s="1603" t="s">
        <v>1495</v>
      </c>
      <c r="J48" s="1604" t="s">
        <v>3086</v>
      </c>
      <c r="K48" s="1605" t="s">
        <v>1496</v>
      </c>
      <c r="L48" s="1606">
        <f ca="1">INDIRECT("'数据-取费表'!f"&amp;$G$1)</f>
        <v>34.69</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2842</v>
      </c>
      <c r="E49" s="1554" t="s">
        <v>1456</v>
      </c>
      <c r="F49" s="1188"/>
      <c r="G49" s="1607"/>
      <c r="H49" s="729"/>
      <c r="I49" s="1603" t="s">
        <v>1499</v>
      </c>
      <c r="J49" s="1608">
        <v>2005</v>
      </c>
      <c r="K49" s="1605" t="s">
        <v>1500</v>
      </c>
      <c r="L49" s="1609"/>
      <c r="O49" s="1610" t="s">
        <v>1010</v>
      </c>
      <c r="P49" s="1601" t="s">
        <v>1501</v>
      </c>
      <c r="Q49" s="1602">
        <f ca="1">C29</f>
        <v>59460</v>
      </c>
      <c r="R49" s="1602" t="s">
        <v>1494</v>
      </c>
    </row>
    <row r="50" spans="1:18" s="1566" customFormat="1" ht="13.5" thickBot="1">
      <c r="A50" s="1104"/>
      <c r="B50" s="1107"/>
      <c r="C50" s="1275"/>
      <c r="D50" s="1081"/>
      <c r="E50" s="1184" t="s">
        <v>1371</v>
      </c>
      <c r="F50" s="1185">
        <f ca="1">F7</f>
        <v>96983.22</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44</v>
      </c>
      <c r="K51" s="1616" t="s">
        <v>1506</v>
      </c>
      <c r="L51" s="1617">
        <f ca="1">ROUND(-PV(INDIRECT("'数据-取费表'!h"&amp;$G$1),J51,(C39-C13*C76),0),0)</f>
        <v>-9720</v>
      </c>
      <c r="M51" s="1618"/>
      <c r="O51" s="1610" t="s">
        <v>1012</v>
      </c>
      <c r="P51" s="1601" t="s">
        <v>1507</v>
      </c>
      <c r="Q51" s="1613">
        <f>J52</f>
        <v>0.09</v>
      </c>
      <c r="R51" s="1602"/>
    </row>
    <row r="52" spans="1:18" s="1566" customFormat="1" ht="13.5" thickBot="1">
      <c r="A52" s="1105"/>
      <c r="B52" s="1107"/>
      <c r="C52" s="1108"/>
      <c r="D52" s="1081"/>
      <c r="E52" s="1109" t="s">
        <v>1373</v>
      </c>
      <c r="F52" s="1182"/>
      <c r="I52" s="1619" t="s">
        <v>1508</v>
      </c>
      <c r="J52" s="1620">
        <v>0.09</v>
      </c>
      <c r="K52" s="1619" t="s">
        <v>1509</v>
      </c>
      <c r="L52" s="1620"/>
      <c r="O52" s="1610" t="s">
        <v>1013</v>
      </c>
      <c r="P52" s="1601" t="s">
        <v>1510</v>
      </c>
      <c r="Q52" s="1602">
        <f ca="1">J53</f>
        <v>34.69</v>
      </c>
      <c r="R52" s="1602" t="s">
        <v>1511</v>
      </c>
    </row>
    <row r="53" spans="1:18" s="1566" customFormat="1" ht="24.75" thickBot="1">
      <c r="A53" s="1311" t="s">
        <v>1105</v>
      </c>
      <c r="B53" s="1555" t="s">
        <v>1374</v>
      </c>
      <c r="C53" s="319">
        <f ca="1">ROUND(IF(F53="押一",C49/12*F11,IF(F53="押二",C49/12*2*F11,IF(F53="押三",C49/12*3*F11,C54*F11))),0)</f>
        <v>0</v>
      </c>
      <c r="D53" s="1548" t="s">
        <v>2848</v>
      </c>
      <c r="E53" s="316" t="s">
        <v>1375</v>
      </c>
      <c r="F53" s="1273"/>
      <c r="I53" s="1621" t="s">
        <v>1512</v>
      </c>
      <c r="J53" s="2382">
        <f ca="1">IF(M47="住宅",IF(D1="——",MAX(J51,L48),MAX(J51,L48-'数据-取费表'!B24)),IF(D1="——",MIN(J51,L48),MIN(J51,L48-'数据-取费表'!B24)))</f>
        <v>34.69</v>
      </c>
      <c r="K53" s="3272" t="s">
        <v>1513</v>
      </c>
      <c r="L53" s="3273"/>
      <c r="O53" s="1600" t="s">
        <v>1014</v>
      </c>
      <c r="P53" s="1601" t="s">
        <v>1514</v>
      </c>
      <c r="Q53" s="1602">
        <f ca="1">Q47+Q48</f>
        <v>93756</v>
      </c>
      <c r="R53" s="1602" t="s">
        <v>1015</v>
      </c>
    </row>
    <row r="54" spans="1:18" s="1566" customFormat="1" ht="13.5" thickBot="1">
      <c r="A54" s="1312"/>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55298</v>
      </c>
      <c r="D56" s="1629"/>
      <c r="E56" s="1630"/>
      <c r="F56" s="1622"/>
      <c r="I56" s="1631" t="s">
        <v>1519</v>
      </c>
      <c r="J56" s="1632" t="s">
        <v>3044</v>
      </c>
      <c r="K56" s="1603" t="s">
        <v>1520</v>
      </c>
      <c r="L56" s="1606" t="str">
        <f ca="1">IF(L48&lt;J51,"——",L48-J53)</f>
        <v>——</v>
      </c>
      <c r="O56" s="1600" t="s">
        <v>1008</v>
      </c>
      <c r="P56" s="1601" t="s">
        <v>1493</v>
      </c>
      <c r="Q56" s="1602">
        <f ca="1">C40+J29</f>
        <v>93756</v>
      </c>
      <c r="R56" s="1602" t="s">
        <v>1494</v>
      </c>
    </row>
    <row r="57" spans="1:18" s="1566" customFormat="1" ht="24.75" thickBot="1">
      <c r="A57" s="1633"/>
      <c r="B57" s="1078" t="s">
        <v>1443</v>
      </c>
      <c r="C57" s="241">
        <f ca="1">C29</f>
        <v>59460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6036</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0">
        <f ca="1">ROUND(IF(AND(项目基本情况!B11="自然人",项目基本情况!B10="北京市"),C49*F59/(1+'数据-取费表'!C42),C60+C61+C62),0)</f>
        <v>5033</v>
      </c>
      <c r="D59" s="1091" t="s">
        <v>1395</v>
      </c>
      <c r="E59" s="1092" t="s">
        <v>1396</v>
      </c>
      <c r="F59" s="2529"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1">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4994.6400000000003</v>
      </c>
      <c r="D61" s="1552" t="s">
        <v>1403</v>
      </c>
      <c r="E61" s="1078" t="s">
        <v>1459</v>
      </c>
      <c r="F61" s="325">
        <f t="shared" si="1"/>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38.340000000000003</v>
      </c>
      <c r="D62" s="1093" t="s">
        <v>1462</v>
      </c>
      <c r="E62" s="1078" t="s">
        <v>1463</v>
      </c>
      <c r="F62" s="328">
        <f t="shared" si="1"/>
        <v>8</v>
      </c>
      <c r="I62" s="1644" t="s">
        <v>1535</v>
      </c>
      <c r="J62" s="1645" t="s">
        <v>1536</v>
      </c>
      <c r="K62" s="1645" t="s">
        <v>1537</v>
      </c>
      <c r="L62" s="1645" t="s">
        <v>1538</v>
      </c>
      <c r="M62" s="1646" t="s">
        <v>1539</v>
      </c>
      <c r="O62" s="1600" t="s">
        <v>1014</v>
      </c>
      <c r="P62" s="1601" t="s">
        <v>1540</v>
      </c>
      <c r="Q62" s="1602">
        <f ca="1">Q56+Q57</f>
        <v>93756</v>
      </c>
      <c r="R62" s="1602" t="s">
        <v>1015</v>
      </c>
    </row>
    <row r="63" spans="1:18" s="1566" customFormat="1" ht="13.5" thickBot="1">
      <c r="A63" s="329"/>
      <c r="B63" s="1084"/>
      <c r="C63" s="29"/>
      <c r="D63" s="1094"/>
      <c r="E63" s="1078" t="s">
        <v>1464</v>
      </c>
      <c r="F63" s="306">
        <f t="shared" ca="1" si="1"/>
        <v>47924.04</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891.9</v>
      </c>
      <c r="D64" s="1092" t="s">
        <v>1467</v>
      </c>
      <c r="E64" s="1078" t="s">
        <v>1459</v>
      </c>
      <c r="F64" s="331">
        <f t="shared" ca="1" si="1"/>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110.6</v>
      </c>
      <c r="D65" s="1092" t="s">
        <v>1419</v>
      </c>
      <c r="E65" s="1078" t="s">
        <v>1420</v>
      </c>
      <c r="F65" s="333">
        <f t="shared" ca="1" si="1"/>
        <v>2E-3</v>
      </c>
      <c r="I65" s="1644" t="s">
        <v>1544</v>
      </c>
      <c r="J65" s="1645">
        <v>40</v>
      </c>
      <c r="K65" s="1645">
        <v>30</v>
      </c>
      <c r="L65" s="1645">
        <v>50</v>
      </c>
      <c r="M65" s="1647">
        <v>0.02</v>
      </c>
      <c r="O65" s="1600" t="s">
        <v>1008</v>
      </c>
      <c r="P65" s="1601" t="s">
        <v>1545</v>
      </c>
      <c r="Q65" s="1602">
        <f ca="1">C40+J29</f>
        <v>93756</v>
      </c>
      <c r="R65" s="1602" t="s">
        <v>1494</v>
      </c>
    </row>
    <row r="66" spans="1:18" s="1566" customFormat="1" ht="16.5" thickBot="1">
      <c r="A66" s="1110" t="s">
        <v>1469</v>
      </c>
      <c r="B66" s="1078" t="s">
        <v>1404</v>
      </c>
      <c r="C66" s="24">
        <f ca="1">ROUND(C48*F66,1)</f>
        <v>0</v>
      </c>
      <c r="D66" s="1092" t="s">
        <v>1470</v>
      </c>
      <c r="E66" s="1078" t="s">
        <v>1387</v>
      </c>
      <c r="F66" s="315">
        <f t="shared" ca="1" si="1"/>
        <v>0.02</v>
      </c>
      <c r="O66" s="1600" t="s">
        <v>1009</v>
      </c>
      <c r="P66" s="1601" t="s">
        <v>1523</v>
      </c>
      <c r="Q66" s="1602">
        <f ca="1">L60</f>
        <v>0</v>
      </c>
      <c r="R66" s="1602" t="s">
        <v>1546</v>
      </c>
    </row>
    <row r="67" spans="1:18" s="1566" customFormat="1" ht="16.5" thickBot="1">
      <c r="A67" s="1085" t="s">
        <v>999</v>
      </c>
      <c r="B67" s="1095" t="s">
        <v>1428</v>
      </c>
      <c r="C67" s="319">
        <f ca="1">C48-C58</f>
        <v>-6036</v>
      </c>
      <c r="D67" s="1091" t="s">
        <v>1429</v>
      </c>
      <c r="E67" s="1096"/>
      <c r="F67" s="1097"/>
      <c r="O67" s="1610" t="s">
        <v>1010</v>
      </c>
      <c r="P67" s="1601" t="s">
        <v>1527</v>
      </c>
      <c r="Q67" s="1648">
        <f ca="1">L51</f>
        <v>-9720</v>
      </c>
      <c r="R67" s="1602" t="s">
        <v>1547</v>
      </c>
    </row>
    <row r="68" spans="1:18" s="1566" customFormat="1" ht="16.5" thickBot="1">
      <c r="A68" s="1075" t="s">
        <v>1000</v>
      </c>
      <c r="B68" s="1076" t="s">
        <v>1450</v>
      </c>
      <c r="C68" s="304">
        <f ca="1">ROUND(C67*(1-((1+F70)/(1+F68))^F69)/(F68-F70),0)</f>
        <v>-92615</v>
      </c>
      <c r="D68" s="1093" t="s">
        <v>1434</v>
      </c>
      <c r="E68" s="1078" t="s">
        <v>1435</v>
      </c>
      <c r="F68" s="315">
        <f ca="1">F40</f>
        <v>5.5E-2</v>
      </c>
      <c r="O68" s="1610" t="s">
        <v>1011</v>
      </c>
      <c r="P68" s="1649" t="s">
        <v>1548</v>
      </c>
      <c r="Q68" s="1602">
        <f ca="1">ROUND(Q69-Q70*Q71,0)</f>
        <v>-550</v>
      </c>
      <c r="R68" s="1602" t="s">
        <v>1019</v>
      </c>
    </row>
    <row r="69" spans="1:18" s="1566" customFormat="1" ht="13.5" thickBot="1">
      <c r="A69" s="1079"/>
      <c r="B69" s="1080"/>
      <c r="C69" s="309"/>
      <c r="D69" s="1098" t="s">
        <v>1438</v>
      </c>
      <c r="E69" s="1078" t="s">
        <v>1439</v>
      </c>
      <c r="F69" s="336">
        <f ca="1">F41</f>
        <v>34.69</v>
      </c>
      <c r="O69" s="1610" t="s">
        <v>1016</v>
      </c>
      <c r="P69" s="1649" t="s">
        <v>1549</v>
      </c>
      <c r="Q69" s="1602">
        <f ca="1">C39</f>
        <v>4150</v>
      </c>
      <c r="R69" s="1602" t="s">
        <v>1494</v>
      </c>
    </row>
    <row r="70" spans="1:18" s="1566" customFormat="1" ht="13.5" thickBot="1">
      <c r="A70" s="1082"/>
      <c r="B70" s="1083"/>
      <c r="C70" s="313"/>
      <c r="D70" s="1094"/>
      <c r="E70" s="1078" t="s">
        <v>1442</v>
      </c>
      <c r="F70" s="1182"/>
      <c r="O70" s="1610" t="s">
        <v>1017</v>
      </c>
      <c r="P70" s="1649" t="s">
        <v>1550</v>
      </c>
      <c r="Q70" s="1602">
        <f ca="1">C13</f>
        <v>55298</v>
      </c>
      <c r="R70" s="1602" t="s">
        <v>1494</v>
      </c>
    </row>
    <row r="71" spans="1:18" s="1566" customFormat="1" ht="13.5" thickBot="1">
      <c r="A71" s="1099" t="s">
        <v>1001</v>
      </c>
      <c r="B71" s="1100" t="s">
        <v>1452</v>
      </c>
      <c r="C71" s="339">
        <f ca="1">ROUND(C68*10000/F71,0)</f>
        <v>-9550</v>
      </c>
      <c r="D71" s="1101" t="s">
        <v>1453</v>
      </c>
      <c r="E71" s="1102" t="s">
        <v>1454</v>
      </c>
      <c r="F71" s="342">
        <f ca="1">F43</f>
        <v>96983.22</v>
      </c>
      <c r="O71" s="1610" t="s">
        <v>1018</v>
      </c>
      <c r="P71" s="1649" t="s">
        <v>1551</v>
      </c>
      <c r="Q71" s="1613">
        <f ca="1">C76</f>
        <v>8.5000000000000006E-2</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4700</v>
      </c>
      <c r="D75" s="1566"/>
      <c r="E75" s="1566"/>
      <c r="F75" s="1566"/>
      <c r="K75" s="1584"/>
      <c r="L75" s="1566"/>
      <c r="O75" s="1600" t="s">
        <v>1014</v>
      </c>
      <c r="P75" s="1601" t="s">
        <v>1514</v>
      </c>
      <c r="Q75" s="1602">
        <f ca="1">Q65+Q66</f>
        <v>93756</v>
      </c>
      <c r="R75" s="1602" t="s">
        <v>1015</v>
      </c>
    </row>
    <row r="76" spans="1:18">
      <c r="B76" s="345" t="s">
        <v>1472</v>
      </c>
      <c r="C76" s="346">
        <f ca="1">INDIRECT("'数据-取费表'!j"&amp;$G$1)</f>
        <v>8.5000000000000006E-2</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-0.13300000000000001</v>
      </c>
    </row>
    <row r="80" spans="1:18">
      <c r="B80" s="343" t="s">
        <v>1476</v>
      </c>
      <c r="C80" s="277">
        <f ca="1">ROUND(C75/C39,3)</f>
        <v>1.133</v>
      </c>
    </row>
    <row r="81" spans="2:3">
      <c r="B81" s="273" t="s">
        <v>1477</v>
      </c>
      <c r="C81" s="241"/>
    </row>
    <row r="82" spans="2:3">
      <c r="B82" s="276" t="s">
        <v>1478</v>
      </c>
      <c r="C82" s="278">
        <f ca="1">1-C83</f>
        <v>0.41000000000000003</v>
      </c>
    </row>
    <row r="83" spans="2:3">
      <c r="B83" s="276" t="s">
        <v>1479</v>
      </c>
      <c r="C83" s="277">
        <f ca="1">ROUND(C13/C40,3)</f>
        <v>0.59</v>
      </c>
    </row>
  </sheetData>
  <sheetProtection password="CEE9" sheet="1" objects="1" scenarios="1" formatCells="0" formatColumns="0" formatRows="0"/>
  <mergeCells count="5">
    <mergeCell ref="K53:L53"/>
    <mergeCell ref="B6:B9"/>
    <mergeCell ref="I6:I9"/>
    <mergeCell ref="I33:I34"/>
    <mergeCell ref="J33:L33"/>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2"/>
      <c r="I1" s="2913"/>
      <c r="J1" s="2913"/>
      <c r="K1" s="2914"/>
      <c r="L1" s="2913"/>
      <c r="M1" s="2913"/>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26"/>
      <c r="H2" s="2915"/>
      <c r="I2" s="2915"/>
      <c r="J2" s="2915"/>
      <c r="K2" s="2916"/>
      <c r="L2" s="2915"/>
      <c r="M2" s="2915"/>
    </row>
    <row r="3" spans="1:37" ht="18" customHeight="1" thickBot="1">
      <c r="A3" s="1572" t="s">
        <v>1558</v>
      </c>
      <c r="B3" s="1573">
        <f ca="1">IF(ISERROR(D2/F43),0,ROUND(D2/F43,0))</f>
        <v>0</v>
      </c>
      <c r="C3" s="1569" t="s">
        <v>1559</v>
      </c>
      <c r="D3" s="1569"/>
      <c r="E3" s="1570"/>
      <c r="F3" s="1571"/>
      <c r="G3" s="2926"/>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74" t="s">
        <v>1368</v>
      </c>
      <c r="C6" s="1203">
        <f ca="1">ROUND(F6*F8*F7*(1-F9),0)</f>
        <v>0</v>
      </c>
      <c r="D6" s="157" t="s">
        <v>2838</v>
      </c>
      <c r="E6" s="305" t="s">
        <v>1370</v>
      </c>
      <c r="F6" s="306">
        <f ca="1">INDIRECT("'数据-取费表'!u"&amp;$G$1)</f>
        <v>0</v>
      </c>
      <c r="G6" s="1566"/>
      <c r="H6" s="1198" t="s">
        <v>1003</v>
      </c>
      <c r="I6" s="3274" t="s">
        <v>1368</v>
      </c>
      <c r="J6" s="304">
        <f ca="1">ROUND(M6*M8*M7*(1-M9),0)</f>
        <v>0</v>
      </c>
      <c r="K6" s="1558" t="s">
        <v>2839</v>
      </c>
      <c r="L6" s="305" t="s">
        <v>1370</v>
      </c>
      <c r="M6" s="306">
        <f ca="1">INDIRECT("'数据-取费表'!z"&amp;$G$1)</f>
        <v>0</v>
      </c>
    </row>
    <row r="7" spans="1:37" ht="18" customHeight="1">
      <c r="A7" s="1202"/>
      <c r="B7" s="3275"/>
      <c r="C7" s="1204"/>
      <c r="D7" s="310"/>
      <c r="E7" s="1205" t="s">
        <v>1371</v>
      </c>
      <c r="F7" s="306">
        <f ca="1">IF(INDIRECT("'数据-取费表'!ah"&amp;$G$1)="",INDIRECT("'数据-取费表'!k"&amp;$G$1),INDIRECT("'数据-取费表'!ah"&amp;$G$1))</f>
        <v>0</v>
      </c>
      <c r="G7" s="1566"/>
      <c r="H7" s="307"/>
      <c r="I7" s="3275"/>
      <c r="J7" s="309"/>
      <c r="K7" s="310"/>
      <c r="L7" s="305" t="s">
        <v>1371</v>
      </c>
      <c r="M7" s="306">
        <f ca="1">F7</f>
        <v>0</v>
      </c>
    </row>
    <row r="8" spans="1:37" ht="18" customHeight="1">
      <c r="A8" s="307"/>
      <c r="B8" s="3275"/>
      <c r="C8" s="309"/>
      <c r="D8" s="310"/>
      <c r="E8" s="305" t="s">
        <v>1372</v>
      </c>
      <c r="F8" s="306">
        <f ca="1">INDIRECT("'数据-取费表'!ai"&amp;$G$1)</f>
        <v>0</v>
      </c>
      <c r="G8" s="1566"/>
      <c r="H8" s="307"/>
      <c r="I8" s="3275"/>
      <c r="J8" s="309"/>
      <c r="K8" s="310"/>
      <c r="L8" s="305" t="s">
        <v>1372</v>
      </c>
      <c r="M8" s="306">
        <f ca="1">INDIRECT("'数据-取费表'!ai"&amp;$G$1)</f>
        <v>0</v>
      </c>
    </row>
    <row r="9" spans="1:37" ht="18" customHeight="1">
      <c r="A9" s="307"/>
      <c r="B9" s="3276"/>
      <c r="C9" s="309"/>
      <c r="D9" s="310"/>
      <c r="E9" s="305" t="s">
        <v>1373</v>
      </c>
      <c r="F9" s="315">
        <f ca="1">INDIRECT("'数据-取费表'!w"&amp;$G$1)</f>
        <v>0</v>
      </c>
      <c r="G9" s="1566"/>
      <c r="H9" s="307"/>
      <c r="I9" s="3276"/>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2848</v>
      </c>
      <c r="E10" s="316" t="s">
        <v>1375</v>
      </c>
      <c r="F10" s="1273"/>
      <c r="G10" s="1566"/>
      <c r="H10" s="1198" t="s">
        <v>1007</v>
      </c>
      <c r="I10" s="1547" t="s">
        <v>1374</v>
      </c>
      <c r="J10" s="304">
        <f ca="1">ROUND(IF(M10="押一",J6/12*M11,IF(M10="押二",J6/12*2*M11,IF(M10="押三",J6/12*3*M11,J11*M11))),0)</f>
        <v>0</v>
      </c>
      <c r="K10" s="1559" t="s">
        <v>2850</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0">
        <f ca="1">ROUND(IF(AND(项目基本情况!B11="自然人",项目基本情况!B10="北京市"),J6*M17/(1+'数据-取费表'!C42),J18+J19+J20),0)</f>
        <v>0</v>
      </c>
      <c r="K17" s="1527" t="s">
        <v>1395</v>
      </c>
      <c r="L17" s="1526" t="s">
        <v>1396</v>
      </c>
      <c r="M17" s="2529"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0.02</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5.2400000000000002E-2</v>
      </c>
      <c r="D28" s="326" t="s">
        <v>1441</v>
      </c>
      <c r="E28" s="305" t="s">
        <v>1387</v>
      </c>
      <c r="F28" s="325">
        <f>'数据-取费表'!B41</f>
        <v>5.5000000000000007E-2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17"/>
      <c r="I30" s="1580"/>
      <c r="J30" s="1581"/>
      <c r="K30" s="2692"/>
      <c r="L30" s="2918"/>
      <c r="M30" s="2919"/>
    </row>
    <row r="31" spans="1:37" ht="18" customHeight="1">
      <c r="A31" s="1110" t="s">
        <v>1003</v>
      </c>
      <c r="B31" s="305" t="s">
        <v>1394</v>
      </c>
      <c r="C31" s="2530">
        <f ca="1">ROUND(IF(AND(项目基本情况!B11="自然人",项目基本情况!B10="北京市"),C6*F31/(1+'数据-取费表'!C42),C32+C33+C34),0)</f>
        <v>0</v>
      </c>
      <c r="D31" s="1527" t="s">
        <v>1395</v>
      </c>
      <c r="E31" s="1526" t="s">
        <v>1446</v>
      </c>
      <c r="F31" s="2529" t="str">
        <f>IF(项目基本情况!B11="企业","——",IF('数据-取费表'!B10="住宅",IF(F6*F7*F8/12/(1+'数据-取费表'!F30)&gt;100000,4%,2.5%),IF(F6*F7*F8/12/(1+'数据-取费表'!F30)&gt;100000,12%,7%)))</f>
        <v>——</v>
      </c>
      <c r="G31" s="1566"/>
      <c r="H31" s="3030" t="s">
        <v>3039</v>
      </c>
      <c r="I31" s="1580"/>
      <c r="J31" s="1581"/>
      <c r="K31" s="2692"/>
      <c r="L31" s="2918"/>
      <c r="M31" s="2919"/>
    </row>
    <row r="32" spans="1:37" ht="18" customHeight="1">
      <c r="A32" s="1110" t="s">
        <v>1002</v>
      </c>
      <c r="B32" s="305" t="s">
        <v>1398</v>
      </c>
      <c r="C32" s="24">
        <f ca="1">IF(项目基本情况!B11="自然人","——",ROUND(C6*F32/(1+'数据-取费表'!C42),0))</f>
        <v>0</v>
      </c>
      <c r="D32" s="1526" t="s">
        <v>1399</v>
      </c>
      <c r="E32" s="305" t="s">
        <v>1387</v>
      </c>
      <c r="F32" s="334">
        <f>'数据-取费表'!B41</f>
        <v>5.5000000000000007E-2</v>
      </c>
      <c r="G32" s="1566"/>
      <c r="H32" s="2917"/>
      <c r="I32" s="1580"/>
      <c r="J32" s="1581"/>
      <c r="K32" s="2692"/>
      <c r="L32" s="2918"/>
      <c r="M32" s="2919"/>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0"/>
      <c r="I33" s="1580"/>
      <c r="J33" s="1581"/>
      <c r="K33" s="2921"/>
      <c r="L33" s="2920"/>
      <c r="M33" s="2920"/>
    </row>
    <row r="34" spans="1:18" ht="18" customHeight="1">
      <c r="A34" s="1198" t="s">
        <v>1354</v>
      </c>
      <c r="B34" s="157" t="s">
        <v>1406</v>
      </c>
      <c r="C34" s="25">
        <f ca="1">IF(项目基本情况!B11="自然人","——",ROUND(F34*F35,))</f>
        <v>0</v>
      </c>
      <c r="D34" s="327" t="s">
        <v>1407</v>
      </c>
      <c r="E34" s="305" t="s">
        <v>1408</v>
      </c>
      <c r="F34" s="328">
        <f>'数据-取费表'!B52</f>
        <v>8</v>
      </c>
      <c r="G34" s="1566"/>
      <c r="H34" s="2917"/>
      <c r="I34" s="1580"/>
      <c r="J34" s="1581"/>
      <c r="K34" s="2922"/>
      <c r="L34" s="2923"/>
      <c r="M34" s="2923"/>
    </row>
    <row r="35" spans="1:18" ht="18" customHeight="1">
      <c r="A35" s="1260"/>
      <c r="B35" s="1258"/>
      <c r="C35" s="29"/>
      <c r="D35" s="330"/>
      <c r="E35" s="305" t="s">
        <v>1412</v>
      </c>
      <c r="F35" s="306">
        <f ca="1">INDIRECT("'数据-取费表'!r"&amp;$G$1)</f>
        <v>0</v>
      </c>
      <c r="G35" s="1566"/>
      <c r="H35" s="2917"/>
      <c r="I35" s="1580"/>
      <c r="J35" s="1581"/>
      <c r="K35" s="2921"/>
      <c r="L35" s="2920"/>
      <c r="M35" s="2920"/>
    </row>
    <row r="36" spans="1:18" ht="18" customHeight="1">
      <c r="A36" s="1259" t="s">
        <v>1007</v>
      </c>
      <c r="B36" s="305" t="s">
        <v>1414</v>
      </c>
      <c r="C36" s="24">
        <f ca="1">ROUND(C29*F36,0)</f>
        <v>0</v>
      </c>
      <c r="D36" s="1526" t="s">
        <v>1447</v>
      </c>
      <c r="E36" s="305" t="s">
        <v>1387</v>
      </c>
      <c r="F36" s="331">
        <f ca="1">INDIRECT("'数据-取费表'!Ak"&amp;$G$1)</f>
        <v>0</v>
      </c>
      <c r="G36" s="1566"/>
      <c r="H36" s="2920"/>
      <c r="I36" s="1580"/>
      <c r="J36" s="1581"/>
      <c r="K36" s="2761"/>
      <c r="L36" s="2920"/>
      <c r="M36" s="2920"/>
    </row>
    <row r="37" spans="1:18" ht="18" customHeight="1">
      <c r="A37" s="1110" t="s">
        <v>1043</v>
      </c>
      <c r="B37" s="305" t="s">
        <v>1418</v>
      </c>
      <c r="C37" s="24">
        <f ca="1">ROUND(C13*F37,0)</f>
        <v>0</v>
      </c>
      <c r="D37" s="1526" t="s">
        <v>1419</v>
      </c>
      <c r="E37" s="305" t="s">
        <v>1420</v>
      </c>
      <c r="F37" s="333">
        <f ca="1">INDIRECT("'数据-取费表'!Al"&amp;$G$1)</f>
        <v>0</v>
      </c>
      <c r="G37" s="1566"/>
      <c r="H37" s="2920"/>
      <c r="I37" s="1580"/>
      <c r="J37" s="1581"/>
      <c r="K37" s="2761"/>
      <c r="L37" s="2920"/>
      <c r="M37" s="2920"/>
    </row>
    <row r="38" spans="1:18" ht="18" customHeight="1" thickBot="1">
      <c r="A38" s="1246" t="s">
        <v>1358</v>
      </c>
      <c r="B38" s="1247" t="s">
        <v>1404</v>
      </c>
      <c r="C38" s="1248">
        <f ca="1">ROUND(C5*F38,1)</f>
        <v>0</v>
      </c>
      <c r="D38" s="1249" t="s">
        <v>1424</v>
      </c>
      <c r="E38" s="1247" t="s">
        <v>1420</v>
      </c>
      <c r="F38" s="1243">
        <f ca="1">INDIRECT("'数据-取费表'!Am"&amp;$G$1)</f>
        <v>0</v>
      </c>
      <c r="G38" s="1566"/>
      <c r="H38" s="2920"/>
      <c r="I38" s="1580"/>
      <c r="J38" s="1581"/>
      <c r="K38" s="2924"/>
      <c r="L38" s="2920"/>
      <c r="M38" s="2920"/>
    </row>
    <row r="39" spans="1:18" ht="24.6" customHeight="1" thickTop="1">
      <c r="A39" s="1236" t="s">
        <v>999</v>
      </c>
      <c r="B39" s="1251" t="s">
        <v>1448</v>
      </c>
      <c r="C39" s="313">
        <f ca="1">C5-C30</f>
        <v>0</v>
      </c>
      <c r="D39" s="1252" t="s">
        <v>1449</v>
      </c>
      <c r="E39" s="1253"/>
      <c r="F39" s="1254"/>
      <c r="G39" s="1566"/>
      <c r="H39" s="2920"/>
      <c r="I39" s="1580"/>
      <c r="J39" s="1581"/>
      <c r="K39" s="2924"/>
      <c r="L39" s="2920"/>
      <c r="M39" s="2920"/>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24"/>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50"/>
      <c r="I41" s="1580"/>
      <c r="J41" s="1581"/>
      <c r="K41" s="2761"/>
      <c r="L41" s="1350"/>
      <c r="M41" s="1350"/>
    </row>
    <row r="42" spans="1:18" ht="18" customHeight="1">
      <c r="A42" s="311"/>
      <c r="B42" s="312"/>
      <c r="C42" s="313"/>
      <c r="D42" s="330"/>
      <c r="E42" s="305" t="s">
        <v>1442</v>
      </c>
      <c r="F42" s="315">
        <f ca="1">INDIRECT("'数据-取费表'!v"&amp;$G$1)</f>
        <v>0</v>
      </c>
      <c r="G42" s="1566"/>
      <c r="H42" s="1350"/>
      <c r="I42" s="1580"/>
      <c r="J42" s="1581"/>
      <c r="K42" s="2761"/>
      <c r="L42" s="1350"/>
      <c r="M42" s="1350"/>
    </row>
    <row r="43" spans="1:18" ht="18" customHeight="1" thickBot="1">
      <c r="A43" s="337" t="s">
        <v>1001</v>
      </c>
      <c r="B43" s="338" t="s">
        <v>1452</v>
      </c>
      <c r="C43" s="339" t="e">
        <f ca="1">ROUND(C40/F43,0)</f>
        <v>#DIV/0!</v>
      </c>
      <c r="D43" s="340" t="s">
        <v>1453</v>
      </c>
      <c r="E43" s="341" t="s">
        <v>1454</v>
      </c>
      <c r="F43" s="342">
        <f ca="1">INDIRECT("'数据-取费表'!k"&amp;$G$1)</f>
        <v>0</v>
      </c>
      <c r="G43" s="1566"/>
      <c r="H43" s="1350"/>
      <c r="I43" s="1350"/>
      <c r="J43" s="1350"/>
      <c r="K43" s="2761"/>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2851</v>
      </c>
      <c r="E53" s="316" t="s">
        <v>1375</v>
      </c>
      <c r="F53" s="1273"/>
      <c r="I53" s="1621" t="s">
        <v>1512</v>
      </c>
      <c r="J53" s="2382">
        <f ca="1">IF(M47="住宅",IF(D1="——",MAX(J51,L48),MAX(J51,L48-'数据-取费表'!B24)),IF(D1="——",MIN(J51,L48),MIN(J51,L48-'数据-取费表'!B24)))</f>
        <v>0</v>
      </c>
      <c r="K53" s="3272" t="s">
        <v>1513</v>
      </c>
      <c r="L53" s="3273"/>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0">
        <f ca="1">ROUND(IF(AND(项目基本情况!B11="自然人",项目基本情况!B10="北京市"),C49*F59/(1+'数据-取费表'!C42),C60+C61+C62),0)</f>
        <v>0</v>
      </c>
      <c r="D59" s="1091" t="s">
        <v>1395</v>
      </c>
      <c r="E59" s="1092" t="s">
        <v>1396</v>
      </c>
      <c r="F59" s="2529"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49" t="s">
        <v>2339</v>
      </c>
      <c r="B1" s="2050"/>
      <c r="C1" s="2050"/>
      <c r="D1" s="2050"/>
      <c r="E1" s="2051"/>
      <c r="F1" s="2927"/>
      <c r="G1" s="1672"/>
      <c r="H1" s="1672"/>
      <c r="I1" s="1672"/>
      <c r="J1" s="1672"/>
      <c r="K1" s="1672"/>
      <c r="L1" s="1672"/>
      <c r="M1" s="1672"/>
      <c r="N1" s="1672"/>
      <c r="O1" s="1672"/>
      <c r="P1" s="1672"/>
      <c r="Q1" s="1672"/>
      <c r="R1" s="1672"/>
      <c r="S1" s="1672"/>
    </row>
    <row r="2" spans="1:22" ht="15.75">
      <c r="A2" s="2052" t="s">
        <v>2143</v>
      </c>
      <c r="B2" s="2053">
        <f ca="1">SUMIF(B6:B13,"&lt;&gt;#ref!",B6:B13)</f>
        <v>93756</v>
      </c>
      <c r="C2" s="2054" t="s">
        <v>2332</v>
      </c>
      <c r="D2" s="2055" t="s">
        <v>2333</v>
      </c>
      <c r="E2" s="2824">
        <f>SUM(E6:E13)</f>
        <v>96983.22</v>
      </c>
      <c r="F2" s="2927"/>
      <c r="G2" s="1672"/>
      <c r="H2" s="1672"/>
      <c r="I2" s="1672"/>
      <c r="J2" s="1672"/>
      <c r="K2" s="1672"/>
      <c r="L2" s="1672"/>
      <c r="M2" s="1672"/>
      <c r="N2" s="1672"/>
      <c r="O2" s="1672"/>
      <c r="P2" s="1672"/>
      <c r="Q2" s="1672"/>
      <c r="R2" s="1672"/>
      <c r="S2" s="1672"/>
    </row>
    <row r="3" spans="1:22" ht="15.75">
      <c r="A3" s="2052" t="s">
        <v>1360</v>
      </c>
      <c r="B3" s="2818">
        <f ca="1">ROUND(B2*10000/E2,0)</f>
        <v>9667</v>
      </c>
      <c r="C3" s="2054" t="s">
        <v>2340</v>
      </c>
      <c r="D3" s="2929"/>
      <c r="E3" s="2931"/>
      <c r="F3" s="2927"/>
      <c r="G3" s="1672"/>
      <c r="H3" s="1672"/>
      <c r="I3" s="1672"/>
      <c r="J3" s="1672"/>
      <c r="K3" s="1672"/>
      <c r="L3" s="1672"/>
      <c r="M3" s="1672"/>
      <c r="N3" s="1672"/>
      <c r="O3" s="1672"/>
      <c r="P3" s="1672"/>
      <c r="Q3" s="1672"/>
      <c r="R3" s="1672"/>
      <c r="S3" s="1672"/>
    </row>
    <row r="4" spans="1:22" ht="15.75">
      <c r="A4" s="2932"/>
      <c r="B4" s="2929"/>
      <c r="C4" s="2929"/>
      <c r="D4" s="2929"/>
      <c r="E4" s="2931"/>
      <c r="F4" s="2927"/>
      <c r="G4" s="1672"/>
      <c r="H4" s="1672"/>
      <c r="I4" s="1672"/>
      <c r="J4" s="1672"/>
      <c r="K4" s="1672"/>
      <c r="L4" s="1672"/>
      <c r="M4" s="1672"/>
      <c r="N4" s="1672"/>
      <c r="O4" s="1672"/>
      <c r="P4" s="1672"/>
      <c r="Q4" s="1672"/>
      <c r="R4" s="1672"/>
      <c r="S4" s="1672"/>
    </row>
    <row r="5" spans="1:22" ht="15">
      <c r="A5" s="2820" t="s">
        <v>2334</v>
      </c>
      <c r="B5" s="3278" t="s">
        <v>2335</v>
      </c>
      <c r="C5" s="3279"/>
      <c r="D5" s="2928"/>
      <c r="E5" s="2056" t="s">
        <v>2336</v>
      </c>
      <c r="F5" s="2057" t="s">
        <v>2337</v>
      </c>
      <c r="G5" s="1672"/>
      <c r="H5" s="1672"/>
      <c r="I5" s="1672"/>
      <c r="J5" s="1672"/>
      <c r="K5" s="1672"/>
      <c r="L5" s="1672"/>
      <c r="M5" s="1672"/>
      <c r="N5" s="1672"/>
      <c r="O5" s="1672"/>
      <c r="P5" s="1672"/>
      <c r="Q5" s="1672"/>
      <c r="R5" s="1672"/>
      <c r="S5" s="1672"/>
    </row>
    <row r="6" spans="1:22">
      <c r="A6" s="2821" t="str">
        <f>'数据-取费表'!AN6</f>
        <v>收益法</v>
      </c>
      <c r="B6" s="2819">
        <f ca="1">IF(F6="是",'数据-取费表'!AO6,0)</f>
        <v>93756</v>
      </c>
      <c r="C6" s="2054" t="s">
        <v>2332</v>
      </c>
      <c r="D6" s="2929"/>
      <c r="E6" s="2823">
        <f>IF(OR(A6=0,F6="否"),0,'数据-取费表'!K6+'数据-取费表'!S6)</f>
        <v>96983.22</v>
      </c>
      <c r="F6" s="2058" t="s">
        <v>2338</v>
      </c>
      <c r="G6" s="1672"/>
      <c r="H6" s="1672"/>
      <c r="I6" s="1672"/>
      <c r="J6" s="1672"/>
      <c r="K6" s="1672"/>
      <c r="L6" s="1672"/>
      <c r="M6" s="1672"/>
      <c r="N6" s="1672"/>
      <c r="O6" s="1672"/>
      <c r="P6" s="1672"/>
      <c r="Q6" s="1672"/>
      <c r="R6" s="1672"/>
      <c r="S6" s="1672"/>
    </row>
    <row r="7" spans="1:22">
      <c r="A7" s="2821">
        <f>'数据-取费表'!AN7</f>
        <v>0</v>
      </c>
      <c r="B7" s="2819" t="e">
        <f ca="1">IF(F7="是",'数据-取费表'!AO7,0)</f>
        <v>#REF!</v>
      </c>
      <c r="C7" s="2054" t="s">
        <v>2332</v>
      </c>
      <c r="D7" s="2929"/>
      <c r="E7" s="2823">
        <f>IF(OR(A7=0,F7="否"),0,'数据-取费表'!K7+'数据-取费表'!S7)</f>
        <v>0</v>
      </c>
      <c r="F7" s="2058" t="s">
        <v>2338</v>
      </c>
      <c r="G7" s="1672"/>
      <c r="H7" s="1672"/>
      <c r="I7" s="1672"/>
      <c r="J7" s="1672"/>
      <c r="K7" s="1672"/>
      <c r="L7" s="1672"/>
      <c r="M7" s="1672"/>
      <c r="N7" s="1672"/>
      <c r="O7" s="1672"/>
      <c r="P7" s="1672"/>
      <c r="Q7" s="1672"/>
      <c r="R7" s="1672"/>
      <c r="S7" s="1672"/>
    </row>
    <row r="8" spans="1:22">
      <c r="A8" s="2821">
        <f>'数据-取费表'!AN8</f>
        <v>0</v>
      </c>
      <c r="B8" s="2819" t="e">
        <f ca="1">IF(F8="是",'数据-取费表'!AO8,0)</f>
        <v>#REF!</v>
      </c>
      <c r="C8" s="2054" t="s">
        <v>2332</v>
      </c>
      <c r="D8" s="2929"/>
      <c r="E8" s="2823">
        <f>IF(OR(A8=0,F8="否"),0,'数据-取费表'!K8+'数据-取费表'!S8)</f>
        <v>0</v>
      </c>
      <c r="F8" s="2058" t="s">
        <v>2338</v>
      </c>
      <c r="G8" s="1672"/>
      <c r="H8" s="1672"/>
      <c r="I8" s="1672"/>
      <c r="J8" s="1672"/>
      <c r="K8" s="1672"/>
      <c r="L8" s="1672"/>
      <c r="M8" s="1672"/>
      <c r="N8" s="1672"/>
      <c r="O8" s="1672"/>
      <c r="P8" s="1672"/>
      <c r="Q8" s="1672"/>
      <c r="R8" s="1672"/>
      <c r="S8" s="1672"/>
    </row>
    <row r="9" spans="1:22">
      <c r="A9" s="2821">
        <f>'数据-取费表'!AN9</f>
        <v>0</v>
      </c>
      <c r="B9" s="2819" t="e">
        <f ca="1">IF(F9="是",'数据-取费表'!AO9,0)</f>
        <v>#REF!</v>
      </c>
      <c r="C9" s="2054" t="s">
        <v>2332</v>
      </c>
      <c r="D9" s="2929"/>
      <c r="E9" s="2823">
        <f>IF(OR(A9=0,F9="否"),0,'数据-取费表'!K9+'数据-取费表'!S9)</f>
        <v>0</v>
      </c>
      <c r="F9" s="2058" t="s">
        <v>2338</v>
      </c>
      <c r="G9" s="1672"/>
      <c r="H9" s="1672"/>
      <c r="I9" s="1672"/>
      <c r="J9" s="1672"/>
      <c r="K9" s="1672"/>
      <c r="L9" s="1672"/>
      <c r="M9" s="1672"/>
      <c r="N9" s="1672"/>
      <c r="O9" s="1672"/>
      <c r="P9" s="1672"/>
      <c r="Q9" s="1672"/>
      <c r="R9" s="1672"/>
      <c r="S9" s="1672"/>
    </row>
    <row r="10" spans="1:22">
      <c r="A10" s="2821">
        <f>'数据-取费表'!AN10</f>
        <v>0</v>
      </c>
      <c r="B10" s="2819" t="e">
        <f ca="1">IF(F10="是",'数据-取费表'!AO10,0)</f>
        <v>#REF!</v>
      </c>
      <c r="C10" s="2054" t="s">
        <v>2332</v>
      </c>
      <c r="D10" s="2929"/>
      <c r="E10" s="2823">
        <f>IF(OR(A10=0,F10="否"),0,'数据-取费表'!K10+'数据-取费表'!S10)</f>
        <v>0</v>
      </c>
      <c r="F10" s="2058" t="s">
        <v>2338</v>
      </c>
      <c r="G10" s="1672"/>
      <c r="H10" s="1672"/>
      <c r="I10" s="1672"/>
      <c r="J10" s="1672"/>
      <c r="K10" s="1672"/>
      <c r="L10" s="1672"/>
      <c r="M10" s="1672"/>
      <c r="N10" s="1672"/>
      <c r="O10" s="1672"/>
      <c r="P10" s="1672"/>
      <c r="Q10" s="1672"/>
      <c r="R10" s="1672"/>
      <c r="S10" s="1672"/>
    </row>
    <row r="11" spans="1:22">
      <c r="A11" s="2821">
        <f>'数据-取费表'!AN11</f>
        <v>0</v>
      </c>
      <c r="B11" s="2819" t="e">
        <f ca="1">IF(F11="是",'数据-取费表'!AO11,0)</f>
        <v>#REF!</v>
      </c>
      <c r="C11" s="2054" t="s">
        <v>2332</v>
      </c>
      <c r="D11" s="2929"/>
      <c r="E11" s="2823">
        <f>IF(OR(A11=0,F11="否"),0,'数据-取费表'!K11+'数据-取费表'!S11)</f>
        <v>0</v>
      </c>
      <c r="F11" s="2058" t="s">
        <v>2338</v>
      </c>
      <c r="G11" s="1672"/>
      <c r="H11" s="1672"/>
      <c r="I11" s="1672"/>
      <c r="J11" s="1672"/>
      <c r="K11" s="1672"/>
      <c r="L11" s="1672"/>
      <c r="M11" s="1672"/>
      <c r="N11" s="1672"/>
      <c r="O11" s="1672"/>
      <c r="P11" s="1672"/>
      <c r="Q11" s="1672"/>
      <c r="R11" s="1672"/>
      <c r="S11" s="1672"/>
    </row>
    <row r="12" spans="1:22">
      <c r="A12" s="2821">
        <f>'数据-取费表'!AN12</f>
        <v>0</v>
      </c>
      <c r="B12" s="2819" t="e">
        <f ca="1">IF(F12="是",'数据-取费表'!AO12,0)</f>
        <v>#REF!</v>
      </c>
      <c r="C12" s="2054" t="s">
        <v>2332</v>
      </c>
      <c r="D12" s="2929"/>
      <c r="E12" s="2823">
        <f>IF(OR(A12=0,F12="否"),0,'数据-取费表'!K12+'数据-取费表'!S12)</f>
        <v>0</v>
      </c>
      <c r="F12" s="2058" t="s">
        <v>2338</v>
      </c>
      <c r="G12" s="1672"/>
      <c r="H12" s="1672"/>
      <c r="I12" s="1672"/>
      <c r="J12" s="1672"/>
      <c r="K12" s="1672"/>
      <c r="L12" s="1672"/>
      <c r="M12" s="1672"/>
      <c r="N12" s="1672"/>
      <c r="O12" s="1672"/>
      <c r="P12" s="1672"/>
      <c r="Q12" s="1672"/>
      <c r="R12" s="1672"/>
      <c r="S12" s="1672"/>
    </row>
    <row r="13" spans="1:22" ht="15" thickBot="1">
      <c r="A13" s="2822">
        <f>'数据-取费表'!AN13</f>
        <v>0</v>
      </c>
      <c r="B13" s="2819" t="e">
        <f ca="1">IF(F13="是",'数据-取费表'!AO13,0)</f>
        <v>#REF!</v>
      </c>
      <c r="C13" s="2059" t="s">
        <v>2332</v>
      </c>
      <c r="D13" s="2930"/>
      <c r="E13" s="2823">
        <f>IF(OR(A13=0,F13="否"),0,'数据-取费表'!K13+'数据-取费表'!S13)</f>
        <v>0</v>
      </c>
      <c r="F13" s="2058" t="s">
        <v>2338</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0" t="s">
        <v>1044</v>
      </c>
      <c r="B1" s="3281"/>
      <c r="C1" s="3282"/>
      <c r="D1" s="3283">
        <f>SUM(I10,I15,I20,I21,I23)</f>
        <v>0</v>
      </c>
      <c r="E1" s="3283"/>
      <c r="F1" s="3283"/>
      <c r="G1" s="3283"/>
      <c r="H1" s="3283"/>
      <c r="I1" s="3284"/>
    </row>
    <row r="2" spans="1:9">
      <c r="A2" s="3285" t="s">
        <v>1045</v>
      </c>
      <c r="B2" s="3286" t="s">
        <v>1046</v>
      </c>
      <c r="C2" s="3286"/>
      <c r="D2" s="1208" t="s">
        <v>1047</v>
      </c>
      <c r="E2" s="1208" t="s">
        <v>1048</v>
      </c>
      <c r="F2" s="1208" t="s">
        <v>1049</v>
      </c>
      <c r="G2" s="1208" t="s">
        <v>1050</v>
      </c>
      <c r="H2" s="1208" t="s">
        <v>1051</v>
      </c>
      <c r="I2" s="1209" t="s">
        <v>1052</v>
      </c>
    </row>
    <row r="3" spans="1:9">
      <c r="A3" s="3285"/>
      <c r="B3" s="3286" t="s">
        <v>1053</v>
      </c>
      <c r="C3" s="3286"/>
      <c r="D3" s="1210"/>
      <c r="E3" s="1208"/>
      <c r="F3" s="1211"/>
      <c r="G3" s="1211"/>
      <c r="H3" s="1212"/>
      <c r="I3" s="1213">
        <f>ROUND(D3*E3*F3*G3*H3/10000,0)</f>
        <v>0</v>
      </c>
    </row>
    <row r="4" spans="1:9">
      <c r="A4" s="3285"/>
      <c r="B4" s="3286" t="s">
        <v>1054</v>
      </c>
      <c r="C4" s="3286"/>
      <c r="D4" s="1210"/>
      <c r="E4" s="1208"/>
      <c r="F4" s="1211"/>
      <c r="G4" s="1211"/>
      <c r="H4" s="1212"/>
      <c r="I4" s="1213">
        <f t="shared" ref="I4:I9" si="0">ROUND(D4*E4*F4*G4*H4/10000,0)</f>
        <v>0</v>
      </c>
    </row>
    <row r="5" spans="1:9">
      <c r="A5" s="3285"/>
      <c r="B5" s="3286" t="s">
        <v>1055</v>
      </c>
      <c r="C5" s="3286"/>
      <c r="D5" s="1210"/>
      <c r="E5" s="1208"/>
      <c r="F5" s="1211"/>
      <c r="G5" s="1211"/>
      <c r="H5" s="1212"/>
      <c r="I5" s="1213">
        <f t="shared" si="0"/>
        <v>0</v>
      </c>
    </row>
    <row r="6" spans="1:9">
      <c r="A6" s="3285"/>
      <c r="B6" s="3286" t="s">
        <v>1056</v>
      </c>
      <c r="C6" s="3286"/>
      <c r="D6" s="1210"/>
      <c r="E6" s="1208"/>
      <c r="F6" s="1211"/>
      <c r="G6" s="1211"/>
      <c r="H6" s="1212"/>
      <c r="I6" s="1213">
        <f t="shared" si="0"/>
        <v>0</v>
      </c>
    </row>
    <row r="7" spans="1:9">
      <c r="A7" s="3285"/>
      <c r="B7" s="3286" t="s">
        <v>1057</v>
      </c>
      <c r="C7" s="3286"/>
      <c r="D7" s="1210"/>
      <c r="E7" s="1208"/>
      <c r="F7" s="1211"/>
      <c r="G7" s="1211"/>
      <c r="H7" s="1212"/>
      <c r="I7" s="1213">
        <f t="shared" si="0"/>
        <v>0</v>
      </c>
    </row>
    <row r="8" spans="1:9">
      <c r="A8" s="3285"/>
      <c r="B8" s="3286" t="s">
        <v>1058</v>
      </c>
      <c r="C8" s="3286"/>
      <c r="D8" s="1210"/>
      <c r="E8" s="1208"/>
      <c r="F8" s="1211"/>
      <c r="G8" s="1211"/>
      <c r="H8" s="1212"/>
      <c r="I8" s="1213">
        <f t="shared" si="0"/>
        <v>0</v>
      </c>
    </row>
    <row r="9" spans="1:9">
      <c r="A9" s="3285"/>
      <c r="B9" s="3286" t="s">
        <v>1059</v>
      </c>
      <c r="C9" s="3286"/>
      <c r="D9" s="1210"/>
      <c r="E9" s="1208"/>
      <c r="F9" s="1211"/>
      <c r="G9" s="1211"/>
      <c r="H9" s="1212"/>
      <c r="I9" s="1213">
        <f t="shared" si="0"/>
        <v>0</v>
      </c>
    </row>
    <row r="10" spans="1:9">
      <c r="A10" s="3285"/>
      <c r="B10" s="3287" t="s">
        <v>1060</v>
      </c>
      <c r="C10" s="3287"/>
      <c r="D10" s="1214"/>
      <c r="E10" s="1214" t="e">
        <f>ROUND(D1*10000/D10/H9,0)</f>
        <v>#DIV/0!</v>
      </c>
      <c r="F10" s="1215"/>
      <c r="G10" s="1215"/>
      <c r="H10" s="1216"/>
      <c r="I10" s="1217">
        <f>SUM(I3:I9)</f>
        <v>0</v>
      </c>
    </row>
    <row r="11" spans="1:9" ht="14.25">
      <c r="A11" s="3285" t="s">
        <v>1061</v>
      </c>
      <c r="B11" s="3286" t="s">
        <v>1062</v>
      </c>
      <c r="C11" s="3286"/>
      <c r="D11" s="1210" t="s">
        <v>1063</v>
      </c>
      <c r="E11" s="1210" t="s">
        <v>1064</v>
      </c>
      <c r="F11" s="1211" t="s">
        <v>1065</v>
      </c>
      <c r="G11" s="1211" t="s">
        <v>1051</v>
      </c>
      <c r="H11" s="1218" t="s">
        <v>1066</v>
      </c>
      <c r="I11" s="1209" t="s">
        <v>1052</v>
      </c>
    </row>
    <row r="12" spans="1:9">
      <c r="A12" s="3285"/>
      <c r="B12" s="3286" t="s">
        <v>1067</v>
      </c>
      <c r="C12" s="3286"/>
      <c r="D12" s="1210"/>
      <c r="E12" s="1210"/>
      <c r="F12" s="1211"/>
      <c r="G12" s="1212"/>
      <c r="H12" s="1219"/>
      <c r="I12" s="1209">
        <f>ROUND(D12*E12*F12*G12/10000,0)</f>
        <v>0</v>
      </c>
    </row>
    <row r="13" spans="1:9">
      <c r="A13" s="3285"/>
      <c r="B13" s="3286" t="s">
        <v>1068</v>
      </c>
      <c r="C13" s="3286"/>
      <c r="D13" s="1210"/>
      <c r="E13" s="1210"/>
      <c r="F13" s="1211"/>
      <c r="G13" s="1212"/>
      <c r="H13" s="1219"/>
      <c r="I13" s="1209">
        <f>ROUND(D13*E13*F13*G13/10000,0)</f>
        <v>0</v>
      </c>
    </row>
    <row r="14" spans="1:9">
      <c r="A14" s="3285"/>
      <c r="B14" s="3286" t="s">
        <v>1069</v>
      </c>
      <c r="C14" s="3286"/>
      <c r="D14" s="1210"/>
      <c r="E14" s="1210"/>
      <c r="F14" s="1211"/>
      <c r="G14" s="1212"/>
      <c r="H14" s="1219"/>
      <c r="I14" s="1209">
        <f>ROUND(D14*E14*F14*G14/10000,0)</f>
        <v>0</v>
      </c>
    </row>
    <row r="15" spans="1:9">
      <c r="A15" s="3285"/>
      <c r="B15" s="3287" t="s">
        <v>1060</v>
      </c>
      <c r="C15" s="3287"/>
      <c r="D15" s="1214"/>
      <c r="E15" s="1214">
        <f>SUM(E12:E14)</f>
        <v>0</v>
      </c>
      <c r="F15" s="1215"/>
      <c r="G15" s="1212"/>
      <c r="H15" s="1219"/>
      <c r="I15" s="1220">
        <f>SUM(I12:I14)</f>
        <v>0</v>
      </c>
    </row>
    <row r="16" spans="1:9" ht="24">
      <c r="A16" s="3285" t="s">
        <v>1070</v>
      </c>
      <c r="B16" s="3286" t="s">
        <v>1071</v>
      </c>
      <c r="C16" s="3286"/>
      <c r="D16" s="1210" t="s">
        <v>1047</v>
      </c>
      <c r="E16" s="1221" t="s">
        <v>1072</v>
      </c>
      <c r="F16" s="1211" t="s">
        <v>1073</v>
      </c>
      <c r="G16" s="1212" t="s">
        <v>1051</v>
      </c>
      <c r="H16" s="1218" t="s">
        <v>1066</v>
      </c>
      <c r="I16" s="1209" t="s">
        <v>1052</v>
      </c>
    </row>
    <row r="17" spans="1:9" ht="14.25">
      <c r="A17" s="3285"/>
      <c r="B17" s="3286" t="s">
        <v>1074</v>
      </c>
      <c r="C17" s="3286"/>
      <c r="D17" s="1210"/>
      <c r="E17" s="1210"/>
      <c r="F17" s="1211"/>
      <c r="G17" s="1212"/>
      <c r="H17" s="1222"/>
      <c r="I17" s="1223">
        <f>ROUND(D17*E17*F17*G17/10000,0)</f>
        <v>0</v>
      </c>
    </row>
    <row r="18" spans="1:9" ht="14.25">
      <c r="A18" s="3285"/>
      <c r="B18" s="3286" t="s">
        <v>1075</v>
      </c>
      <c r="C18" s="3286"/>
      <c r="D18" s="1210"/>
      <c r="E18" s="1210"/>
      <c r="F18" s="1211"/>
      <c r="G18" s="1212"/>
      <c r="H18" s="1222"/>
      <c r="I18" s="1223">
        <f>ROUND(D18*E18*F18*G18/10000,0)</f>
        <v>0</v>
      </c>
    </row>
    <row r="19" spans="1:9" ht="14.25">
      <c r="A19" s="3285"/>
      <c r="B19" s="3286" t="s">
        <v>1076</v>
      </c>
      <c r="C19" s="3286"/>
      <c r="D19" s="1210"/>
      <c r="E19" s="1210"/>
      <c r="F19" s="1211"/>
      <c r="G19" s="1212"/>
      <c r="H19" s="1222"/>
      <c r="I19" s="1223">
        <f>ROUND(D19*E19*F19*G19/10000,0)</f>
        <v>0</v>
      </c>
    </row>
    <row r="20" spans="1:9">
      <c r="A20" s="3285"/>
      <c r="B20" s="3287" t="s">
        <v>1060</v>
      </c>
      <c r="C20" s="3287"/>
      <c r="D20" s="1214">
        <f>SUM(D17:D19)</f>
        <v>0</v>
      </c>
      <c r="E20" s="1214"/>
      <c r="F20" s="1215"/>
      <c r="G20" s="1212"/>
      <c r="H20" s="1219"/>
      <c r="I20" s="1220">
        <f>SUM(I17:I19)</f>
        <v>0</v>
      </c>
    </row>
    <row r="21" spans="1:9">
      <c r="A21" s="3285" t="s">
        <v>1077</v>
      </c>
      <c r="B21" s="3289"/>
      <c r="C21" s="3289"/>
      <c r="D21" s="3289"/>
      <c r="E21" s="3289"/>
      <c r="F21" s="3289"/>
      <c r="G21" s="3289"/>
      <c r="H21" s="1500">
        <v>0.1</v>
      </c>
      <c r="I21" s="1217">
        <f>ROUND(I10*H21,0)</f>
        <v>0</v>
      </c>
    </row>
    <row r="22" spans="1:9" ht="14.25">
      <c r="A22" s="3290" t="s">
        <v>1078</v>
      </c>
      <c r="B22" s="3291"/>
      <c r="C22" s="3292"/>
      <c r="D22" s="1224" t="s">
        <v>1079</v>
      </c>
      <c r="E22" s="1224" t="s">
        <v>1080</v>
      </c>
      <c r="F22" s="1225" t="s">
        <v>1081</v>
      </c>
      <c r="G22" s="1225" t="s">
        <v>1082</v>
      </c>
      <c r="H22" s="1218" t="s">
        <v>1083</v>
      </c>
      <c r="I22" s="1209" t="s">
        <v>1084</v>
      </c>
    </row>
    <row r="23" spans="1:9" ht="14.25" thickBot="1">
      <c r="A23" s="3293"/>
      <c r="B23" s="3294"/>
      <c r="C23" s="3295"/>
      <c r="D23" s="1226"/>
      <c r="E23" s="1226"/>
      <c r="F23" s="1226"/>
      <c r="G23" s="1227"/>
      <c r="H23" s="1228"/>
      <c r="I23" s="1229">
        <f>ROUND(E23*D23*F23*(1-G23)/10000,0)</f>
        <v>0</v>
      </c>
    </row>
    <row r="26" spans="1:9">
      <c r="A26" s="1230" t="s">
        <v>1085</v>
      </c>
      <c r="B26" s="1230"/>
      <c r="C26" s="1230"/>
      <c r="D26" s="1230"/>
      <c r="E26" s="3296">
        <f>C27-C30-C31-C32</f>
        <v>0</v>
      </c>
      <c r="F26" s="3296"/>
      <c r="G26" s="3296"/>
      <c r="H26" s="1497" t="s">
        <v>1306</v>
      </c>
    </row>
    <row r="27" spans="1:9">
      <c r="A27" s="1231">
        <v>1</v>
      </c>
      <c r="B27" s="1232" t="s">
        <v>1086</v>
      </c>
      <c r="C27" s="1232">
        <f>C28+C29</f>
        <v>0</v>
      </c>
      <c r="D27" s="1232"/>
      <c r="E27" s="3297"/>
      <c r="F27" s="3297"/>
      <c r="G27" s="3297"/>
    </row>
    <row r="28" spans="1:9">
      <c r="A28" s="1233" t="s">
        <v>1087</v>
      </c>
      <c r="B28" s="1232" t="s">
        <v>1088</v>
      </c>
      <c r="C28" s="1232"/>
      <c r="D28" s="1232"/>
      <c r="E28" s="3297"/>
      <c r="F28" s="3297"/>
      <c r="G28" s="3297"/>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88"/>
      <c r="F32" s="3288"/>
      <c r="G32" s="3288"/>
    </row>
    <row r="33" spans="1:7" hidden="1">
      <c r="A33" s="3298" t="s">
        <v>1097</v>
      </c>
      <c r="B33" s="3299"/>
      <c r="C33" s="3299"/>
      <c r="D33" s="3300"/>
      <c r="E33" s="3296"/>
      <c r="F33" s="3296"/>
      <c r="G33" s="3296"/>
    </row>
    <row r="34" spans="1:7" hidden="1">
      <c r="A34" s="1235">
        <v>1</v>
      </c>
      <c r="B34" s="1232" t="s">
        <v>1098</v>
      </c>
      <c r="C34" s="1232"/>
      <c r="D34" s="1232"/>
      <c r="E34" s="3297"/>
      <c r="F34" s="3297"/>
      <c r="G34" s="3297"/>
    </row>
    <row r="35" spans="1:7" hidden="1">
      <c r="A35" s="1235">
        <v>2</v>
      </c>
      <c r="B35" s="1232" t="s">
        <v>1099</v>
      </c>
      <c r="C35" s="1232"/>
      <c r="D35" s="1232"/>
      <c r="E35" s="3297"/>
      <c r="F35" s="3297"/>
      <c r="G35" s="3297"/>
    </row>
    <row r="36" spans="1:7" hidden="1">
      <c r="A36" s="1235">
        <v>3</v>
      </c>
      <c r="B36" s="1232" t="s">
        <v>1100</v>
      </c>
      <c r="C36" s="1232"/>
      <c r="D36" s="1232"/>
      <c r="E36" s="3297"/>
      <c r="F36" s="3297"/>
      <c r="G36" s="3297"/>
    </row>
    <row r="37" spans="1:7" hidden="1">
      <c r="A37" s="1235">
        <v>4</v>
      </c>
      <c r="B37" s="1232" t="s">
        <v>1101</v>
      </c>
      <c r="C37" s="1232"/>
      <c r="D37" s="1232"/>
      <c r="E37" s="3297"/>
      <c r="F37" s="3297"/>
      <c r="G37" s="3297"/>
    </row>
    <row r="38" spans="1:7" hidden="1">
      <c r="A38" s="3298" t="s">
        <v>1102</v>
      </c>
      <c r="B38" s="3299"/>
      <c r="C38" s="3299"/>
      <c r="D38" s="3300"/>
      <c r="E38" s="3296"/>
      <c r="F38" s="3296"/>
      <c r="G38" s="32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060" t="s">
        <v>2342</v>
      </c>
      <c r="C1" s="1403" t="s">
        <v>2343</v>
      </c>
      <c r="D1" s="1390"/>
      <c r="E1" s="2540"/>
      <c r="F1" s="2061" t="s">
        <v>2344</v>
      </c>
      <c r="G1" s="1400" t="s">
        <v>2345</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3"/>
      <c r="D2" s="1272" t="e">
        <f ca="1">SUMIF(INDIRECT("'"&amp;F2&amp;"'"&amp;"!A:A"),"承租人权益价值",INDIRECT("'"&amp;F2&amp;"'"&amp;"!c:c"))</f>
        <v>#REF!</v>
      </c>
      <c r="E2" s="2064" t="s">
        <v>2346</v>
      </c>
      <c r="F2" s="2065"/>
      <c r="G2" s="1035"/>
      <c r="H2" s="1035"/>
      <c r="I2" s="1035"/>
      <c r="J2" s="1035"/>
      <c r="K2" s="2066"/>
      <c r="L2" s="2933"/>
      <c r="M2" s="2934"/>
      <c r="N2" s="2934"/>
      <c r="O2" s="2934"/>
      <c r="P2" s="2067"/>
      <c r="Q2" s="2068"/>
      <c r="R2" s="2068"/>
      <c r="S2" s="2068"/>
      <c r="T2" s="2068"/>
      <c r="U2" s="2068"/>
      <c r="V2" s="2068"/>
      <c r="W2" s="2068"/>
      <c r="X2" s="2068"/>
      <c r="Y2" s="2068"/>
      <c r="Z2" s="2068"/>
      <c r="AA2" s="2068"/>
      <c r="AB2" s="2068"/>
      <c r="AC2" s="2069"/>
    </row>
    <row r="3" spans="1:29" s="350" customFormat="1" ht="28.5" customHeight="1" thickBot="1">
      <c r="A3" s="206" t="s">
        <v>1360</v>
      </c>
      <c r="B3" s="356" t="e">
        <f ca="1">IF(C2="——",C49,ROUND(B2*10000/D3,0))</f>
        <v>#DIV/0!</v>
      </c>
      <c r="C3" s="357" t="s">
        <v>2347</v>
      </c>
      <c r="D3" s="356">
        <f>IF(D1="",'数据-汇总表'!E3,SUMIF('数据-汇总表'!$C19:$C33,D1,'数据-汇总表'!$E19:$E33))</f>
        <v>96983.22</v>
      </c>
      <c r="E3" s="1035"/>
      <c r="F3" s="2070"/>
      <c r="G3" s="1035"/>
      <c r="H3" s="1035"/>
      <c r="I3" s="1035"/>
      <c r="J3" s="1035"/>
      <c r="K3" s="2066"/>
      <c r="L3" s="2933"/>
      <c r="M3" s="2934"/>
      <c r="N3" s="2934"/>
      <c r="O3" s="2934"/>
      <c r="P3" s="2067"/>
      <c r="Q3" s="2068"/>
      <c r="R3" s="2068"/>
      <c r="S3" s="2068"/>
      <c r="T3" s="2068"/>
      <c r="U3" s="2068"/>
      <c r="V3" s="2068"/>
      <c r="W3" s="2068"/>
      <c r="X3" s="2068"/>
      <c r="Y3" s="2068"/>
      <c r="Z3" s="2068"/>
      <c r="AA3" s="2068"/>
      <c r="AB3" s="2068"/>
      <c r="AC3" s="1189"/>
    </row>
    <row r="4" spans="1:29" ht="15">
      <c r="A4" s="358" t="s">
        <v>2348</v>
      </c>
      <c r="B4" s="359"/>
      <c r="C4" s="3319" t="s">
        <v>2349</v>
      </c>
      <c r="D4" s="3320"/>
      <c r="E4" s="3321" t="s">
        <v>2350</v>
      </c>
      <c r="F4" s="3322"/>
      <c r="G4" s="3319" t="s">
        <v>2351</v>
      </c>
      <c r="H4" s="3320"/>
      <c r="I4" s="3319" t="s">
        <v>2352</v>
      </c>
      <c r="J4" s="3320"/>
      <c r="K4" s="2071" t="s">
        <v>2353</v>
      </c>
      <c r="L4" s="2935"/>
      <c r="M4" s="2936"/>
      <c r="N4" s="2936"/>
      <c r="O4" s="2936"/>
      <c r="P4" s="3323" t="s">
        <v>2354</v>
      </c>
      <c r="Q4" s="3324"/>
      <c r="R4" s="3306" t="s">
        <v>2350</v>
      </c>
      <c r="S4" s="3307"/>
      <c r="T4" s="3306" t="s">
        <v>2351</v>
      </c>
      <c r="U4" s="3307"/>
      <c r="V4" s="3331" t="s">
        <v>2352</v>
      </c>
      <c r="W4" s="3331"/>
      <c r="X4" s="1537"/>
      <c r="Y4" s="3306" t="s">
        <v>2354</v>
      </c>
      <c r="Z4" s="3307"/>
      <c r="AA4" s="3301" t="s">
        <v>2350</v>
      </c>
      <c r="AB4" s="3301" t="s">
        <v>2351</v>
      </c>
      <c r="AC4" s="3301" t="s">
        <v>2352</v>
      </c>
    </row>
    <row r="5" spans="1:29" ht="15">
      <c r="A5" s="361"/>
      <c r="B5" s="362"/>
      <c r="C5" s="3312" t="s">
        <v>2355</v>
      </c>
      <c r="D5" s="3313"/>
      <c r="E5" s="3310" t="s">
        <v>2356</v>
      </c>
      <c r="F5" s="3311"/>
      <c r="G5" s="3312" t="s">
        <v>2357</v>
      </c>
      <c r="H5" s="3313"/>
      <c r="I5" s="3312" t="s">
        <v>2358</v>
      </c>
      <c r="J5" s="3313"/>
      <c r="K5" s="2072"/>
      <c r="L5" s="2935"/>
      <c r="M5" s="2936"/>
      <c r="N5" s="2936"/>
      <c r="O5" s="2936"/>
      <c r="P5" s="3325"/>
      <c r="Q5" s="3326"/>
      <c r="R5" s="3308"/>
      <c r="S5" s="3309"/>
      <c r="T5" s="3308"/>
      <c r="U5" s="3309"/>
      <c r="V5" s="3331"/>
      <c r="W5" s="3331"/>
      <c r="X5" s="1537"/>
      <c r="Y5" s="3308"/>
      <c r="Z5" s="3309"/>
      <c r="AA5" s="3302"/>
      <c r="AB5" s="3302"/>
      <c r="AC5" s="3302"/>
    </row>
    <row r="6" spans="1:29" ht="15.75" thickBot="1">
      <c r="A6" s="363"/>
      <c r="B6" s="364"/>
      <c r="C6" s="3314" t="s">
        <v>2359</v>
      </c>
      <c r="D6" s="3315"/>
      <c r="E6" s="3316" t="s">
        <v>2359</v>
      </c>
      <c r="F6" s="3317"/>
      <c r="G6" s="3314" t="s">
        <v>2359</v>
      </c>
      <c r="H6" s="3315"/>
      <c r="I6" s="3314" t="s">
        <v>2359</v>
      </c>
      <c r="J6" s="3315"/>
      <c r="K6" s="2072" t="s">
        <v>2360</v>
      </c>
      <c r="L6" s="2935"/>
      <c r="M6" s="2936"/>
      <c r="N6" s="2936"/>
      <c r="O6" s="2936"/>
      <c r="P6" s="3327"/>
      <c r="Q6" s="3328"/>
      <c r="R6" s="3308"/>
      <c r="S6" s="3309"/>
      <c r="T6" s="3329"/>
      <c r="U6" s="3330"/>
      <c r="V6" s="3331"/>
      <c r="W6" s="3331"/>
      <c r="X6" s="1537"/>
      <c r="Y6" s="3329"/>
      <c r="Z6" s="3330"/>
      <c r="AA6" s="3303"/>
      <c r="AB6" s="3303"/>
      <c r="AC6" s="3303"/>
    </row>
    <row r="7" spans="1:29" s="112" customFormat="1" ht="15.75" thickBot="1">
      <c r="A7" s="365" t="s">
        <v>2361</v>
      </c>
      <c r="B7" s="366"/>
      <c r="C7" s="367">
        <f>'数据-取费表'!B2</f>
        <v>44362</v>
      </c>
      <c r="D7" s="368">
        <v>100</v>
      </c>
      <c r="E7" s="369"/>
      <c r="F7" s="370">
        <f>SUMIF(58:58,YEAR(E7)&amp;"-"&amp;MONTH(E7),59:59)</f>
        <v>0</v>
      </c>
      <c r="G7" s="369"/>
      <c r="H7" s="368">
        <f>SUMIF(58:58,YEAR(G7)&amp;"-"&amp;MONTH(G7),59:59)</f>
        <v>0</v>
      </c>
      <c r="I7" s="369"/>
      <c r="J7" s="368">
        <f>SUMIF(58:58,YEAR(I7)&amp;"-"&amp;MONTH(I7),59:59)</f>
        <v>0</v>
      </c>
      <c r="K7" s="2073"/>
      <c r="L7" s="2937"/>
      <c r="M7" s="2938"/>
      <c r="N7" s="2938"/>
      <c r="O7" s="2938"/>
      <c r="P7" s="3304" t="s">
        <v>2362</v>
      </c>
      <c r="Q7" s="3332"/>
      <c r="R7" s="707" t="s">
        <v>23</v>
      </c>
      <c r="S7" s="708">
        <f t="shared" ref="S7:S15" si="0">F7</f>
        <v>0</v>
      </c>
      <c r="T7" s="707" t="s">
        <v>23</v>
      </c>
      <c r="U7" s="708">
        <f t="shared" ref="U7:U15" si="1">H7</f>
        <v>0</v>
      </c>
      <c r="V7" s="707" t="s">
        <v>23</v>
      </c>
      <c r="W7" s="708">
        <f t="shared" ref="W7:W15" si="2">J7</f>
        <v>0</v>
      </c>
      <c r="X7" s="709"/>
      <c r="Y7" s="3304" t="s">
        <v>2362</v>
      </c>
      <c r="Z7" s="3305"/>
      <c r="AA7" s="710" t="e">
        <f>D7/F7</f>
        <v>#DIV/0!</v>
      </c>
      <c r="AB7" s="710" t="e">
        <f>D7/H7</f>
        <v>#DIV/0!</v>
      </c>
      <c r="AC7" s="710" t="e">
        <f>D7/J7</f>
        <v>#DIV/0!</v>
      </c>
    </row>
    <row r="8" spans="1:29" s="112" customFormat="1" ht="15.75" thickBot="1">
      <c r="A8" s="365" t="s">
        <v>2363</v>
      </c>
      <c r="B8" s="366"/>
      <c r="C8" s="371" t="s">
        <v>2364</v>
      </c>
      <c r="D8" s="368">
        <v>100</v>
      </c>
      <c r="E8" s="2074"/>
      <c r="F8" s="370">
        <f>SUMIF(61:61,E8,62:62)-SUMIF(61:61,C8,62:62)+100</f>
        <v>0</v>
      </c>
      <c r="G8" s="371"/>
      <c r="H8" s="368">
        <f>SUMIF(61:61,G8,62:62)-SUMIF(61:61,C8,62:62)+100</f>
        <v>0</v>
      </c>
      <c r="I8" s="2074"/>
      <c r="J8" s="368">
        <f>SUMIF(61:61,I8,62:62)-SUMIF(61:61,C8,62:62)+100</f>
        <v>0</v>
      </c>
      <c r="K8" s="2073"/>
      <c r="L8" s="2937"/>
      <c r="M8" s="2938"/>
      <c r="N8" s="2938"/>
      <c r="O8" s="2938"/>
      <c r="P8" s="3304" t="s">
        <v>2365</v>
      </c>
      <c r="Q8" s="3305"/>
      <c r="R8" s="707" t="s">
        <v>23</v>
      </c>
      <c r="S8" s="708">
        <f t="shared" si="0"/>
        <v>0</v>
      </c>
      <c r="T8" s="707" t="s">
        <v>23</v>
      </c>
      <c r="U8" s="708">
        <f t="shared" si="1"/>
        <v>0</v>
      </c>
      <c r="V8" s="707" t="s">
        <v>23</v>
      </c>
      <c r="W8" s="708">
        <f t="shared" si="2"/>
        <v>0</v>
      </c>
      <c r="X8" s="709"/>
      <c r="Y8" s="3304" t="s">
        <v>2365</v>
      </c>
      <c r="Z8" s="3305"/>
      <c r="AA8" s="710" t="e">
        <f t="shared" ref="AA8:AA19" si="3">D8/F8</f>
        <v>#DIV/0!</v>
      </c>
      <c r="AB8" s="710" t="e">
        <f t="shared" ref="AB8:AB19" si="4">D8/H8</f>
        <v>#DIV/0!</v>
      </c>
      <c r="AC8" s="710" t="e">
        <f t="shared" ref="AC8:AC19" si="5">D8/J8</f>
        <v>#DIV/0!</v>
      </c>
    </row>
    <row r="9" spans="1:29" s="112" customFormat="1">
      <c r="A9" s="372" t="s">
        <v>2366</v>
      </c>
      <c r="B9" s="67" t="s">
        <v>2367</v>
      </c>
      <c r="C9" s="373"/>
      <c r="D9" s="128">
        <v>100</v>
      </c>
      <c r="E9" s="374"/>
      <c r="F9" s="375">
        <f>SUMIF(63:63,E9,64:64)-SUMIF(63:63,C9,64:64)+100</f>
        <v>100</v>
      </c>
      <c r="G9" s="376"/>
      <c r="H9" s="128">
        <f>SUMIF(63:63,G9,64:64)-SUMIF(63:63,C9,64:64)+100</f>
        <v>100</v>
      </c>
      <c r="I9" s="376"/>
      <c r="J9" s="128">
        <f>SUMIF(63:63,I9,64:64)-SUMIF(63:63,C9,64:64)+100</f>
        <v>100</v>
      </c>
      <c r="K9" s="2073"/>
      <c r="L9" s="2937"/>
      <c r="M9" s="2938"/>
      <c r="N9" s="2938"/>
      <c r="O9" s="2938"/>
      <c r="P9" s="3318" t="s">
        <v>2368</v>
      </c>
      <c r="Q9" s="1525" t="str">
        <f t="shared" ref="Q9:Q15" si="6">B9</f>
        <v>用途</v>
      </c>
      <c r="R9" s="707" t="s">
        <v>17</v>
      </c>
      <c r="S9" s="708">
        <f t="shared" si="0"/>
        <v>100</v>
      </c>
      <c r="T9" s="707" t="s">
        <v>17</v>
      </c>
      <c r="U9" s="708">
        <f t="shared" si="1"/>
        <v>100</v>
      </c>
      <c r="V9" s="707" t="s">
        <v>17</v>
      </c>
      <c r="W9" s="708">
        <f t="shared" si="2"/>
        <v>100</v>
      </c>
      <c r="X9" s="709"/>
      <c r="Y9" s="3245" t="s">
        <v>2369</v>
      </c>
      <c r="Z9" s="55" t="str">
        <f t="shared" ref="Z9:Z15" si="7">Q9</f>
        <v>用途</v>
      </c>
      <c r="AA9" s="710">
        <f t="shared" si="3"/>
        <v>1</v>
      </c>
      <c r="AB9" s="710">
        <f t="shared" si="4"/>
        <v>1</v>
      </c>
      <c r="AC9" s="710">
        <f t="shared" si="5"/>
        <v>1</v>
      </c>
    </row>
    <row r="10" spans="1:29" s="383" customFormat="1" ht="27">
      <c r="A10" s="377"/>
      <c r="B10" s="378" t="s">
        <v>2370</v>
      </c>
      <c r="C10" s="379"/>
      <c r="D10" s="129">
        <v>100</v>
      </c>
      <c r="E10" s="380"/>
      <c r="F10" s="381">
        <f>SUMIF(65:65,E10,66:66)-SUMIF(65:65,C10,66:66)+100</f>
        <v>100</v>
      </c>
      <c r="G10" s="379"/>
      <c r="H10" s="129">
        <f>SUMIF(65:65,G10,66:66)-SUMIF(65:65,C10,66:66)+100</f>
        <v>100</v>
      </c>
      <c r="I10" s="379"/>
      <c r="J10" s="129">
        <f>SUMIF(65:65,I10,66:66)-SUMIF(65:65,C10,66:66)+100</f>
        <v>100</v>
      </c>
      <c r="K10" s="382"/>
      <c r="L10" s="2939"/>
      <c r="M10" s="2940"/>
      <c r="N10" s="2940"/>
      <c r="O10" s="2940"/>
      <c r="P10" s="3318"/>
      <c r="Q10" s="1525" t="str">
        <f t="shared" si="6"/>
        <v>土地使用年限（年）</v>
      </c>
      <c r="R10" s="707" t="s">
        <v>17</v>
      </c>
      <c r="S10" s="708">
        <f t="shared" si="0"/>
        <v>100</v>
      </c>
      <c r="T10" s="707" t="s">
        <v>17</v>
      </c>
      <c r="U10" s="708">
        <f t="shared" si="1"/>
        <v>100</v>
      </c>
      <c r="V10" s="707" t="s">
        <v>17</v>
      </c>
      <c r="W10" s="708">
        <f t="shared" si="2"/>
        <v>100</v>
      </c>
      <c r="X10" s="709"/>
      <c r="Y10" s="3245"/>
      <c r="Z10" s="55" t="str">
        <f t="shared" si="7"/>
        <v>土地使用年限（年）</v>
      </c>
      <c r="AA10" s="710">
        <f t="shared" si="3"/>
        <v>1</v>
      </c>
      <c r="AB10" s="710">
        <f t="shared" si="4"/>
        <v>1</v>
      </c>
      <c r="AC10" s="710">
        <f t="shared" si="5"/>
        <v>1</v>
      </c>
    </row>
    <row r="11" spans="1:29" ht="15">
      <c r="A11" s="384"/>
      <c r="B11" s="378" t="s">
        <v>2371</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1"/>
      <c r="M11" s="2936"/>
      <c r="N11" s="2936"/>
      <c r="O11" s="2936"/>
      <c r="P11" s="3318"/>
      <c r="Q11" s="1525" t="str">
        <f t="shared" si="6"/>
        <v>容积率</v>
      </c>
      <c r="R11" s="707" t="s">
        <v>21</v>
      </c>
      <c r="S11" s="708" t="e">
        <f t="shared" si="0"/>
        <v>#N/A</v>
      </c>
      <c r="T11" s="707" t="s">
        <v>21</v>
      </c>
      <c r="U11" s="708" t="e">
        <f t="shared" si="1"/>
        <v>#N/A</v>
      </c>
      <c r="V11" s="707" t="s">
        <v>21</v>
      </c>
      <c r="W11" s="708" t="e">
        <f t="shared" si="2"/>
        <v>#N/A</v>
      </c>
      <c r="X11" s="709"/>
      <c r="Y11" s="3245"/>
      <c r="Z11" s="55" t="str">
        <f t="shared" si="7"/>
        <v>容积率</v>
      </c>
      <c r="AA11" s="710" t="e">
        <f t="shared" si="3"/>
        <v>#N/A</v>
      </c>
      <c r="AB11" s="710" t="e">
        <f t="shared" si="4"/>
        <v>#N/A</v>
      </c>
      <c r="AC11" s="710" t="e">
        <f t="shared" si="5"/>
        <v>#N/A</v>
      </c>
    </row>
    <row r="12" spans="1:29" s="112" customFormat="1" ht="15">
      <c r="A12" s="387"/>
      <c r="B12" s="2075">
        <v>111</v>
      </c>
      <c r="C12" s="388"/>
      <c r="D12" s="389">
        <v>100</v>
      </c>
      <c r="E12" s="388"/>
      <c r="F12" s="381">
        <f>SUMIF(70:70,E12,71:71)-SUMIF(70:70,C12,71:71)+100</f>
        <v>100</v>
      </c>
      <c r="G12" s="388"/>
      <c r="H12" s="129">
        <f>SUMIF(70:70,G12,71:71)-SUMIF(70:70,C12,71:71)+100</f>
        <v>100</v>
      </c>
      <c r="I12" s="388"/>
      <c r="J12" s="129">
        <f>SUMIF(70:70,I12,71:71)-SUMIF(70:70,C12,71:71)+100</f>
        <v>100</v>
      </c>
      <c r="K12" s="2076"/>
      <c r="L12" s="2937"/>
      <c r="M12" s="2938"/>
      <c r="N12" s="2938"/>
      <c r="O12" s="2938"/>
      <c r="P12" s="3318"/>
      <c r="Q12" s="1525">
        <f t="shared" si="6"/>
        <v>111</v>
      </c>
      <c r="R12" s="707" t="s">
        <v>21</v>
      </c>
      <c r="S12" s="708">
        <f t="shared" si="0"/>
        <v>100</v>
      </c>
      <c r="T12" s="707" t="s">
        <v>21</v>
      </c>
      <c r="U12" s="708">
        <f t="shared" si="1"/>
        <v>100</v>
      </c>
      <c r="V12" s="707" t="s">
        <v>21</v>
      </c>
      <c r="W12" s="708">
        <f t="shared" si="2"/>
        <v>100</v>
      </c>
      <c r="X12" s="709"/>
      <c r="Y12" s="3245"/>
      <c r="Z12" s="55">
        <f t="shared" si="7"/>
        <v>111</v>
      </c>
      <c r="AA12" s="710">
        <f>D12/F12</f>
        <v>1</v>
      </c>
      <c r="AB12" s="710">
        <f>D12/H12</f>
        <v>1</v>
      </c>
      <c r="AC12" s="710">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2076"/>
      <c r="L13" s="2942"/>
      <c r="M13" s="2936"/>
      <c r="N13" s="2936"/>
      <c r="O13" s="2936"/>
      <c r="P13" s="3318"/>
      <c r="Q13" s="1525">
        <f t="shared" si="6"/>
        <v>111</v>
      </c>
      <c r="R13" s="707" t="s">
        <v>21</v>
      </c>
      <c r="S13" s="708">
        <f t="shared" si="0"/>
        <v>100</v>
      </c>
      <c r="T13" s="707" t="s">
        <v>21</v>
      </c>
      <c r="U13" s="708">
        <f t="shared" si="1"/>
        <v>100</v>
      </c>
      <c r="V13" s="707" t="s">
        <v>21</v>
      </c>
      <c r="W13" s="708">
        <f t="shared" si="2"/>
        <v>100</v>
      </c>
      <c r="X13" s="709"/>
      <c r="Y13" s="3245"/>
      <c r="Z13" s="55">
        <f t="shared" si="7"/>
        <v>111</v>
      </c>
      <c r="AA13" s="710">
        <f t="shared" si="3"/>
        <v>1</v>
      </c>
      <c r="AB13" s="710">
        <f t="shared" si="4"/>
        <v>1</v>
      </c>
      <c r="AC13" s="710">
        <f t="shared" si="5"/>
        <v>1</v>
      </c>
    </row>
    <row r="14" spans="1:29" ht="15.75" thickBot="1">
      <c r="A14" s="392"/>
      <c r="B14" s="2077">
        <v>111</v>
      </c>
      <c r="C14" s="393"/>
      <c r="D14" s="394">
        <v>100</v>
      </c>
      <c r="E14" s="393"/>
      <c r="F14" s="395">
        <f>SUMIF(74:74,E14,75:75)-SUMIF(74:74,C14,75:75)+100</f>
        <v>100</v>
      </c>
      <c r="G14" s="393"/>
      <c r="H14" s="394">
        <f>SUMIF(74:74,G14,75:75)-SUMIF(74:74,C14,75:75)+100</f>
        <v>100</v>
      </c>
      <c r="I14" s="393"/>
      <c r="J14" s="394">
        <f>SUMIF(74:74,I14,75:75)-SUMIF(74:74,C14,75:75)+100</f>
        <v>100</v>
      </c>
      <c r="K14" s="2076"/>
      <c r="L14" s="2942"/>
      <c r="M14" s="2936"/>
      <c r="N14" s="2936"/>
      <c r="O14" s="2936"/>
      <c r="P14" s="3318"/>
      <c r="Q14" s="1525">
        <f t="shared" si="6"/>
        <v>111</v>
      </c>
      <c r="R14" s="707" t="s">
        <v>21</v>
      </c>
      <c r="S14" s="708">
        <f t="shared" si="0"/>
        <v>100</v>
      </c>
      <c r="T14" s="707" t="s">
        <v>21</v>
      </c>
      <c r="U14" s="708">
        <f t="shared" si="1"/>
        <v>100</v>
      </c>
      <c r="V14" s="707" t="s">
        <v>21</v>
      </c>
      <c r="W14" s="708">
        <f t="shared" si="2"/>
        <v>100</v>
      </c>
      <c r="X14" s="709"/>
      <c r="Y14" s="3245"/>
      <c r="Z14" s="55">
        <f t="shared" si="7"/>
        <v>111</v>
      </c>
      <c r="AA14" s="710">
        <f t="shared" si="3"/>
        <v>1</v>
      </c>
      <c r="AB14" s="710">
        <f t="shared" si="4"/>
        <v>1</v>
      </c>
      <c r="AC14" s="710">
        <f t="shared" si="5"/>
        <v>1</v>
      </c>
    </row>
    <row r="15" spans="1:29" ht="99.75">
      <c r="A15" s="396" t="s">
        <v>2372</v>
      </c>
      <c r="B15" s="65" t="s">
        <v>1941</v>
      </c>
      <c r="C15" s="2078" t="str">
        <f>估价对象房地状况!C3</f>
        <v>较好</v>
      </c>
      <c r="D15" s="397">
        <v>100</v>
      </c>
      <c r="E15" s="400"/>
      <c r="F15" s="397">
        <f>SUMIF(76:76,E16,77:77)-SUMIF(76:76,C16,77:77)+100</f>
        <v>100</v>
      </c>
      <c r="G15" s="398"/>
      <c r="H15" s="397">
        <f>SUMIF(76:76,G16,77:77)-SUMIF(76:76,C16,77:77)+100</f>
        <v>100</v>
      </c>
      <c r="I15" s="398"/>
      <c r="J15" s="397">
        <f>SUMIF(76:76,I16,77:77)-SUMIF(76:76,C16,77:77)+100</f>
        <v>100</v>
      </c>
      <c r="K15" s="401"/>
      <c r="L15" s="2942"/>
      <c r="M15" s="2936"/>
      <c r="N15" s="2936"/>
      <c r="O15" s="2936"/>
      <c r="P15" s="3345" t="s">
        <v>2373</v>
      </c>
      <c r="Q15" s="1534" t="str">
        <f t="shared" si="6"/>
        <v>居住社区成熟度</v>
      </c>
      <c r="R15" s="711" t="s">
        <v>21</v>
      </c>
      <c r="S15" s="712">
        <f t="shared" si="0"/>
        <v>100</v>
      </c>
      <c r="T15" s="711" t="s">
        <v>21</v>
      </c>
      <c r="U15" s="712">
        <f t="shared" si="1"/>
        <v>100</v>
      </c>
      <c r="V15" s="711" t="s">
        <v>21</v>
      </c>
      <c r="W15" s="712">
        <f t="shared" si="2"/>
        <v>100</v>
      </c>
      <c r="X15" s="1537"/>
      <c r="Y15" s="3338" t="s">
        <v>2373</v>
      </c>
      <c r="Z15" s="1538" t="str">
        <f t="shared" si="7"/>
        <v>居住社区成熟度</v>
      </c>
      <c r="AA15" s="1535">
        <f t="shared" si="3"/>
        <v>1</v>
      </c>
      <c r="AB15" s="1535">
        <f t="shared" si="4"/>
        <v>1</v>
      </c>
      <c r="AC15" s="1535">
        <f t="shared" si="5"/>
        <v>1</v>
      </c>
    </row>
    <row r="16" spans="1:29" ht="15">
      <c r="A16" s="384"/>
      <c r="B16" s="402"/>
      <c r="C16" s="403"/>
      <c r="D16" s="404"/>
      <c r="E16" s="2079"/>
      <c r="F16" s="404"/>
      <c r="G16" s="2080"/>
      <c r="H16" s="406"/>
      <c r="I16" s="2080"/>
      <c r="J16" s="404"/>
      <c r="K16" s="2081"/>
      <c r="L16" s="2942"/>
      <c r="M16" s="2936"/>
      <c r="N16" s="2936"/>
      <c r="O16" s="2936"/>
      <c r="P16" s="3346"/>
      <c r="Q16" s="1534"/>
      <c r="R16" s="711"/>
      <c r="S16" s="712"/>
      <c r="T16" s="711"/>
      <c r="U16" s="712"/>
      <c r="V16" s="711"/>
      <c r="W16" s="712"/>
      <c r="X16" s="1537"/>
      <c r="Y16" s="3339"/>
      <c r="Z16" s="1538"/>
      <c r="AA16" s="1535">
        <v>1</v>
      </c>
      <c r="AB16" s="1535">
        <v>1</v>
      </c>
      <c r="AC16" s="1535">
        <v>1</v>
      </c>
    </row>
    <row r="17" spans="1:29" ht="85.5">
      <c r="A17" s="384"/>
      <c r="B17" s="407" t="s">
        <v>1943</v>
      </c>
      <c r="C17" s="2082" t="str">
        <f>估价对象房地状况!C6</f>
        <v>较好</v>
      </c>
      <c r="D17" s="406">
        <v>100</v>
      </c>
      <c r="E17" s="410"/>
      <c r="F17" s="406">
        <f>SUMIF(78:78,E18,79:79)-SUMIF(78:78,C18,79:79)+100</f>
        <v>100</v>
      </c>
      <c r="G17" s="408"/>
      <c r="H17" s="411">
        <f>SUMIF(78:78,G18,79:79)-SUMIF(78:78,C18,79:79)+100</f>
        <v>100</v>
      </c>
      <c r="I17" s="408"/>
      <c r="J17" s="411">
        <f>SUMIF(78:78,I18,79:79)-SUMIF(78:78,C18,79:79)+100</f>
        <v>100</v>
      </c>
      <c r="K17" s="401"/>
      <c r="L17" s="2942"/>
      <c r="M17" s="2936"/>
      <c r="N17" s="2936"/>
      <c r="O17" s="2936"/>
      <c r="P17" s="3346"/>
      <c r="Q17" s="1534" t="str">
        <f>B17</f>
        <v>交通便捷度</v>
      </c>
      <c r="R17" s="711" t="s">
        <v>21</v>
      </c>
      <c r="S17" s="712">
        <f>F17</f>
        <v>100</v>
      </c>
      <c r="T17" s="711" t="s">
        <v>21</v>
      </c>
      <c r="U17" s="712">
        <f>H17</f>
        <v>100</v>
      </c>
      <c r="V17" s="711" t="s">
        <v>21</v>
      </c>
      <c r="W17" s="712">
        <f>J17</f>
        <v>100</v>
      </c>
      <c r="X17" s="1537"/>
      <c r="Y17" s="3339"/>
      <c r="Z17" s="1538" t="str">
        <f>Q17</f>
        <v>交通便捷度</v>
      </c>
      <c r="AA17" s="1535">
        <f t="shared" si="3"/>
        <v>1</v>
      </c>
      <c r="AB17" s="1535">
        <f t="shared" si="4"/>
        <v>1</v>
      </c>
      <c r="AC17" s="1535">
        <f t="shared" si="5"/>
        <v>1</v>
      </c>
    </row>
    <row r="18" spans="1:29" ht="15">
      <c r="A18" s="384"/>
      <c r="B18" s="412"/>
      <c r="C18" s="2083"/>
      <c r="D18" s="406"/>
      <c r="E18" s="2084"/>
      <c r="F18" s="406"/>
      <c r="G18" s="2085"/>
      <c r="H18" s="404"/>
      <c r="I18" s="2085"/>
      <c r="J18" s="404"/>
      <c r="K18" s="2081"/>
      <c r="L18" s="2942"/>
      <c r="M18" s="2936"/>
      <c r="N18" s="2936"/>
      <c r="O18" s="2936"/>
      <c r="P18" s="3346"/>
      <c r="Q18" s="1534"/>
      <c r="R18" s="711"/>
      <c r="S18" s="712"/>
      <c r="T18" s="711"/>
      <c r="U18" s="712"/>
      <c r="V18" s="711"/>
      <c r="W18" s="712"/>
      <c r="X18" s="1537"/>
      <c r="Y18" s="3339"/>
      <c r="Z18" s="1538"/>
      <c r="AA18" s="1535">
        <v>1</v>
      </c>
      <c r="AB18" s="1535">
        <v>1</v>
      </c>
      <c r="AC18" s="1535">
        <v>1</v>
      </c>
    </row>
    <row r="19" spans="1:29" ht="42.75">
      <c r="A19" s="384"/>
      <c r="B19" s="407" t="s">
        <v>1942</v>
      </c>
      <c r="C19" s="2082" t="str">
        <f>估价对象房地状况!C7</f>
        <v>较好</v>
      </c>
      <c r="D19" s="411">
        <v>100</v>
      </c>
      <c r="E19" s="415"/>
      <c r="F19" s="411">
        <f>SUMIF(80:80,E20,81:81)-SUMIF(80:80,C20,81:81)+100</f>
        <v>100</v>
      </c>
      <c r="G19" s="413"/>
      <c r="H19" s="406">
        <f>SUMIF(80:80,G20,81:81)-SUMIF(80:80,C20,81:81)+100</f>
        <v>100</v>
      </c>
      <c r="I19" s="413"/>
      <c r="J19" s="406">
        <f>SUMIF(80:80,I20,81:81)-SUMIF(80:80,C20,81:81)+100</f>
        <v>100</v>
      </c>
      <c r="K19" s="401"/>
      <c r="L19" s="2942"/>
      <c r="M19" s="2936"/>
      <c r="N19" s="2936"/>
      <c r="O19" s="2936"/>
      <c r="P19" s="3346"/>
      <c r="Q19" s="1534" t="str">
        <f>B19</f>
        <v>公共配套设施</v>
      </c>
      <c r="R19" s="711" t="s">
        <v>21</v>
      </c>
      <c r="S19" s="712">
        <f>F19</f>
        <v>100</v>
      </c>
      <c r="T19" s="711" t="s">
        <v>21</v>
      </c>
      <c r="U19" s="712">
        <f>H19</f>
        <v>100</v>
      </c>
      <c r="V19" s="711" t="s">
        <v>21</v>
      </c>
      <c r="W19" s="712">
        <f>J19</f>
        <v>100</v>
      </c>
      <c r="X19" s="1537"/>
      <c r="Y19" s="3339"/>
      <c r="Z19" s="1538" t="str">
        <f>Q19</f>
        <v>公共配套设施</v>
      </c>
      <c r="AA19" s="1535">
        <f t="shared" si="3"/>
        <v>1</v>
      </c>
      <c r="AB19" s="1535">
        <f t="shared" si="4"/>
        <v>1</v>
      </c>
      <c r="AC19" s="1535">
        <f t="shared" si="5"/>
        <v>1</v>
      </c>
    </row>
    <row r="20" spans="1:29" ht="15">
      <c r="A20" s="384"/>
      <c r="B20" s="412"/>
      <c r="C20" s="403"/>
      <c r="D20" s="404"/>
      <c r="E20" s="2079"/>
      <c r="F20" s="404"/>
      <c r="G20" s="2080"/>
      <c r="H20" s="404"/>
      <c r="I20" s="2080"/>
      <c r="J20" s="404"/>
      <c r="K20" s="2081"/>
      <c r="L20" s="2942"/>
      <c r="M20" s="2936"/>
      <c r="N20" s="2936"/>
      <c r="O20" s="2936"/>
      <c r="P20" s="3346"/>
      <c r="Q20" s="1534"/>
      <c r="R20" s="711"/>
      <c r="S20" s="712"/>
      <c r="T20" s="711"/>
      <c r="U20" s="712"/>
      <c r="V20" s="711"/>
      <c r="W20" s="712"/>
      <c r="X20" s="1537"/>
      <c r="Y20" s="3339"/>
      <c r="Z20" s="1538"/>
      <c r="AA20" s="1535">
        <v>1</v>
      </c>
      <c r="AB20" s="1535">
        <v>1</v>
      </c>
      <c r="AC20" s="1535">
        <v>1</v>
      </c>
    </row>
    <row r="21" spans="1:29" ht="28.5">
      <c r="A21" s="384"/>
      <c r="B21" s="1290" t="s">
        <v>1944</v>
      </c>
      <c r="C21" s="2082" t="str">
        <f>估价对象房地状况!C8</f>
        <v>六通</v>
      </c>
      <c r="D21" s="406">
        <v>100</v>
      </c>
      <c r="E21" s="415"/>
      <c r="F21" s="411">
        <f>SUMIF(82:82,E22,83:83)-SUMIF(82:82,C22,83:83)+100</f>
        <v>100</v>
      </c>
      <c r="G21" s="413"/>
      <c r="H21" s="406">
        <f>SUMIF(82:82,G22,83:83)-SUMIF(82:82,C22,83:83)+100</f>
        <v>100</v>
      </c>
      <c r="I21" s="413"/>
      <c r="J21" s="406">
        <f>SUMIF(82:82,I22,83:83)-SUMIF(82:82,C22,83:83)+100</f>
        <v>100</v>
      </c>
      <c r="K21" s="401"/>
      <c r="L21" s="2942"/>
      <c r="M21" s="2936"/>
      <c r="N21" s="2936"/>
      <c r="O21" s="2936"/>
      <c r="P21" s="3346"/>
      <c r="Q21" s="1534" t="str">
        <f>B21</f>
        <v>基础设施水平</v>
      </c>
      <c r="R21" s="711" t="s">
        <v>17</v>
      </c>
      <c r="S21" s="712">
        <f>F21</f>
        <v>100</v>
      </c>
      <c r="T21" s="711" t="s">
        <v>17</v>
      </c>
      <c r="U21" s="712">
        <f>H21</f>
        <v>100</v>
      </c>
      <c r="V21" s="711" t="s">
        <v>17</v>
      </c>
      <c r="W21" s="712">
        <f>J21</f>
        <v>100</v>
      </c>
      <c r="X21" s="1537"/>
      <c r="Y21" s="3339"/>
      <c r="Z21" s="1538" t="str">
        <f>Q21</f>
        <v>基础设施水平</v>
      </c>
      <c r="AA21" s="1535">
        <f t="shared" ref="AA21" si="8">D21/F21</f>
        <v>1</v>
      </c>
      <c r="AB21" s="1535">
        <f t="shared" ref="AB21" si="9">D21/H21</f>
        <v>1</v>
      </c>
      <c r="AC21" s="1535">
        <f t="shared" ref="AC21" si="10">D21/J21</f>
        <v>1</v>
      </c>
    </row>
    <row r="22" spans="1:29" ht="15">
      <c r="A22" s="384"/>
      <c r="B22" s="1290"/>
      <c r="C22" s="2083"/>
      <c r="D22" s="404"/>
      <c r="E22" s="403"/>
      <c r="F22" s="404"/>
      <c r="G22" s="2086"/>
      <c r="H22" s="404"/>
      <c r="I22" s="403"/>
      <c r="J22" s="404"/>
      <c r="K22" s="2087"/>
      <c r="L22" s="2942"/>
      <c r="M22" s="2936"/>
      <c r="N22" s="2936"/>
      <c r="O22" s="2936"/>
      <c r="P22" s="3346"/>
      <c r="Q22" s="1534"/>
      <c r="R22" s="711"/>
      <c r="S22" s="712"/>
      <c r="T22" s="711"/>
      <c r="U22" s="712"/>
      <c r="V22" s="711"/>
      <c r="W22" s="712"/>
      <c r="X22" s="1537"/>
      <c r="Y22" s="3339"/>
      <c r="Z22" s="1538"/>
      <c r="AA22" s="1535">
        <v>1</v>
      </c>
      <c r="AB22" s="1535">
        <v>1</v>
      </c>
      <c r="AC22" s="1535">
        <v>1</v>
      </c>
    </row>
    <row r="23" spans="1:29" ht="57">
      <c r="A23" s="384"/>
      <c r="B23" s="407" t="s">
        <v>1945</v>
      </c>
      <c r="C23" s="2082" t="str">
        <f>估价对象房地状况!C9</f>
        <v>较好</v>
      </c>
      <c r="D23" s="406">
        <v>100</v>
      </c>
      <c r="E23" s="410"/>
      <c r="F23" s="406">
        <f>SUMIF(84:84,E24,85:85)-SUMIF(84:84,C24,85:85)+100</f>
        <v>100</v>
      </c>
      <c r="G23" s="408"/>
      <c r="H23" s="406">
        <f>SUMIF(84:84,G24,85:85)-SUMIF(84:84,C24,85:85)+100</f>
        <v>100</v>
      </c>
      <c r="I23" s="408"/>
      <c r="J23" s="406">
        <f>SUMIF(84:84,I24,85:85)-SUMIF(84:84,C24,85:85)+100</f>
        <v>100</v>
      </c>
      <c r="K23" s="401"/>
      <c r="L23" s="2942"/>
      <c r="M23" s="2936"/>
      <c r="N23" s="2936"/>
      <c r="O23" s="2936"/>
      <c r="P23" s="3346"/>
      <c r="Q23" s="1534" t="str">
        <f>B23</f>
        <v>自然及人文环境</v>
      </c>
      <c r="R23" s="711" t="s">
        <v>21</v>
      </c>
      <c r="S23" s="712">
        <f>F23</f>
        <v>100</v>
      </c>
      <c r="T23" s="711" t="s">
        <v>21</v>
      </c>
      <c r="U23" s="712">
        <f>H23</f>
        <v>100</v>
      </c>
      <c r="V23" s="711" t="s">
        <v>21</v>
      </c>
      <c r="W23" s="712">
        <f>J23</f>
        <v>100</v>
      </c>
      <c r="X23" s="1537"/>
      <c r="Y23" s="3339"/>
      <c r="Z23" s="1538" t="str">
        <f>Q23</f>
        <v>自然及人文环境</v>
      </c>
      <c r="AA23" s="1535">
        <f>D23/F23</f>
        <v>1</v>
      </c>
      <c r="AB23" s="1535">
        <f>D23/H23</f>
        <v>1</v>
      </c>
      <c r="AC23" s="1535">
        <f>D23/J23</f>
        <v>1</v>
      </c>
    </row>
    <row r="24" spans="1:29" ht="15">
      <c r="A24" s="384"/>
      <c r="B24" s="412"/>
      <c r="C24" s="403"/>
      <c r="D24" s="404"/>
      <c r="E24" s="2079"/>
      <c r="F24" s="404"/>
      <c r="G24" s="2080"/>
      <c r="H24" s="404"/>
      <c r="I24" s="2080"/>
      <c r="J24" s="404"/>
      <c r="K24" s="2081"/>
      <c r="L24" s="2942"/>
      <c r="M24" s="2936"/>
      <c r="N24" s="2936"/>
      <c r="O24" s="2936"/>
      <c r="P24" s="3346"/>
      <c r="Q24" s="1534"/>
      <c r="R24" s="711"/>
      <c r="S24" s="712"/>
      <c r="T24" s="711"/>
      <c r="U24" s="712"/>
      <c r="V24" s="711"/>
      <c r="W24" s="712"/>
      <c r="X24" s="1537"/>
      <c r="Y24" s="3339"/>
      <c r="Z24" s="1538"/>
      <c r="AA24" s="1535">
        <v>1</v>
      </c>
      <c r="AB24" s="1535">
        <v>1</v>
      </c>
      <c r="AC24" s="1535">
        <v>1</v>
      </c>
    </row>
    <row r="25" spans="1:29" ht="15">
      <c r="A25" s="384"/>
      <c r="B25" s="378" t="s">
        <v>2374</v>
      </c>
      <c r="C25" s="416"/>
      <c r="D25" s="391">
        <v>100</v>
      </c>
      <c r="E25" s="2088"/>
      <c r="F25" s="391">
        <f>SUMIF(86:86,E25,87:87)-SUMIF(86:86,C25,87:87)+100</f>
        <v>100</v>
      </c>
      <c r="G25" s="2089"/>
      <c r="H25" s="391">
        <f>SUMIF(86:86,G25,87:87)-SUMIF(86:86,C25,87:87)+100</f>
        <v>100</v>
      </c>
      <c r="I25" s="2089"/>
      <c r="J25" s="391">
        <f>SUMIF(86:86,I25,87:87)-SUMIF(86:86,C25,87:87)+100</f>
        <v>100</v>
      </c>
      <c r="K25" s="382"/>
      <c r="L25" s="2942"/>
      <c r="M25" s="2936"/>
      <c r="N25" s="2936"/>
      <c r="O25" s="2936"/>
      <c r="P25" s="3346"/>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39"/>
      <c r="Z25" s="1538" t="str">
        <f>Q25</f>
        <v>楼层-1</v>
      </c>
      <c r="AA25" s="1535">
        <f t="shared" ref="AA25:AA46" si="15">D25/F25</f>
        <v>1</v>
      </c>
      <c r="AB25" s="1535">
        <f t="shared" ref="AB25:AB46" si="16">D25/H25</f>
        <v>1</v>
      </c>
      <c r="AC25" s="1535">
        <f t="shared" ref="AC25:AC46" si="17">D25/J25</f>
        <v>1</v>
      </c>
    </row>
    <row r="26" spans="1:29" ht="15">
      <c r="A26" s="384"/>
      <c r="B26" s="378" t="s">
        <v>2375</v>
      </c>
      <c r="C26" s="416"/>
      <c r="D26" s="391">
        <v>100</v>
      </c>
      <c r="E26" s="2088"/>
      <c r="F26" s="391">
        <f>SUMIF(88:88,E26,89:89)-SUMIF(88:88,C26,89:89)+100</f>
        <v>100</v>
      </c>
      <c r="G26" s="2089"/>
      <c r="H26" s="391">
        <f>SUMIF(88:88,G26,89:89)-SUMIF(88:88,C26,89:89)+100</f>
        <v>100</v>
      </c>
      <c r="I26" s="2089"/>
      <c r="J26" s="391">
        <f>SUMIF(88:88,I26,89:89)-SUMIF(88:88,C26,89:89)+100</f>
        <v>100</v>
      </c>
      <c r="K26" s="382"/>
      <c r="L26" s="2942"/>
      <c r="M26" s="2936"/>
      <c r="N26" s="2936"/>
      <c r="O26" s="2936"/>
      <c r="P26" s="3346"/>
      <c r="Q26" s="1534" t="str">
        <f t="shared" si="11"/>
        <v>朝向</v>
      </c>
      <c r="R26" s="711" t="s">
        <v>21</v>
      </c>
      <c r="S26" s="712">
        <f t="shared" si="12"/>
        <v>100</v>
      </c>
      <c r="T26" s="711" t="s">
        <v>21</v>
      </c>
      <c r="U26" s="712">
        <f t="shared" si="13"/>
        <v>100</v>
      </c>
      <c r="V26" s="711" t="s">
        <v>21</v>
      </c>
      <c r="W26" s="712">
        <f t="shared" si="14"/>
        <v>100</v>
      </c>
      <c r="X26" s="1537"/>
      <c r="Y26" s="3339"/>
      <c r="Z26" s="1538" t="str">
        <f>Q26</f>
        <v>朝向</v>
      </c>
      <c r="AA26" s="1535">
        <f t="shared" si="15"/>
        <v>1</v>
      </c>
      <c r="AB26" s="1535">
        <f t="shared" si="16"/>
        <v>1</v>
      </c>
      <c r="AC26" s="1535">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6"/>
      <c r="L27" s="2937"/>
      <c r="M27" s="2938"/>
      <c r="N27" s="2938"/>
      <c r="O27" s="2938"/>
      <c r="P27" s="3346"/>
      <c r="Q27" s="1525">
        <f t="shared" si="11"/>
        <v>111</v>
      </c>
      <c r="R27" s="707" t="s">
        <v>21</v>
      </c>
      <c r="S27" s="708">
        <f t="shared" si="12"/>
        <v>100</v>
      </c>
      <c r="T27" s="707" t="s">
        <v>21</v>
      </c>
      <c r="U27" s="708">
        <f t="shared" si="13"/>
        <v>100</v>
      </c>
      <c r="V27" s="707" t="s">
        <v>21</v>
      </c>
      <c r="W27" s="708">
        <f t="shared" si="14"/>
        <v>100</v>
      </c>
      <c r="X27" s="709"/>
      <c r="Y27" s="3339"/>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0"/>
      <c r="H28" s="391">
        <f>SUMIF(92:92,G28,93:93)-SUMIF(92:92,C28,93:93)+100</f>
        <v>100</v>
      </c>
      <c r="I28" s="390"/>
      <c r="J28" s="391">
        <f>SUMIF(92:92,I28,93:93)-SUMIF(92:92,C28,93:93)+100</f>
        <v>100</v>
      </c>
      <c r="K28" s="2076"/>
      <c r="L28" s="2942"/>
      <c r="M28" s="2936"/>
      <c r="N28" s="2936"/>
      <c r="O28" s="2936"/>
      <c r="P28" s="3346"/>
      <c r="Q28" s="1534">
        <f t="shared" si="11"/>
        <v>111</v>
      </c>
      <c r="R28" s="711" t="s">
        <v>21</v>
      </c>
      <c r="S28" s="712">
        <f t="shared" si="12"/>
        <v>100</v>
      </c>
      <c r="T28" s="711" t="s">
        <v>21</v>
      </c>
      <c r="U28" s="712">
        <f t="shared" si="13"/>
        <v>100</v>
      </c>
      <c r="V28" s="711" t="s">
        <v>21</v>
      </c>
      <c r="W28" s="712">
        <f t="shared" si="14"/>
        <v>100</v>
      </c>
      <c r="X28" s="1537"/>
      <c r="Y28" s="3339"/>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0"/>
      <c r="H29" s="391">
        <f>SUMIF(94:94,G29,95:95)-SUMIF(94:94,C29,95:95)+100</f>
        <v>100</v>
      </c>
      <c r="I29" s="390"/>
      <c r="J29" s="391">
        <f>SUMIF(94:94,I29,95:95)-SUMIF(94:94,C29,95:95)+100</f>
        <v>100</v>
      </c>
      <c r="K29" s="2076"/>
      <c r="L29" s="2942"/>
      <c r="M29" s="2936"/>
      <c r="N29" s="2936"/>
      <c r="O29" s="2936"/>
      <c r="P29" s="3346"/>
      <c r="Q29" s="1534">
        <f t="shared" si="11"/>
        <v>111</v>
      </c>
      <c r="R29" s="711" t="s">
        <v>21</v>
      </c>
      <c r="S29" s="712">
        <f t="shared" si="12"/>
        <v>100</v>
      </c>
      <c r="T29" s="711" t="s">
        <v>21</v>
      </c>
      <c r="U29" s="712">
        <f t="shared" si="13"/>
        <v>100</v>
      </c>
      <c r="V29" s="711" t="s">
        <v>21</v>
      </c>
      <c r="W29" s="712">
        <f t="shared" si="14"/>
        <v>100</v>
      </c>
      <c r="X29" s="1537"/>
      <c r="Y29" s="3339"/>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0"/>
      <c r="H30" s="391">
        <f>SUMIF(96:96,G30,97:97)-SUMIF(96:96,C30,97:97)+100</f>
        <v>100</v>
      </c>
      <c r="I30" s="390"/>
      <c r="J30" s="391">
        <f>SUMIF(96:96,I30,97:97)-SUMIF(96:96,C30,97:97)+100</f>
        <v>100</v>
      </c>
      <c r="K30" s="2076"/>
      <c r="L30" s="2942"/>
      <c r="M30" s="2936"/>
      <c r="N30" s="2936"/>
      <c r="O30" s="2936"/>
      <c r="P30" s="3346"/>
      <c r="Q30" s="1534">
        <f t="shared" si="11"/>
        <v>111</v>
      </c>
      <c r="R30" s="711" t="s">
        <v>21</v>
      </c>
      <c r="S30" s="712">
        <f t="shared" si="12"/>
        <v>100</v>
      </c>
      <c r="T30" s="711" t="s">
        <v>21</v>
      </c>
      <c r="U30" s="712">
        <f t="shared" si="13"/>
        <v>100</v>
      </c>
      <c r="V30" s="711" t="s">
        <v>21</v>
      </c>
      <c r="W30" s="712">
        <f t="shared" si="14"/>
        <v>100</v>
      </c>
      <c r="X30" s="1537"/>
      <c r="Y30" s="3339"/>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1"/>
      <c r="H31" s="394">
        <f>SUMIF(98:98,G31,99:99)-SUMIF(98:98,C31,99:99)+100</f>
        <v>100</v>
      </c>
      <c r="I31" s="393"/>
      <c r="J31" s="394">
        <f>SUMIF(98:98,I31,99:99)-SUMIF(98:98,C31,99:99)+100</f>
        <v>100</v>
      </c>
      <c r="K31" s="2076"/>
      <c r="L31" s="2942"/>
      <c r="M31" s="2936"/>
      <c r="N31" s="2936"/>
      <c r="O31" s="2936"/>
      <c r="P31" s="3346"/>
      <c r="Q31" s="1534">
        <f t="shared" si="11"/>
        <v>111</v>
      </c>
      <c r="R31" s="711" t="s">
        <v>21</v>
      </c>
      <c r="S31" s="712">
        <f t="shared" si="12"/>
        <v>100</v>
      </c>
      <c r="T31" s="711" t="s">
        <v>21</v>
      </c>
      <c r="U31" s="712">
        <f t="shared" si="13"/>
        <v>100</v>
      </c>
      <c r="V31" s="711" t="s">
        <v>21</v>
      </c>
      <c r="W31" s="712">
        <f t="shared" si="14"/>
        <v>100</v>
      </c>
      <c r="X31" s="1537"/>
      <c r="Y31" s="3339"/>
      <c r="Z31" s="1538">
        <f t="shared" si="18"/>
        <v>111</v>
      </c>
      <c r="AA31" s="1535">
        <f t="shared" si="15"/>
        <v>1</v>
      </c>
      <c r="AB31" s="1535">
        <f t="shared" si="16"/>
        <v>1</v>
      </c>
      <c r="AC31" s="1535">
        <f t="shared" si="17"/>
        <v>1</v>
      </c>
    </row>
    <row r="32" spans="1:29" ht="15">
      <c r="A32" s="396" t="s">
        <v>2376</v>
      </c>
      <c r="B32" s="67" t="s">
        <v>2377</v>
      </c>
      <c r="C32" s="2092"/>
      <c r="D32" s="423">
        <v>100</v>
      </c>
      <c r="E32" s="2093"/>
      <c r="F32" s="417">
        <f>SUMIF(100:100,E32,101:101)-SUMIF(100:100,C32,101:101)+100</f>
        <v>100</v>
      </c>
      <c r="G32" s="2092"/>
      <c r="H32" s="423">
        <f>SUMIF(100:100,G32,101:101)-SUMIF(100:100,C32,101:101)+100</f>
        <v>100</v>
      </c>
      <c r="I32" s="2093"/>
      <c r="J32" s="391">
        <f>SUMIF(100:100,I32,101:101)-SUMIF(100:100,C32,101:101)+100</f>
        <v>100</v>
      </c>
      <c r="K32" s="382"/>
      <c r="L32" s="2942"/>
      <c r="M32" s="2936"/>
      <c r="N32" s="2936"/>
      <c r="O32" s="2936"/>
      <c r="P32" s="3340" t="s">
        <v>2378</v>
      </c>
      <c r="Q32" s="1534" t="str">
        <f t="shared" si="11"/>
        <v>建筑类型</v>
      </c>
      <c r="R32" s="711" t="s">
        <v>21</v>
      </c>
      <c r="S32" s="712">
        <f t="shared" si="12"/>
        <v>100</v>
      </c>
      <c r="T32" s="711" t="s">
        <v>21</v>
      </c>
      <c r="U32" s="712">
        <f t="shared" si="13"/>
        <v>100</v>
      </c>
      <c r="V32" s="711" t="s">
        <v>21</v>
      </c>
      <c r="W32" s="712">
        <f t="shared" si="14"/>
        <v>100</v>
      </c>
      <c r="X32" s="1537"/>
      <c r="Y32" s="3343" t="s">
        <v>2378</v>
      </c>
      <c r="Z32" s="1538" t="str">
        <f t="shared" si="18"/>
        <v>建筑类型</v>
      </c>
      <c r="AA32" s="1535">
        <f t="shared" si="15"/>
        <v>1</v>
      </c>
      <c r="AB32" s="1535">
        <f t="shared" si="16"/>
        <v>1</v>
      </c>
      <c r="AC32" s="1535">
        <f t="shared" si="17"/>
        <v>1</v>
      </c>
    </row>
    <row r="33" spans="1:29" s="427" customFormat="1" ht="15">
      <c r="A33" s="424"/>
      <c r="B33" s="378" t="s">
        <v>2379</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6"/>
      <c r="L33" s="2941"/>
      <c r="M33" s="2943"/>
      <c r="N33" s="2943"/>
      <c r="O33" s="2943"/>
      <c r="P33" s="3341"/>
      <c r="Q33" s="713" t="str">
        <f t="shared" si="11"/>
        <v>项目建筑规模</v>
      </c>
      <c r="R33" s="714" t="s">
        <v>21</v>
      </c>
      <c r="S33" s="715" t="e">
        <f t="shared" si="12"/>
        <v>#N/A</v>
      </c>
      <c r="T33" s="714" t="s">
        <v>21</v>
      </c>
      <c r="U33" s="715" t="e">
        <f t="shared" si="13"/>
        <v>#N/A</v>
      </c>
      <c r="V33" s="714" t="s">
        <v>21</v>
      </c>
      <c r="W33" s="715" t="e">
        <f t="shared" si="14"/>
        <v>#N/A</v>
      </c>
      <c r="X33" s="716"/>
      <c r="Y33" s="3343"/>
      <c r="Z33" s="717" t="str">
        <f t="shared" si="18"/>
        <v>项目建筑规模</v>
      </c>
      <c r="AA33" s="1535" t="e">
        <f t="shared" si="15"/>
        <v>#N/A</v>
      </c>
      <c r="AB33" s="1535" t="e">
        <f t="shared" si="16"/>
        <v>#N/A</v>
      </c>
      <c r="AC33" s="1535" t="e">
        <f t="shared" si="17"/>
        <v>#N/A</v>
      </c>
    </row>
    <row r="34" spans="1:29" ht="15">
      <c r="A34" s="428"/>
      <c r="B34" s="378" t="s">
        <v>2380</v>
      </c>
      <c r="C34" s="2094"/>
      <c r="D34" s="391">
        <v>100</v>
      </c>
      <c r="E34" s="2095"/>
      <c r="F34" s="417">
        <f>SUMIF(105:105,E34,106:106)-SUMIF(105:105,C34,106:106)+100</f>
        <v>100</v>
      </c>
      <c r="G34" s="2094"/>
      <c r="H34" s="391">
        <f>SUMIF(105:105,G34,106:106)-SUMIF(105:105,C34,106:106)+100</f>
        <v>100</v>
      </c>
      <c r="I34" s="2095"/>
      <c r="J34" s="391">
        <f>SUMIF(105:105,I34,106:106)-SUMIF(105:105,C34,106:106)+100</f>
        <v>100</v>
      </c>
      <c r="K34" s="382"/>
      <c r="L34" s="2942"/>
      <c r="M34" s="2936"/>
      <c r="N34" s="2936"/>
      <c r="O34" s="2936"/>
      <c r="P34" s="3341"/>
      <c r="Q34" s="1534" t="str">
        <f t="shared" si="11"/>
        <v>建筑结构</v>
      </c>
      <c r="R34" s="711" t="s">
        <v>21</v>
      </c>
      <c r="S34" s="712">
        <f t="shared" si="12"/>
        <v>100</v>
      </c>
      <c r="T34" s="711" t="s">
        <v>21</v>
      </c>
      <c r="U34" s="712">
        <f t="shared" si="13"/>
        <v>100</v>
      </c>
      <c r="V34" s="711" t="s">
        <v>21</v>
      </c>
      <c r="W34" s="712">
        <f t="shared" si="14"/>
        <v>100</v>
      </c>
      <c r="X34" s="1537"/>
      <c r="Y34" s="3343"/>
      <c r="Z34" s="1538" t="str">
        <f t="shared" si="18"/>
        <v>建筑结构</v>
      </c>
      <c r="AA34" s="1535">
        <f t="shared" si="15"/>
        <v>1</v>
      </c>
      <c r="AB34" s="1535">
        <f t="shared" si="16"/>
        <v>1</v>
      </c>
      <c r="AC34" s="1535">
        <f t="shared" si="17"/>
        <v>1</v>
      </c>
    </row>
    <row r="35" spans="1:29" ht="15">
      <c r="A35" s="428"/>
      <c r="B35" s="378" t="s">
        <v>2381</v>
      </c>
      <c r="C35" s="2088"/>
      <c r="D35" s="391">
        <v>100</v>
      </c>
      <c r="E35" s="2089"/>
      <c r="F35" s="417">
        <f>SUMIF(107:107,E35,108:108)-SUMIF(107:107,C35,108:108)+100</f>
        <v>100</v>
      </c>
      <c r="G35" s="2088"/>
      <c r="H35" s="391">
        <f>SUMIF(107:107,G35,108:108)-SUMIF(107:107,C35,108:108)+100</f>
        <v>100</v>
      </c>
      <c r="I35" s="2089"/>
      <c r="J35" s="391">
        <f>SUMIF(107:107,I35,108:108)-SUMIF(107:107,C35,108:108)+100</f>
        <v>100</v>
      </c>
      <c r="K35" s="382"/>
      <c r="L35" s="2942"/>
      <c r="M35" s="2936"/>
      <c r="N35" s="2936"/>
      <c r="O35" s="2936"/>
      <c r="P35" s="3341"/>
      <c r="Q35" s="1534" t="str">
        <f t="shared" si="11"/>
        <v>建筑品质</v>
      </c>
      <c r="R35" s="711" t="s">
        <v>21</v>
      </c>
      <c r="S35" s="712">
        <f t="shared" si="12"/>
        <v>100</v>
      </c>
      <c r="T35" s="711" t="s">
        <v>21</v>
      </c>
      <c r="U35" s="712">
        <f t="shared" si="13"/>
        <v>100</v>
      </c>
      <c r="V35" s="711" t="s">
        <v>21</v>
      </c>
      <c r="W35" s="712">
        <f t="shared" si="14"/>
        <v>100</v>
      </c>
      <c r="X35" s="1537"/>
      <c r="Y35" s="3343"/>
      <c r="Z35" s="1538" t="str">
        <f t="shared" si="18"/>
        <v>建筑品质</v>
      </c>
      <c r="AA35" s="1535">
        <f t="shared" si="15"/>
        <v>1</v>
      </c>
      <c r="AB35" s="1535">
        <f t="shared" si="16"/>
        <v>1</v>
      </c>
      <c r="AC35" s="1535">
        <f t="shared" si="17"/>
        <v>1</v>
      </c>
    </row>
    <row r="36" spans="1:29" ht="15">
      <c r="A36" s="428"/>
      <c r="B36" s="378" t="s">
        <v>2382</v>
      </c>
      <c r="C36" s="2088"/>
      <c r="D36" s="391">
        <v>100</v>
      </c>
      <c r="E36" s="2089"/>
      <c r="F36" s="417">
        <f>SUMIF(109:109,E36,110:110)-SUMIF(109:109,C36,110:110)+100</f>
        <v>100</v>
      </c>
      <c r="G36" s="2088"/>
      <c r="H36" s="391">
        <f>SUMIF(109:109,G36,110:110)-SUMIF(109:109,C36,110:110)+100</f>
        <v>100</v>
      </c>
      <c r="I36" s="2089"/>
      <c r="J36" s="391">
        <f>SUMIF(109:109,I36,110:110)-SUMIF(109:109,C36,110:110)+100</f>
        <v>100</v>
      </c>
      <c r="K36" s="382"/>
      <c r="L36" s="2942"/>
      <c r="M36" s="2936"/>
      <c r="N36" s="2936"/>
      <c r="O36" s="2936"/>
      <c r="P36" s="3341"/>
      <c r="Q36" s="1534" t="str">
        <f t="shared" si="11"/>
        <v>公共部分装修</v>
      </c>
      <c r="R36" s="711" t="s">
        <v>21</v>
      </c>
      <c r="S36" s="712">
        <f t="shared" si="12"/>
        <v>100</v>
      </c>
      <c r="T36" s="711" t="s">
        <v>21</v>
      </c>
      <c r="U36" s="712">
        <f t="shared" si="13"/>
        <v>100</v>
      </c>
      <c r="V36" s="711" t="s">
        <v>21</v>
      </c>
      <c r="W36" s="712">
        <f t="shared" si="14"/>
        <v>100</v>
      </c>
      <c r="X36" s="1537"/>
      <c r="Y36" s="3343"/>
      <c r="Z36" s="1538" t="str">
        <f t="shared" si="18"/>
        <v>公共部分装修</v>
      </c>
      <c r="AA36" s="1535">
        <f t="shared" si="15"/>
        <v>1</v>
      </c>
      <c r="AB36" s="1535">
        <f t="shared" si="16"/>
        <v>1</v>
      </c>
      <c r="AC36" s="1535">
        <f t="shared" si="17"/>
        <v>1</v>
      </c>
    </row>
    <row r="37" spans="1:29" s="112" customFormat="1" ht="15">
      <c r="A37" s="429"/>
      <c r="B37" s="378" t="s">
        <v>2383</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37"/>
      <c r="M37" s="2938"/>
      <c r="N37" s="2938"/>
      <c r="O37" s="2938"/>
      <c r="P37" s="3341"/>
      <c r="Q37" s="1525" t="str">
        <f t="shared" si="11"/>
        <v>成新度</v>
      </c>
      <c r="R37" s="707" t="s">
        <v>21</v>
      </c>
      <c r="S37" s="708" t="e">
        <f t="shared" si="12"/>
        <v>#N/A</v>
      </c>
      <c r="T37" s="707" t="s">
        <v>21</v>
      </c>
      <c r="U37" s="708" t="e">
        <f t="shared" si="13"/>
        <v>#N/A</v>
      </c>
      <c r="V37" s="707" t="s">
        <v>21</v>
      </c>
      <c r="W37" s="708" t="e">
        <f t="shared" si="14"/>
        <v>#N/A</v>
      </c>
      <c r="X37" s="709"/>
      <c r="Y37" s="3343"/>
      <c r="Z37" s="55" t="str">
        <f t="shared" si="18"/>
        <v>成新度</v>
      </c>
      <c r="AA37" s="710" t="e">
        <f t="shared" si="15"/>
        <v>#N/A</v>
      </c>
      <c r="AB37" s="710" t="e">
        <f t="shared" si="16"/>
        <v>#N/A</v>
      </c>
      <c r="AC37" s="710" t="e">
        <f t="shared" si="17"/>
        <v>#N/A</v>
      </c>
    </row>
    <row r="38" spans="1:29" ht="15">
      <c r="A38" s="428"/>
      <c r="B38" s="378" t="s">
        <v>2384</v>
      </c>
      <c r="C38" s="2088"/>
      <c r="D38" s="391">
        <v>100</v>
      </c>
      <c r="E38" s="2089"/>
      <c r="F38" s="417">
        <f>SUMIF(114:114,E38,115:115)-SUMIF(114:114,C38,115:115)+100</f>
        <v>100</v>
      </c>
      <c r="G38" s="2088"/>
      <c r="H38" s="391">
        <f>SUMIF(114:114,G38,115:115)-SUMIF(114:114,C38,115:115)+100</f>
        <v>100</v>
      </c>
      <c r="I38" s="2089"/>
      <c r="J38" s="391">
        <f>SUMIF(114:114,I38,115:115)-SUMIF(114:114,C38,115:115)+100</f>
        <v>100</v>
      </c>
      <c r="K38" s="382"/>
      <c r="L38" s="2942"/>
      <c r="M38" s="2936"/>
      <c r="N38" s="2936"/>
      <c r="O38" s="2936"/>
      <c r="P38" s="3341" t="s">
        <v>2378</v>
      </c>
      <c r="Q38" s="1534" t="str">
        <f t="shared" si="11"/>
        <v>物业管理</v>
      </c>
      <c r="R38" s="711" t="s">
        <v>21</v>
      </c>
      <c r="S38" s="712">
        <f t="shared" si="12"/>
        <v>100</v>
      </c>
      <c r="T38" s="711" t="s">
        <v>21</v>
      </c>
      <c r="U38" s="712">
        <f t="shared" si="13"/>
        <v>100</v>
      </c>
      <c r="V38" s="711" t="s">
        <v>21</v>
      </c>
      <c r="W38" s="712">
        <f t="shared" si="14"/>
        <v>100</v>
      </c>
      <c r="X38" s="1537"/>
      <c r="Y38" s="3343" t="s">
        <v>2378</v>
      </c>
      <c r="Z38" s="1538" t="str">
        <f t="shared" si="18"/>
        <v>物业管理</v>
      </c>
      <c r="AA38" s="1535">
        <f t="shared" si="15"/>
        <v>1</v>
      </c>
      <c r="AB38" s="1535">
        <f t="shared" si="16"/>
        <v>1</v>
      </c>
      <c r="AC38" s="1535">
        <f t="shared" si="17"/>
        <v>1</v>
      </c>
    </row>
    <row r="39" spans="1:29" ht="15">
      <c r="A39" s="428"/>
      <c r="B39" s="378" t="s">
        <v>2385</v>
      </c>
      <c r="C39" s="2088"/>
      <c r="D39" s="391">
        <v>100</v>
      </c>
      <c r="E39" s="2089"/>
      <c r="F39" s="417">
        <f>SUMIF(116:116,E39,117:117)-SUMIF(116:116,C39,117:117)+100</f>
        <v>100</v>
      </c>
      <c r="G39" s="2088"/>
      <c r="H39" s="391">
        <f>SUMIF(116:116,G39,117:117)-SUMIF(116:116,C39,117:117)+100</f>
        <v>100</v>
      </c>
      <c r="I39" s="2089"/>
      <c r="J39" s="391">
        <f>SUMIF(116:116,I39,117:117)-SUMIF(116:116,C39,117:117)+100</f>
        <v>100</v>
      </c>
      <c r="K39" s="382"/>
      <c r="L39" s="2942"/>
      <c r="M39" s="2936"/>
      <c r="N39" s="2936"/>
      <c r="O39" s="2936"/>
      <c r="P39" s="3341"/>
      <c r="Q39" s="1534" t="str">
        <f t="shared" si="11"/>
        <v>市政基础设施</v>
      </c>
      <c r="R39" s="711" t="s">
        <v>21</v>
      </c>
      <c r="S39" s="712">
        <f t="shared" si="12"/>
        <v>100</v>
      </c>
      <c r="T39" s="711" t="s">
        <v>21</v>
      </c>
      <c r="U39" s="712">
        <f t="shared" si="13"/>
        <v>100</v>
      </c>
      <c r="V39" s="711" t="s">
        <v>21</v>
      </c>
      <c r="W39" s="712">
        <f t="shared" si="14"/>
        <v>100</v>
      </c>
      <c r="X39" s="1537"/>
      <c r="Y39" s="3343"/>
      <c r="Z39" s="1538" t="str">
        <f t="shared" si="18"/>
        <v>市政基础设施</v>
      </c>
      <c r="AA39" s="1535">
        <f t="shared" si="15"/>
        <v>1</v>
      </c>
      <c r="AB39" s="1535">
        <f t="shared" si="16"/>
        <v>1</v>
      </c>
      <c r="AC39" s="1535">
        <f t="shared" si="17"/>
        <v>1</v>
      </c>
    </row>
    <row r="40" spans="1:29" ht="15">
      <c r="A40" s="428"/>
      <c r="B40" s="378" t="s">
        <v>2386</v>
      </c>
      <c r="C40" s="2088"/>
      <c r="D40" s="391">
        <v>100</v>
      </c>
      <c r="E40" s="2089"/>
      <c r="F40" s="417">
        <f>SUMIF(118:118,E40,119:119)-SUMIF(118:118,C40,119:119)+100</f>
        <v>100</v>
      </c>
      <c r="G40" s="2088"/>
      <c r="H40" s="391">
        <f>SUMIF(118:118,G40,119:119)-SUMIF(118:118,C40,119:119)+100</f>
        <v>100</v>
      </c>
      <c r="I40" s="2089"/>
      <c r="J40" s="391">
        <f>SUMIF(118:118,I40,119:119)-SUMIF(118:118,C40,119:119)+100</f>
        <v>100</v>
      </c>
      <c r="K40" s="382"/>
      <c r="L40" s="2942"/>
      <c r="M40" s="2936"/>
      <c r="N40" s="2936"/>
      <c r="O40" s="2936"/>
      <c r="P40" s="3341"/>
      <c r="Q40" s="1534" t="str">
        <f t="shared" si="11"/>
        <v>房型</v>
      </c>
      <c r="R40" s="711" t="s">
        <v>21</v>
      </c>
      <c r="S40" s="712">
        <f t="shared" si="12"/>
        <v>100</v>
      </c>
      <c r="T40" s="711" t="s">
        <v>21</v>
      </c>
      <c r="U40" s="712">
        <f t="shared" si="13"/>
        <v>100</v>
      </c>
      <c r="V40" s="711" t="s">
        <v>21</v>
      </c>
      <c r="W40" s="712">
        <f t="shared" si="14"/>
        <v>100</v>
      </c>
      <c r="X40" s="1537"/>
      <c r="Y40" s="3343"/>
      <c r="Z40" s="1538" t="str">
        <f t="shared" si="18"/>
        <v>房型</v>
      </c>
      <c r="AA40" s="1535">
        <f t="shared" si="15"/>
        <v>1</v>
      </c>
      <c r="AB40" s="1535">
        <f t="shared" si="16"/>
        <v>1</v>
      </c>
      <c r="AC40" s="1535">
        <f t="shared" si="17"/>
        <v>1</v>
      </c>
    </row>
    <row r="41" spans="1:29" s="427" customFormat="1" ht="28.5">
      <c r="A41" s="424"/>
      <c r="B41" s="378" t="s">
        <v>2387</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6"/>
      <c r="L41" s="2941"/>
      <c r="M41" s="2943"/>
      <c r="N41" s="2943"/>
      <c r="O41" s="2943"/>
      <c r="P41" s="3341"/>
      <c r="Q41" s="713" t="str">
        <f t="shared" si="11"/>
        <v>单套/主力户型建筑面积</v>
      </c>
      <c r="R41" s="714" t="s">
        <v>21</v>
      </c>
      <c r="S41" s="715">
        <f t="shared" si="12"/>
        <v>100</v>
      </c>
      <c r="T41" s="714" t="s">
        <v>21</v>
      </c>
      <c r="U41" s="715">
        <f t="shared" si="13"/>
        <v>100</v>
      </c>
      <c r="V41" s="714" t="s">
        <v>21</v>
      </c>
      <c r="W41" s="715">
        <f t="shared" si="14"/>
        <v>100</v>
      </c>
      <c r="X41" s="716"/>
      <c r="Y41" s="3343"/>
      <c r="Z41" s="717" t="str">
        <f t="shared" si="18"/>
        <v>单套/主力户型建筑面积</v>
      </c>
      <c r="AA41" s="1535">
        <f t="shared" si="15"/>
        <v>1</v>
      </c>
      <c r="AB41" s="1535">
        <f t="shared" si="16"/>
        <v>1</v>
      </c>
      <c r="AC41" s="1535">
        <f t="shared" si="17"/>
        <v>1</v>
      </c>
    </row>
    <row r="42" spans="1:29" ht="15">
      <c r="A42" s="428"/>
      <c r="B42" s="378" t="s">
        <v>2388</v>
      </c>
      <c r="C42" s="2088"/>
      <c r="D42" s="391">
        <v>100</v>
      </c>
      <c r="E42" s="2089"/>
      <c r="F42" s="417">
        <f>SUMIF(122:122,E42,123:123)-SUMIF(122:122,C42,123:123)+100</f>
        <v>100</v>
      </c>
      <c r="G42" s="2088"/>
      <c r="H42" s="391">
        <f>SUMIF(122:122,G42,123:123)-SUMIF(122:122,C42,123:123)+100</f>
        <v>100</v>
      </c>
      <c r="I42" s="2089"/>
      <c r="J42" s="391">
        <f>SUMIF(122:122,I42,123:123)-SUMIF(122:122,C42,123:123)+100</f>
        <v>100</v>
      </c>
      <c r="K42" s="382"/>
      <c r="L42" s="2942"/>
      <c r="M42" s="2936"/>
      <c r="N42" s="2936"/>
      <c r="O42" s="2936"/>
      <c r="P42" s="3341"/>
      <c r="Q42" s="1534" t="str">
        <f t="shared" si="11"/>
        <v>内部装修</v>
      </c>
      <c r="R42" s="711" t="s">
        <v>21</v>
      </c>
      <c r="S42" s="712">
        <f t="shared" si="12"/>
        <v>100</v>
      </c>
      <c r="T42" s="711" t="s">
        <v>21</v>
      </c>
      <c r="U42" s="712">
        <f t="shared" si="13"/>
        <v>100</v>
      </c>
      <c r="V42" s="711" t="s">
        <v>21</v>
      </c>
      <c r="W42" s="712">
        <f t="shared" si="14"/>
        <v>100</v>
      </c>
      <c r="X42" s="1537"/>
      <c r="Y42" s="3343"/>
      <c r="Z42" s="1538" t="str">
        <f t="shared" si="18"/>
        <v>内部装修</v>
      </c>
      <c r="AA42" s="1535">
        <f t="shared" si="15"/>
        <v>1</v>
      </c>
      <c r="AB42" s="1535">
        <f t="shared" si="16"/>
        <v>1</v>
      </c>
      <c r="AC42" s="1535">
        <f t="shared" si="17"/>
        <v>1</v>
      </c>
    </row>
    <row r="43" spans="1:29" ht="15">
      <c r="A43" s="428"/>
      <c r="B43" s="378" t="s">
        <v>2389</v>
      </c>
      <c r="C43" s="2088"/>
      <c r="D43" s="391">
        <v>100</v>
      </c>
      <c r="E43" s="2089"/>
      <c r="F43" s="417">
        <f>SUMIF(124:124,E43,125:125)-SUMIF(124:124,C43,125:125)+100</f>
        <v>100</v>
      </c>
      <c r="G43" s="2088"/>
      <c r="H43" s="391">
        <f>SUMIF(124:124,G43,125:125)-SUMIF(124:124,C43,125:125)+100</f>
        <v>100</v>
      </c>
      <c r="I43" s="2089"/>
      <c r="J43" s="391">
        <f>SUMIF(124:124,I43,125:125)-SUMIF(124:124,C43,125:125)+100</f>
        <v>100</v>
      </c>
      <c r="K43" s="382"/>
      <c r="L43" s="2942"/>
      <c r="M43" s="2936"/>
      <c r="N43" s="2936"/>
      <c r="O43" s="2936"/>
      <c r="P43" s="3341"/>
      <c r="Q43" s="1534" t="str">
        <f t="shared" si="11"/>
        <v>内部装修维护情况</v>
      </c>
      <c r="R43" s="711" t="s">
        <v>21</v>
      </c>
      <c r="S43" s="712">
        <f t="shared" si="12"/>
        <v>100</v>
      </c>
      <c r="T43" s="711" t="s">
        <v>21</v>
      </c>
      <c r="U43" s="712">
        <f t="shared" si="13"/>
        <v>100</v>
      </c>
      <c r="V43" s="711" t="s">
        <v>21</v>
      </c>
      <c r="W43" s="712">
        <f t="shared" si="14"/>
        <v>100</v>
      </c>
      <c r="X43" s="1537"/>
      <c r="Y43" s="3343"/>
      <c r="Z43" s="1538" t="str">
        <f t="shared" si="18"/>
        <v>内部装修维护情况</v>
      </c>
      <c r="AA43" s="1535">
        <f t="shared" si="15"/>
        <v>1</v>
      </c>
      <c r="AB43" s="1535">
        <f t="shared" si="16"/>
        <v>1</v>
      </c>
      <c r="AC43" s="1535">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6"/>
      <c r="L44" s="2937"/>
      <c r="M44" s="2938"/>
      <c r="N44" s="2938"/>
      <c r="O44" s="2938"/>
      <c r="P44" s="3341"/>
      <c r="Q44" s="1525">
        <f t="shared" si="11"/>
        <v>111</v>
      </c>
      <c r="R44" s="707" t="s">
        <v>21</v>
      </c>
      <c r="S44" s="708">
        <f t="shared" si="12"/>
        <v>100</v>
      </c>
      <c r="T44" s="707" t="s">
        <v>21</v>
      </c>
      <c r="U44" s="708">
        <f t="shared" si="13"/>
        <v>100</v>
      </c>
      <c r="V44" s="707" t="s">
        <v>21</v>
      </c>
      <c r="W44" s="708">
        <f t="shared" si="14"/>
        <v>100</v>
      </c>
      <c r="X44" s="709"/>
      <c r="Y44" s="3343"/>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6"/>
      <c r="L45" s="2942"/>
      <c r="M45" s="2936"/>
      <c r="N45" s="2936"/>
      <c r="O45" s="2936"/>
      <c r="P45" s="3341"/>
      <c r="Q45" s="1534">
        <f t="shared" si="11"/>
        <v>111</v>
      </c>
      <c r="R45" s="711" t="s">
        <v>21</v>
      </c>
      <c r="S45" s="712">
        <f t="shared" si="12"/>
        <v>100</v>
      </c>
      <c r="T45" s="711" t="s">
        <v>21</v>
      </c>
      <c r="U45" s="712">
        <f t="shared" si="13"/>
        <v>100</v>
      </c>
      <c r="V45" s="711" t="s">
        <v>21</v>
      </c>
      <c r="W45" s="712">
        <f t="shared" si="14"/>
        <v>100</v>
      </c>
      <c r="X45" s="1537"/>
      <c r="Y45" s="3343"/>
      <c r="Z45" s="1538">
        <f t="shared" si="18"/>
        <v>111</v>
      </c>
      <c r="AA45" s="1535">
        <f t="shared" si="15"/>
        <v>1</v>
      </c>
      <c r="AB45" s="1535">
        <f t="shared" si="16"/>
        <v>1</v>
      </c>
      <c r="AC45" s="1535">
        <f t="shared" si="17"/>
        <v>1</v>
      </c>
    </row>
    <row r="46" spans="1:29" ht="15.75" thickBot="1">
      <c r="A46" s="434"/>
      <c r="B46" s="207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6"/>
      <c r="L46" s="2942"/>
      <c r="M46" s="2936"/>
      <c r="N46" s="2936"/>
      <c r="O46" s="2936"/>
      <c r="P46" s="3342"/>
      <c r="Q46" s="1534">
        <f t="shared" si="11"/>
        <v>111</v>
      </c>
      <c r="R46" s="711" t="s">
        <v>20</v>
      </c>
      <c r="S46" s="712">
        <f t="shared" si="12"/>
        <v>100</v>
      </c>
      <c r="T46" s="711" t="s">
        <v>20</v>
      </c>
      <c r="U46" s="712">
        <f t="shared" si="13"/>
        <v>100</v>
      </c>
      <c r="V46" s="711" t="s">
        <v>20</v>
      </c>
      <c r="W46" s="712">
        <f t="shared" si="14"/>
        <v>100</v>
      </c>
      <c r="X46" s="1537"/>
      <c r="Y46" s="3344"/>
      <c r="Z46" s="1538">
        <f t="shared" si="18"/>
        <v>111</v>
      </c>
      <c r="AA46" s="1535">
        <f t="shared" si="15"/>
        <v>1</v>
      </c>
      <c r="AB46" s="1535">
        <f t="shared" si="16"/>
        <v>1</v>
      </c>
      <c r="AC46" s="1535">
        <f t="shared" si="17"/>
        <v>1</v>
      </c>
    </row>
    <row r="47" spans="1:29" ht="15">
      <c r="A47" s="435" t="s">
        <v>2390</v>
      </c>
      <c r="B47" s="436"/>
      <c r="C47" s="1313" t="s">
        <v>19</v>
      </c>
      <c r="D47" s="1314"/>
      <c r="E47" s="1315"/>
      <c r="F47" s="1316"/>
      <c r="G47" s="1317"/>
      <c r="H47" s="1318"/>
      <c r="I47" s="1315"/>
      <c r="J47" s="1318"/>
      <c r="K47" s="2096"/>
      <c r="L47" s="2944"/>
      <c r="M47" s="2945"/>
      <c r="N47" s="2936"/>
      <c r="O47" s="2945"/>
      <c r="P47" s="3336" t="str">
        <f>A47</f>
        <v>成交单价（元/平方米）</v>
      </c>
      <c r="Q47" s="3336"/>
      <c r="R47" s="3337">
        <f>E47</f>
        <v>0</v>
      </c>
      <c r="S47" s="3337"/>
      <c r="T47" s="3337">
        <f>G47</f>
        <v>0</v>
      </c>
      <c r="U47" s="3337"/>
      <c r="V47" s="3337">
        <f>I47</f>
        <v>0</v>
      </c>
      <c r="W47" s="3337"/>
      <c r="X47" s="696"/>
      <c r="Y47" s="718"/>
      <c r="Z47" s="696"/>
      <c r="AA47" s="696"/>
      <c r="AB47" s="696"/>
      <c r="AC47" s="696"/>
    </row>
    <row r="48" spans="1:29" ht="15.75" thickBot="1">
      <c r="A48" s="442" t="s">
        <v>2391</v>
      </c>
      <c r="B48" s="443"/>
      <c r="C48" s="1319" t="e">
        <f>R49</f>
        <v>#DIV/0!</v>
      </c>
      <c r="D48" s="2534" t="s">
        <v>2871</v>
      </c>
      <c r="E48" s="1320" t="e">
        <f>R48</f>
        <v>#DIV/0!</v>
      </c>
      <c r="F48" s="2535"/>
      <c r="G48" s="1319" t="e">
        <f>T48</f>
        <v>#DIV/0!</v>
      </c>
      <c r="H48" s="2535"/>
      <c r="I48" s="1320" t="e">
        <f>V48</f>
        <v>#DIV/0!</v>
      </c>
      <c r="J48" s="2535"/>
      <c r="K48" s="2536">
        <f>F48+H48+J48</f>
        <v>0</v>
      </c>
      <c r="L48" s="2944"/>
      <c r="M48" s="2945"/>
      <c r="N48" s="2945"/>
      <c r="O48" s="2945"/>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2392</v>
      </c>
      <c r="B49" s="447"/>
      <c r="C49" s="1321" t="e">
        <f>R49</f>
        <v>#DIV/0!</v>
      </c>
      <c r="D49" s="1322"/>
      <c r="E49" s="1322"/>
      <c r="F49" s="1322"/>
      <c r="G49" s="1322"/>
      <c r="H49" s="1322"/>
      <c r="I49" s="1322"/>
      <c r="J49" s="1322"/>
      <c r="K49" s="2097"/>
      <c r="L49" s="2944"/>
      <c r="M49" s="2945"/>
      <c r="N49" s="2945"/>
      <c r="O49" s="2945"/>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6"/>
      <c r="Y49" s="696"/>
      <c r="Z49" s="696"/>
      <c r="AA49" s="696"/>
      <c r="AB49" s="696"/>
      <c r="AC49" s="696"/>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1" t="s">
        <v>2393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0"/>
      <c r="L52" s="2946"/>
      <c r="M52" s="2945"/>
      <c r="N52" s="2945"/>
      <c r="O52" s="2945"/>
    </row>
    <row r="53" spans="1:29" ht="13.5" customHeight="1">
      <c r="A53" s="2945"/>
      <c r="B53" s="2945"/>
      <c r="C53" s="451" t="s">
        <v>2394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0"/>
      <c r="L53" s="2946"/>
      <c r="M53" s="2945"/>
      <c r="N53" s="2945"/>
      <c r="O53" s="2945"/>
    </row>
    <row r="54" spans="1:29" s="456" customFormat="1" ht="13.5" customHeight="1">
      <c r="A54" s="2948"/>
      <c r="B54" s="2948"/>
      <c r="C54" s="451" t="s">
        <v>2395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3"/>
      <c r="L54" s="2947"/>
      <c r="M54" s="2948"/>
      <c r="N54" s="2948"/>
      <c r="O54" s="2948"/>
      <c r="P54" s="2099"/>
    </row>
    <row r="55" spans="1:29" s="456" customFormat="1">
      <c r="A55" s="2948"/>
      <c r="B55" s="2951"/>
      <c r="C55" s="2952"/>
      <c r="D55" s="2948"/>
      <c r="E55" s="2948"/>
      <c r="F55" s="2948"/>
      <c r="G55" s="2948"/>
      <c r="H55" s="2948"/>
      <c r="I55" s="2948"/>
      <c r="J55" s="2948"/>
      <c r="K55" s="2953"/>
      <c r="L55" s="2947"/>
      <c r="M55" s="2948"/>
      <c r="N55" s="2948"/>
      <c r="O55" s="2948"/>
      <c r="P55" s="2099"/>
    </row>
    <row r="56" spans="1:29">
      <c r="A56" s="2945"/>
      <c r="B56" s="2951"/>
      <c r="C56" s="2952"/>
      <c r="D56" s="2945"/>
      <c r="E56" s="2945"/>
      <c r="F56" s="2945"/>
      <c r="G56" s="2945"/>
      <c r="H56" s="2945"/>
      <c r="I56" s="2945"/>
      <c r="J56" s="2945"/>
      <c r="K56" s="2950"/>
      <c r="L56" s="2946"/>
      <c r="M56" s="2945"/>
      <c r="N56" s="2945"/>
      <c r="O56" s="2945"/>
    </row>
    <row r="57" spans="1:29" ht="21.75" thickBot="1">
      <c r="A57" s="700" t="s">
        <v>2396</v>
      </c>
      <c r="B57" s="696"/>
      <c r="C57" s="701"/>
      <c r="D57" s="701"/>
      <c r="E57" s="701"/>
      <c r="F57" s="702"/>
      <c r="G57" s="702"/>
      <c r="H57" s="701"/>
      <c r="I57" s="701"/>
      <c r="J57" s="701"/>
      <c r="K57" s="1069"/>
      <c r="L57" s="1070"/>
      <c r="M57" s="1068"/>
      <c r="N57" s="1068"/>
      <c r="O57" s="1068"/>
      <c r="P57" s="2100"/>
      <c r="Q57" s="458"/>
    </row>
    <row r="58" spans="1:29" s="462" customFormat="1" ht="15">
      <c r="A58" s="459" t="s">
        <v>2397</v>
      </c>
      <c r="B58" s="460"/>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2" customFormat="1" ht="15">
      <c r="A59" s="463"/>
      <c r="B59" s="2101"/>
      <c r="C59" s="1342">
        <v>100</v>
      </c>
      <c r="D59" s="465"/>
      <c r="E59" s="466"/>
      <c r="F59" s="466"/>
      <c r="G59" s="466"/>
      <c r="H59" s="466"/>
      <c r="I59" s="466"/>
      <c r="J59" s="466"/>
      <c r="K59" s="466"/>
      <c r="L59" s="466"/>
      <c r="M59" s="467"/>
      <c r="N59" s="466"/>
      <c r="O59" s="467"/>
      <c r="P59" s="2102"/>
    </row>
    <row r="60" spans="1:29" s="112" customFormat="1" ht="15.75" thickBot="1">
      <c r="A60" s="469" t="s">
        <v>2398</v>
      </c>
      <c r="B60" s="470"/>
      <c r="C60" s="471"/>
      <c r="D60" s="472"/>
      <c r="E60" s="472"/>
      <c r="F60" s="472"/>
      <c r="G60" s="472"/>
      <c r="H60" s="472"/>
      <c r="I60" s="472"/>
      <c r="J60" s="472"/>
      <c r="K60" s="472"/>
      <c r="L60" s="472"/>
      <c r="M60" s="473"/>
      <c r="N60" s="472"/>
      <c r="O60" s="473"/>
      <c r="P60" s="2102"/>
      <c r="Q60" s="458"/>
    </row>
    <row r="61" spans="1:29" s="112" customFormat="1" ht="15">
      <c r="A61" s="475" t="s">
        <v>2399</v>
      </c>
      <c r="B61" s="464"/>
      <c r="C61" s="476" t="s">
        <v>2400</v>
      </c>
      <c r="D61" s="477"/>
      <c r="E61" s="477"/>
      <c r="F61" s="477"/>
      <c r="G61" s="477"/>
      <c r="H61" s="477"/>
      <c r="I61" s="477"/>
      <c r="J61" s="477"/>
      <c r="K61" s="477"/>
      <c r="L61" s="478"/>
      <c r="M61" s="479"/>
      <c r="N61" s="1060"/>
      <c r="O61" s="1060"/>
      <c r="P61" s="2103"/>
      <c r="Q61" s="458"/>
    </row>
    <row r="62" spans="1:29" s="112" customFormat="1" ht="15.75" thickBot="1">
      <c r="A62" s="475"/>
      <c r="B62" s="464"/>
      <c r="C62" s="465">
        <v>100</v>
      </c>
      <c r="D62" s="466"/>
      <c r="E62" s="466"/>
      <c r="F62" s="466"/>
      <c r="G62" s="466"/>
      <c r="H62" s="466"/>
      <c r="I62" s="466"/>
      <c r="J62" s="466"/>
      <c r="K62" s="466"/>
      <c r="L62" s="466"/>
      <c r="M62" s="468"/>
      <c r="N62" s="1060"/>
      <c r="O62" s="1060"/>
      <c r="P62" s="2102"/>
      <c r="Q62" s="458"/>
    </row>
    <row r="63" spans="1:29">
      <c r="A63" s="481" t="s">
        <v>2401</v>
      </c>
      <c r="B63" s="482" t="s">
        <v>2367</v>
      </c>
      <c r="C63" s="483">
        <f>C9</f>
        <v>0</v>
      </c>
      <c r="D63" s="484"/>
      <c r="E63" s="484"/>
      <c r="F63" s="484"/>
      <c r="G63" s="484"/>
      <c r="H63" s="484"/>
      <c r="I63" s="484"/>
      <c r="J63" s="484"/>
      <c r="K63" s="485"/>
      <c r="L63" s="486"/>
      <c r="M63" s="487"/>
      <c r="N63" s="1061"/>
      <c r="O63" s="1061"/>
      <c r="P63" s="2104"/>
      <c r="Q63" s="458"/>
    </row>
    <row r="64" spans="1:29" ht="15.75" thickBot="1">
      <c r="A64" s="488"/>
      <c r="B64" s="489"/>
      <c r="C64" s="490">
        <v>100</v>
      </c>
      <c r="D64" s="490"/>
      <c r="E64" s="490"/>
      <c r="F64" s="490"/>
      <c r="G64" s="490"/>
      <c r="H64" s="490"/>
      <c r="I64" s="490"/>
      <c r="J64" s="490"/>
      <c r="K64" s="490"/>
      <c r="L64" s="490"/>
      <c r="M64" s="491"/>
      <c r="N64" s="1062"/>
      <c r="O64" s="1062"/>
      <c r="P64" s="2104"/>
      <c r="Q64" s="458"/>
    </row>
    <row r="65" spans="1:17" ht="27.75" thickTop="1">
      <c r="A65" s="488"/>
      <c r="B65" s="492" t="s">
        <v>2370</v>
      </c>
      <c r="C65" s="493" t="s">
        <v>2402</v>
      </c>
      <c r="D65" s="493" t="s">
        <v>2403</v>
      </c>
      <c r="E65" s="493" t="s">
        <v>2404</v>
      </c>
      <c r="F65" s="493" t="s">
        <v>2405</v>
      </c>
      <c r="G65" s="493" t="s">
        <v>2406</v>
      </c>
      <c r="H65" s="493" t="s">
        <v>2407</v>
      </c>
      <c r="I65" s="493" t="s">
        <v>2408</v>
      </c>
      <c r="J65" s="493"/>
      <c r="K65" s="494"/>
      <c r="L65" s="495"/>
      <c r="M65" s="496"/>
      <c r="N65" s="1061"/>
      <c r="O65" s="1061"/>
      <c r="P65" s="210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4"/>
      <c r="Q66" s="458"/>
    </row>
    <row r="67" spans="1:17" ht="15.75" thickTop="1">
      <c r="A67" s="488"/>
      <c r="B67" s="500" t="s">
        <v>2371</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4"/>
      <c r="Q67" s="458"/>
    </row>
    <row r="68" spans="1:17" ht="15">
      <c r="A68" s="488"/>
      <c r="B68" s="502"/>
      <c r="C68" s="503"/>
      <c r="D68" s="503"/>
      <c r="E68" s="503"/>
      <c r="F68" s="503"/>
      <c r="G68" s="503"/>
      <c r="H68" s="503"/>
      <c r="I68" s="503"/>
      <c r="J68" s="503"/>
      <c r="K68" s="504"/>
      <c r="L68" s="505"/>
      <c r="M68" s="506"/>
      <c r="N68" s="1061"/>
      <c r="O68" s="1061"/>
      <c r="P68" s="210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4"/>
      <c r="Q69" s="458"/>
    </row>
    <row r="70" spans="1:17" s="427" customFormat="1" ht="15.75" thickTop="1">
      <c r="A70" s="507"/>
      <c r="B70" s="492">
        <f>B12</f>
        <v>111</v>
      </c>
      <c r="C70" s="508"/>
      <c r="D70" s="508"/>
      <c r="E70" s="508"/>
      <c r="F70" s="508"/>
      <c r="G70" s="508"/>
      <c r="H70" s="509"/>
      <c r="I70" s="509"/>
      <c r="J70" s="509"/>
      <c r="K70" s="509"/>
      <c r="L70" s="510"/>
      <c r="M70" s="511"/>
      <c r="N70" s="1063"/>
      <c r="O70" s="1063"/>
      <c r="P70" s="2105"/>
      <c r="Q70" s="513"/>
    </row>
    <row r="71" spans="1:17" s="427" customFormat="1" ht="15.75" thickBot="1">
      <c r="A71" s="507"/>
      <c r="B71" s="497"/>
      <c r="C71" s="514"/>
      <c r="D71" s="490"/>
      <c r="E71" s="490"/>
      <c r="F71" s="490"/>
      <c r="G71" s="490"/>
      <c r="H71" s="490"/>
      <c r="I71" s="490"/>
      <c r="J71" s="490"/>
      <c r="K71" s="490"/>
      <c r="L71" s="490"/>
      <c r="M71" s="491"/>
      <c r="N71" s="1062"/>
      <c r="O71" s="1062"/>
      <c r="P71" s="2105"/>
      <c r="Q71" s="513"/>
    </row>
    <row r="72" spans="1:17" s="427" customFormat="1" ht="15.75" thickTop="1">
      <c r="A72" s="507"/>
      <c r="B72" s="492">
        <f>B13</f>
        <v>111</v>
      </c>
      <c r="C72" s="508"/>
      <c r="D72" s="508"/>
      <c r="E72" s="508"/>
      <c r="F72" s="508"/>
      <c r="G72" s="508"/>
      <c r="H72" s="509"/>
      <c r="I72" s="509"/>
      <c r="J72" s="509"/>
      <c r="K72" s="509"/>
      <c r="L72" s="510"/>
      <c r="M72" s="511"/>
      <c r="N72" s="1063"/>
      <c r="O72" s="1063"/>
      <c r="P72" s="2106"/>
      <c r="Q72" s="515"/>
    </row>
    <row r="73" spans="1:17" s="427" customFormat="1" ht="15.75" thickBot="1">
      <c r="A73" s="507"/>
      <c r="B73" s="497"/>
      <c r="C73" s="514"/>
      <c r="D73" s="514"/>
      <c r="E73" s="514"/>
      <c r="F73" s="514"/>
      <c r="G73" s="514"/>
      <c r="H73" s="516"/>
      <c r="I73" s="516"/>
      <c r="J73" s="516"/>
      <c r="K73" s="516"/>
      <c r="L73" s="516"/>
      <c r="M73" s="517"/>
      <c r="N73" s="1063"/>
      <c r="O73" s="1063"/>
      <c r="P73" s="2105"/>
      <c r="Q73" s="513"/>
    </row>
    <row r="74" spans="1:17" s="427" customFormat="1" ht="15.75" thickTop="1">
      <c r="A74" s="507"/>
      <c r="B74" s="500">
        <f>B14</f>
        <v>111</v>
      </c>
      <c r="C74" s="508"/>
      <c r="D74" s="508"/>
      <c r="E74" s="508"/>
      <c r="F74" s="508"/>
      <c r="G74" s="477"/>
      <c r="H74" s="518"/>
      <c r="I74" s="518"/>
      <c r="J74" s="518"/>
      <c r="K74" s="518"/>
      <c r="L74" s="519"/>
      <c r="M74" s="520"/>
      <c r="N74" s="1063"/>
      <c r="O74" s="1063"/>
      <c r="P74" s="2107"/>
      <c r="Q74" s="513"/>
    </row>
    <row r="75" spans="1:17" s="427" customFormat="1" ht="15.75" thickBot="1">
      <c r="A75" s="522"/>
      <c r="B75" s="523"/>
      <c r="C75" s="524"/>
      <c r="D75" s="524"/>
      <c r="E75" s="524"/>
      <c r="F75" s="524"/>
      <c r="G75" s="524"/>
      <c r="H75" s="525"/>
      <c r="I75" s="525"/>
      <c r="J75" s="525"/>
      <c r="K75" s="525"/>
      <c r="L75" s="525"/>
      <c r="M75" s="526"/>
      <c r="N75" s="1063"/>
      <c r="O75" s="1063"/>
      <c r="P75" s="2105"/>
      <c r="Q75" s="513"/>
    </row>
    <row r="76" spans="1:17">
      <c r="A76" s="481" t="s">
        <v>2372</v>
      </c>
      <c r="B76" s="482" t="s">
        <v>2409</v>
      </c>
      <c r="C76" s="527" t="s">
        <v>2410</v>
      </c>
      <c r="D76" s="527" t="s">
        <v>2411</v>
      </c>
      <c r="E76" s="527" t="s">
        <v>2412</v>
      </c>
      <c r="F76" s="527" t="s">
        <v>2413</v>
      </c>
      <c r="G76" s="527" t="s">
        <v>2414</v>
      </c>
      <c r="H76" s="483"/>
      <c r="I76" s="483"/>
      <c r="J76" s="483"/>
      <c r="K76" s="528"/>
      <c r="L76" s="529"/>
      <c r="M76" s="530"/>
      <c r="N76" s="1061"/>
      <c r="O76" s="1061"/>
      <c r="P76" s="210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4"/>
      <c r="Q77" s="458"/>
    </row>
    <row r="78" spans="1:17" ht="15.75" thickTop="1">
      <c r="A78" s="488"/>
      <c r="B78" s="492" t="s">
        <v>2415</v>
      </c>
      <c r="C78" s="532" t="s">
        <v>2410</v>
      </c>
      <c r="D78" s="532" t="s">
        <v>2411</v>
      </c>
      <c r="E78" s="532" t="s">
        <v>2412</v>
      </c>
      <c r="F78" s="532" t="s">
        <v>2413</v>
      </c>
      <c r="G78" s="532" t="s">
        <v>2414</v>
      </c>
      <c r="H78" s="493"/>
      <c r="I78" s="493"/>
      <c r="J78" s="493"/>
      <c r="K78" s="494"/>
      <c r="L78" s="495"/>
      <c r="M78" s="496"/>
      <c r="N78" s="1061"/>
      <c r="O78" s="1061"/>
      <c r="P78" s="210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4"/>
      <c r="Q79" s="458"/>
    </row>
    <row r="80" spans="1:17" ht="15.75" thickTop="1">
      <c r="A80" s="488"/>
      <c r="B80" s="492" t="s">
        <v>2416</v>
      </c>
      <c r="C80" s="532" t="s">
        <v>2410</v>
      </c>
      <c r="D80" s="532" t="s">
        <v>2411</v>
      </c>
      <c r="E80" s="532" t="s">
        <v>2412</v>
      </c>
      <c r="F80" s="532" t="s">
        <v>2413</v>
      </c>
      <c r="G80" s="532" t="s">
        <v>2414</v>
      </c>
      <c r="H80" s="493"/>
      <c r="I80" s="493"/>
      <c r="J80" s="493"/>
      <c r="K80" s="494"/>
      <c r="L80" s="495"/>
      <c r="M80" s="496"/>
      <c r="N80" s="1061"/>
      <c r="O80" s="1061"/>
      <c r="P80" s="210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4"/>
      <c r="Q81" s="458"/>
    </row>
    <row r="82" spans="1:17" ht="15.75" thickTop="1">
      <c r="A82" s="488"/>
      <c r="B82" s="500" t="s">
        <v>1944</v>
      </c>
      <c r="C82" s="493" t="s">
        <v>2417</v>
      </c>
      <c r="D82" s="493" t="s">
        <v>2418</v>
      </c>
      <c r="E82" s="493" t="s">
        <v>2419</v>
      </c>
      <c r="F82" s="493" t="s">
        <v>2420</v>
      </c>
      <c r="G82" s="493" t="s">
        <v>2421</v>
      </c>
      <c r="H82" s="493"/>
      <c r="I82" s="493"/>
      <c r="J82" s="493"/>
      <c r="K82" s="493"/>
      <c r="L82" s="493"/>
      <c r="M82" s="1288"/>
      <c r="N82" s="1062"/>
      <c r="O82" s="1062"/>
      <c r="P82" s="210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4"/>
      <c r="Q83" s="458"/>
    </row>
    <row r="84" spans="1:17" ht="15.75" thickTop="1">
      <c r="A84" s="488"/>
      <c r="B84" s="492" t="s">
        <v>2422</v>
      </c>
      <c r="C84" s="532" t="s">
        <v>2410</v>
      </c>
      <c r="D84" s="532" t="s">
        <v>2411</v>
      </c>
      <c r="E84" s="532" t="s">
        <v>2412</v>
      </c>
      <c r="F84" s="532" t="s">
        <v>2413</v>
      </c>
      <c r="G84" s="532" t="s">
        <v>2414</v>
      </c>
      <c r="H84" s="493"/>
      <c r="I84" s="493"/>
      <c r="J84" s="493"/>
      <c r="K84" s="494"/>
      <c r="L84" s="495"/>
      <c r="M84" s="496"/>
      <c r="N84" s="1061"/>
      <c r="O84" s="1061"/>
      <c r="P84" s="210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4"/>
      <c r="Q85" s="458"/>
    </row>
    <row r="86" spans="1:17" s="112" customFormat="1" ht="15.75" thickTop="1">
      <c r="A86" s="533"/>
      <c r="B86" s="492" t="s">
        <v>2423</v>
      </c>
      <c r="C86" s="508"/>
      <c r="D86" s="508"/>
      <c r="E86" s="508"/>
      <c r="F86" s="508"/>
      <c r="G86" s="508"/>
      <c r="H86" s="508"/>
      <c r="I86" s="508"/>
      <c r="J86" s="508"/>
      <c r="K86" s="508"/>
      <c r="L86" s="534"/>
      <c r="M86" s="535"/>
      <c r="N86" s="1060"/>
      <c r="O86" s="1060"/>
      <c r="P86" s="2104"/>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4"/>
      <c r="Q87" s="458"/>
    </row>
    <row r="88" spans="1:17" s="112" customFormat="1" ht="15.75" thickTop="1">
      <c r="A88" s="533"/>
      <c r="B88" s="492" t="s">
        <v>2424</v>
      </c>
      <c r="C88" s="508"/>
      <c r="D88" s="508"/>
      <c r="E88" s="508"/>
      <c r="F88" s="2109"/>
      <c r="G88" s="508"/>
      <c r="H88" s="508"/>
      <c r="I88" s="508"/>
      <c r="J88" s="508"/>
      <c r="K88" s="508"/>
      <c r="L88" s="508"/>
      <c r="M88" s="535"/>
      <c r="N88" s="1060"/>
      <c r="O88" s="1060"/>
      <c r="P88" s="2104"/>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4"/>
      <c r="Q89" s="458"/>
    </row>
    <row r="90" spans="1:17" s="427" customFormat="1" ht="15.75" thickTop="1">
      <c r="A90" s="507"/>
      <c r="B90" s="492">
        <f>B27</f>
        <v>111</v>
      </c>
      <c r="C90" s="508"/>
      <c r="D90" s="508"/>
      <c r="E90" s="508"/>
      <c r="F90" s="508"/>
      <c r="G90" s="508"/>
      <c r="H90" s="509"/>
      <c r="I90" s="509"/>
      <c r="J90" s="509"/>
      <c r="K90" s="509"/>
      <c r="L90" s="510"/>
      <c r="M90" s="511"/>
      <c r="N90" s="1063"/>
      <c r="O90" s="1063"/>
      <c r="P90" s="2105"/>
      <c r="Q90" s="513"/>
    </row>
    <row r="91" spans="1:17" s="427" customFormat="1" ht="15.75" thickBot="1">
      <c r="A91" s="507"/>
      <c r="B91" s="497"/>
      <c r="C91" s="514"/>
      <c r="D91" s="514"/>
      <c r="E91" s="514"/>
      <c r="F91" s="514"/>
      <c r="G91" s="514"/>
      <c r="H91" s="516"/>
      <c r="I91" s="516"/>
      <c r="J91" s="516"/>
      <c r="K91" s="516"/>
      <c r="L91" s="516"/>
      <c r="M91" s="517"/>
      <c r="N91" s="1063"/>
      <c r="O91" s="1063"/>
      <c r="P91" s="2105"/>
      <c r="Q91" s="513"/>
    </row>
    <row r="92" spans="1:17" ht="15.75" thickTop="1">
      <c r="A92" s="488"/>
      <c r="B92" s="492">
        <f>B28</f>
        <v>111</v>
      </c>
      <c r="C92" s="508"/>
      <c r="D92" s="508"/>
      <c r="E92" s="508"/>
      <c r="F92" s="508"/>
      <c r="G92" s="537"/>
      <c r="H92" s="537"/>
      <c r="I92" s="537"/>
      <c r="J92" s="537"/>
      <c r="K92" s="538"/>
      <c r="L92" s="539"/>
      <c r="M92" s="540"/>
      <c r="N92" s="1061"/>
      <c r="O92" s="1061"/>
      <c r="P92" s="2104"/>
      <c r="Q92" s="458"/>
    </row>
    <row r="93" spans="1:17" ht="15.75" thickBot="1">
      <c r="A93" s="488"/>
      <c r="B93" s="497"/>
      <c r="C93" s="514"/>
      <c r="D93" s="490"/>
      <c r="E93" s="490"/>
      <c r="F93" s="490"/>
      <c r="G93" s="490"/>
      <c r="H93" s="490"/>
      <c r="I93" s="490"/>
      <c r="J93" s="490"/>
      <c r="K93" s="490"/>
      <c r="L93" s="490"/>
      <c r="M93" s="491"/>
      <c r="N93" s="1062"/>
      <c r="O93" s="1062"/>
      <c r="P93" s="2104"/>
      <c r="Q93" s="458"/>
    </row>
    <row r="94" spans="1:17" ht="15.75" thickTop="1">
      <c r="A94" s="488"/>
      <c r="B94" s="492">
        <f>B29</f>
        <v>111</v>
      </c>
      <c r="C94" s="508"/>
      <c r="D94" s="508"/>
      <c r="E94" s="508"/>
      <c r="F94" s="508"/>
      <c r="G94" s="537"/>
      <c r="H94" s="537"/>
      <c r="I94" s="537"/>
      <c r="J94" s="537"/>
      <c r="K94" s="538"/>
      <c r="L94" s="539"/>
      <c r="M94" s="540"/>
      <c r="N94" s="1061"/>
      <c r="O94" s="1061"/>
      <c r="P94" s="2104"/>
      <c r="Q94" s="458"/>
    </row>
    <row r="95" spans="1:17" ht="15.75" thickBot="1">
      <c r="A95" s="488"/>
      <c r="B95" s="497"/>
      <c r="C95" s="514"/>
      <c r="D95" s="514"/>
      <c r="E95" s="514"/>
      <c r="F95" s="514"/>
      <c r="G95" s="490"/>
      <c r="H95" s="490"/>
      <c r="I95" s="490"/>
      <c r="J95" s="490"/>
      <c r="K95" s="490"/>
      <c r="L95" s="490"/>
      <c r="M95" s="491"/>
      <c r="N95" s="1062"/>
      <c r="O95" s="1062"/>
      <c r="P95" s="2104"/>
      <c r="Q95" s="458"/>
    </row>
    <row r="96" spans="1:17" ht="15.75" thickTop="1">
      <c r="A96" s="488"/>
      <c r="B96" s="492">
        <f>B30</f>
        <v>111</v>
      </c>
      <c r="C96" s="508"/>
      <c r="D96" s="508"/>
      <c r="E96" s="508"/>
      <c r="F96" s="508"/>
      <c r="G96" s="537"/>
      <c r="H96" s="537"/>
      <c r="I96" s="537"/>
      <c r="J96" s="537"/>
      <c r="K96" s="538"/>
      <c r="L96" s="539"/>
      <c r="M96" s="540"/>
      <c r="N96" s="1061"/>
      <c r="O96" s="1061"/>
      <c r="P96" s="2104"/>
      <c r="Q96" s="458"/>
    </row>
    <row r="97" spans="1:17" ht="15.75" thickBot="1">
      <c r="A97" s="488"/>
      <c r="B97" s="497"/>
      <c r="C97" s="524"/>
      <c r="D97" s="524"/>
      <c r="E97" s="524"/>
      <c r="F97" s="524"/>
      <c r="G97" s="490"/>
      <c r="H97" s="490"/>
      <c r="I97" s="490"/>
      <c r="J97" s="490"/>
      <c r="K97" s="490"/>
      <c r="L97" s="490"/>
      <c r="M97" s="491"/>
      <c r="N97" s="1062"/>
      <c r="O97" s="1062"/>
      <c r="P97" s="2104"/>
      <c r="Q97" s="458"/>
    </row>
    <row r="98" spans="1:17" ht="15.75" thickTop="1">
      <c r="A98" s="488"/>
      <c r="B98" s="500">
        <f>B31</f>
        <v>111</v>
      </c>
      <c r="C98" s="541"/>
      <c r="D98" s="541"/>
      <c r="E98" s="541"/>
      <c r="F98" s="541"/>
      <c r="G98" s="541"/>
      <c r="H98" s="541"/>
      <c r="I98" s="541"/>
      <c r="J98" s="541"/>
      <c r="K98" s="542"/>
      <c r="L98" s="543"/>
      <c r="M98" s="544"/>
      <c r="N98" s="1061"/>
      <c r="O98" s="1061"/>
      <c r="P98" s="2104"/>
      <c r="Q98" s="458"/>
    </row>
    <row r="99" spans="1:17" ht="15.75" thickBot="1">
      <c r="A99" s="2110"/>
      <c r="B99" s="523"/>
      <c r="C99" s="545"/>
      <c r="D99" s="545"/>
      <c r="E99" s="545"/>
      <c r="F99" s="545"/>
      <c r="G99" s="545"/>
      <c r="H99" s="545"/>
      <c r="I99" s="545"/>
      <c r="J99" s="545"/>
      <c r="K99" s="545"/>
      <c r="L99" s="545"/>
      <c r="M99" s="546"/>
      <c r="N99" s="1062"/>
      <c r="O99" s="1062"/>
      <c r="P99" s="2104"/>
      <c r="Q99" s="458"/>
    </row>
    <row r="100" spans="1:17">
      <c r="A100" s="481" t="s">
        <v>2376</v>
      </c>
      <c r="B100" s="482" t="s">
        <v>2425</v>
      </c>
      <c r="C100" s="484"/>
      <c r="D100" s="484"/>
      <c r="E100" s="484"/>
      <c r="F100" s="484"/>
      <c r="G100" s="484"/>
      <c r="H100" s="484"/>
      <c r="I100" s="484"/>
      <c r="J100" s="484"/>
      <c r="K100" s="485"/>
      <c r="L100" s="486"/>
      <c r="M100" s="487"/>
      <c r="N100" s="1061"/>
      <c r="O100" s="1061"/>
      <c r="P100" s="210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4"/>
      <c r="Q101" s="458"/>
    </row>
    <row r="102" spans="1:17" ht="15.75" thickTop="1">
      <c r="A102" s="488"/>
      <c r="B102" s="492" t="s">
        <v>2426</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4"/>
      <c r="Q102" s="458"/>
    </row>
    <row r="103" spans="1:17" s="427" customFormat="1">
      <c r="A103" s="547"/>
      <c r="B103" s="548"/>
      <c r="C103" s="549"/>
      <c r="D103" s="549"/>
      <c r="E103" s="549"/>
      <c r="F103" s="549"/>
      <c r="G103" s="549"/>
      <c r="H103" s="549"/>
      <c r="I103" s="549"/>
      <c r="J103" s="550"/>
      <c r="K103" s="550"/>
      <c r="L103" s="551"/>
      <c r="M103" s="552"/>
      <c r="N103" s="1063"/>
      <c r="O103" s="1063"/>
      <c r="P103" s="2105"/>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5"/>
      <c r="Q104" s="513"/>
    </row>
    <row r="105" spans="1:17" ht="15" thickTop="1">
      <c r="A105" s="553"/>
      <c r="B105" s="492" t="s">
        <v>2427</v>
      </c>
      <c r="C105" s="508"/>
      <c r="D105" s="508"/>
      <c r="E105" s="537"/>
      <c r="F105" s="537"/>
      <c r="G105" s="537"/>
      <c r="H105" s="537"/>
      <c r="I105" s="537"/>
      <c r="J105" s="537"/>
      <c r="K105" s="538"/>
      <c r="L105" s="539"/>
      <c r="M105" s="540"/>
      <c r="N105" s="1061"/>
      <c r="O105" s="1061"/>
      <c r="P105" s="210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4"/>
      <c r="Q106" s="458"/>
    </row>
    <row r="107" spans="1:17" ht="15" thickTop="1">
      <c r="A107" s="553"/>
      <c r="B107" s="492" t="s">
        <v>2428</v>
      </c>
      <c r="C107" s="537"/>
      <c r="D107" s="537"/>
      <c r="E107" s="537"/>
      <c r="F107" s="537"/>
      <c r="G107" s="537"/>
      <c r="H107" s="537"/>
      <c r="I107" s="537"/>
      <c r="J107" s="537"/>
      <c r="K107" s="538"/>
      <c r="L107" s="539"/>
      <c r="M107" s="540"/>
      <c r="N107" s="1061"/>
      <c r="O107" s="1061"/>
      <c r="P107" s="210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4"/>
      <c r="Q108" s="458"/>
    </row>
    <row r="109" spans="1:17" ht="15" thickTop="1">
      <c r="A109" s="553"/>
      <c r="B109" s="492" t="s">
        <v>2429</v>
      </c>
      <c r="C109" s="508"/>
      <c r="D109" s="508"/>
      <c r="E109" s="508"/>
      <c r="F109" s="537"/>
      <c r="G109" s="537"/>
      <c r="H109" s="537"/>
      <c r="I109" s="537"/>
      <c r="J109" s="537"/>
      <c r="K109" s="538"/>
      <c r="L109" s="539"/>
      <c r="M109" s="540"/>
      <c r="N109" s="1061"/>
      <c r="O109" s="1061"/>
      <c r="P109" s="210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4"/>
      <c r="Q110" s="458"/>
    </row>
    <row r="111" spans="1:17" s="427" customFormat="1" ht="15" thickTop="1">
      <c r="A111" s="547"/>
      <c r="B111" s="492" t="s">
        <v>1874</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5"/>
      <c r="Q113" s="513"/>
    </row>
    <row r="114" spans="1:17" ht="15" thickTop="1">
      <c r="A114" s="553"/>
      <c r="B114" s="492" t="s">
        <v>2430</v>
      </c>
      <c r="C114" s="508"/>
      <c r="D114" s="508"/>
      <c r="E114" s="537"/>
      <c r="F114" s="537"/>
      <c r="G114" s="537"/>
      <c r="H114" s="537"/>
      <c r="I114" s="537"/>
      <c r="J114" s="537"/>
      <c r="K114" s="538"/>
      <c r="L114" s="539"/>
      <c r="M114" s="540"/>
      <c r="N114" s="1061"/>
      <c r="O114" s="1061"/>
      <c r="P114" s="210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4"/>
      <c r="Q115" s="458"/>
    </row>
    <row r="116" spans="1:17" ht="15" thickTop="1">
      <c r="A116" s="553"/>
      <c r="B116" s="492" t="s">
        <v>2431</v>
      </c>
      <c r="C116" s="508"/>
      <c r="D116" s="508"/>
      <c r="E116" s="508"/>
      <c r="F116" s="508"/>
      <c r="G116" s="508"/>
      <c r="H116" s="537"/>
      <c r="I116" s="537"/>
      <c r="J116" s="537"/>
      <c r="K116" s="538"/>
      <c r="L116" s="539"/>
      <c r="M116" s="540"/>
      <c r="N116" s="1061"/>
      <c r="O116" s="1061"/>
      <c r="P116" s="210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4"/>
      <c r="Q117" s="458"/>
    </row>
    <row r="118" spans="1:17" ht="15" thickTop="1">
      <c r="A118" s="553"/>
      <c r="B118" s="492" t="s">
        <v>2432</v>
      </c>
      <c r="C118" s="537"/>
      <c r="D118" s="537"/>
      <c r="E118" s="537"/>
      <c r="F118" s="537"/>
      <c r="G118" s="537"/>
      <c r="H118" s="537"/>
      <c r="I118" s="537"/>
      <c r="J118" s="537"/>
      <c r="K118" s="538"/>
      <c r="L118" s="539"/>
      <c r="M118" s="540"/>
      <c r="N118" s="1061"/>
      <c r="O118" s="1061"/>
      <c r="P118" s="210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4"/>
      <c r="Q119" s="458"/>
    </row>
    <row r="120" spans="1:17" s="427" customFormat="1" ht="28.5" thickTop="1">
      <c r="A120" s="547"/>
      <c r="B120" s="492" t="s">
        <v>2387</v>
      </c>
      <c r="C120" s="508"/>
      <c r="D120" s="508"/>
      <c r="E120" s="508"/>
      <c r="F120" s="508"/>
      <c r="G120" s="508"/>
      <c r="H120" s="508"/>
      <c r="I120" s="508"/>
      <c r="J120" s="508"/>
      <c r="K120" s="508"/>
      <c r="L120" s="534"/>
      <c r="M120" s="535"/>
      <c r="N120" s="1063"/>
      <c r="O120" s="1063"/>
      <c r="P120" s="2105"/>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5"/>
      <c r="Q121" s="513"/>
    </row>
    <row r="122" spans="1:17" ht="15" thickTop="1">
      <c r="A122" s="553"/>
      <c r="B122" s="492" t="s">
        <v>2433</v>
      </c>
      <c r="C122" s="508"/>
      <c r="D122" s="508"/>
      <c r="E122" s="508"/>
      <c r="F122" s="537"/>
      <c r="G122" s="537"/>
      <c r="H122" s="537"/>
      <c r="I122" s="537"/>
      <c r="J122" s="537"/>
      <c r="K122" s="538"/>
      <c r="L122" s="539"/>
      <c r="M122" s="540"/>
      <c r="N122" s="1061"/>
      <c r="O122" s="1061"/>
      <c r="P122" s="210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4"/>
      <c r="Q123" s="458"/>
    </row>
    <row r="124" spans="1:17" ht="15" thickTop="1">
      <c r="A124" s="553"/>
      <c r="B124" s="492" t="s">
        <v>2434</v>
      </c>
      <c r="C124" s="532" t="s">
        <v>2410</v>
      </c>
      <c r="D124" s="532" t="s">
        <v>2411</v>
      </c>
      <c r="E124" s="532" t="s">
        <v>2412</v>
      </c>
      <c r="F124" s="532" t="s">
        <v>2413</v>
      </c>
      <c r="G124" s="532" t="s">
        <v>2414</v>
      </c>
      <c r="H124" s="493"/>
      <c r="I124" s="493"/>
      <c r="J124" s="493"/>
      <c r="K124" s="494"/>
      <c r="L124" s="495"/>
      <c r="M124" s="496"/>
      <c r="N124" s="1061"/>
      <c r="O124" s="1061"/>
      <c r="P124" s="210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4"/>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5"/>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5"/>
      <c r="Q127" s="513"/>
    </row>
    <row r="128" spans="1:17" ht="15" thickTop="1">
      <c r="A128" s="553"/>
      <c r="B128" s="492">
        <f>B45</f>
        <v>111</v>
      </c>
      <c r="C128" s="508"/>
      <c r="D128" s="508"/>
      <c r="E128" s="508"/>
      <c r="F128" s="508"/>
      <c r="G128" s="537"/>
      <c r="H128" s="537"/>
      <c r="I128" s="537"/>
      <c r="J128" s="537"/>
      <c r="K128" s="538"/>
      <c r="L128" s="539"/>
      <c r="M128" s="540"/>
      <c r="N128" s="1061"/>
      <c r="O128" s="1061"/>
      <c r="P128" s="2104"/>
      <c r="Q128" s="458"/>
    </row>
    <row r="129" spans="1:17" ht="15.75" thickBot="1">
      <c r="A129" s="488"/>
      <c r="B129" s="497"/>
      <c r="C129" s="514"/>
      <c r="D129" s="514"/>
      <c r="E129" s="514"/>
      <c r="F129" s="514"/>
      <c r="G129" s="490"/>
      <c r="H129" s="490"/>
      <c r="I129" s="490"/>
      <c r="J129" s="490"/>
      <c r="K129" s="490"/>
      <c r="L129" s="490"/>
      <c r="M129" s="491"/>
      <c r="N129" s="1062"/>
      <c r="O129" s="1062"/>
      <c r="P129" s="2104"/>
      <c r="Q129" s="458"/>
    </row>
    <row r="130" spans="1:17" ht="15" thickTop="1">
      <c r="A130" s="553"/>
      <c r="B130" s="500">
        <f>B46</f>
        <v>111</v>
      </c>
      <c r="C130" s="508"/>
      <c r="D130" s="508"/>
      <c r="E130" s="508"/>
      <c r="F130" s="508"/>
      <c r="G130" s="541"/>
      <c r="H130" s="541"/>
      <c r="I130" s="541"/>
      <c r="J130" s="541"/>
      <c r="K130" s="477"/>
      <c r="L130" s="478"/>
      <c r="M130" s="544"/>
      <c r="N130" s="1061"/>
      <c r="O130" s="1061"/>
      <c r="P130" s="2104"/>
      <c r="Q130" s="458"/>
    </row>
    <row r="131" spans="1:17" ht="15.75" thickBot="1">
      <c r="A131" s="2110"/>
      <c r="B131" s="523"/>
      <c r="C131" s="524"/>
      <c r="D131" s="524"/>
      <c r="E131" s="524"/>
      <c r="F131" s="524"/>
      <c r="G131" s="545"/>
      <c r="H131" s="545"/>
      <c r="I131" s="545"/>
      <c r="J131" s="545"/>
      <c r="K131" s="545"/>
      <c r="L131" s="545"/>
      <c r="M131" s="546"/>
      <c r="N131" s="1062"/>
      <c r="O131" s="1062"/>
      <c r="P131" s="2104"/>
      <c r="Q131" s="458"/>
    </row>
    <row r="136" spans="1:17" ht="15" thickBot="1">
      <c r="B136" s="2111" t="s">
        <v>2435</v>
      </c>
    </row>
    <row r="137" spans="1:17" ht="15">
      <c r="B137" s="2112" t="s">
        <v>2436</v>
      </c>
      <c r="C137" s="2113"/>
      <c r="D137" s="2113"/>
      <c r="E137" s="2113"/>
      <c r="F137" s="2113"/>
      <c r="G137" s="2114"/>
      <c r="H137" s="2115"/>
      <c r="I137" s="2116" t="s">
        <v>2437</v>
      </c>
      <c r="J137" s="2113"/>
      <c r="K137" s="2117"/>
    </row>
    <row r="138" spans="1:17" ht="15">
      <c r="B138" s="2118"/>
      <c r="C138" s="139" t="s">
        <v>2438</v>
      </c>
      <c r="D138" s="139" t="s">
        <v>2439</v>
      </c>
      <c r="E138" s="2119" t="s">
        <v>2440</v>
      </c>
      <c r="F138" s="2120" t="s">
        <v>2441</v>
      </c>
      <c r="G138" s="139" t="s">
        <v>2439</v>
      </c>
      <c r="H138" s="140" t="s">
        <v>2440</v>
      </c>
      <c r="I138" s="2121"/>
      <c r="J138" s="139" t="s">
        <v>2442</v>
      </c>
      <c r="K138" s="140" t="s">
        <v>2443</v>
      </c>
    </row>
    <row r="139" spans="1:17" ht="15">
      <c r="B139" s="995">
        <v>6</v>
      </c>
      <c r="C139" s="996">
        <v>96</v>
      </c>
      <c r="D139" s="2122" t="s">
        <v>2444</v>
      </c>
      <c r="E139" s="997">
        <v>100</v>
      </c>
      <c r="F139" s="998">
        <v>102.5</v>
      </c>
      <c r="G139" s="2122" t="s">
        <v>2444</v>
      </c>
      <c r="H139" s="999">
        <v>105</v>
      </c>
      <c r="I139" s="2123" t="s">
        <v>2445</v>
      </c>
      <c r="J139" s="996">
        <v>20</v>
      </c>
      <c r="K139" s="1000">
        <f>C145/(J139-2)</f>
        <v>4.0555555555555553E-3</v>
      </c>
    </row>
    <row r="140" spans="1:17" ht="15">
      <c r="B140" s="1001">
        <v>5</v>
      </c>
      <c r="C140" s="1002">
        <v>100</v>
      </c>
      <c r="D140" s="1002"/>
      <c r="E140" s="1003"/>
      <c r="F140" s="1004">
        <v>102</v>
      </c>
      <c r="G140" s="1002"/>
      <c r="H140" s="1005"/>
      <c r="I140" s="2124" t="s">
        <v>2446</v>
      </c>
      <c r="J140" s="274">
        <f>ROUNDUP((J139-1)/2,0)</f>
        <v>10</v>
      </c>
      <c r="K140" s="1006">
        <v>100</v>
      </c>
    </row>
    <row r="141" spans="1:17" ht="15">
      <c r="B141" s="1001">
        <v>4</v>
      </c>
      <c r="C141" s="1002">
        <v>102</v>
      </c>
      <c r="D141" s="1002"/>
      <c r="E141" s="1003"/>
      <c r="F141" s="1004">
        <v>101.5</v>
      </c>
      <c r="G141" s="1002"/>
      <c r="H141" s="1005"/>
      <c r="I141" s="2124" t="s">
        <v>2447</v>
      </c>
      <c r="J141" s="274">
        <v>1</v>
      </c>
      <c r="K141" s="1007">
        <f>ROUND(100+(J141-J140)*K139*100,1)</f>
        <v>96.4</v>
      </c>
    </row>
    <row r="142" spans="1:17" ht="15">
      <c r="B142" s="1001">
        <v>3</v>
      </c>
      <c r="C142" s="1002">
        <v>103</v>
      </c>
      <c r="D142" s="1002"/>
      <c r="E142" s="1003"/>
      <c r="F142" s="1004">
        <v>101</v>
      </c>
      <c r="G142" s="1002"/>
      <c r="H142" s="1005"/>
      <c r="I142" s="2124" t="s">
        <v>2448</v>
      </c>
      <c r="J142" s="274">
        <f>J139</f>
        <v>20</v>
      </c>
      <c r="K142" s="1008">
        <v>95</v>
      </c>
    </row>
    <row r="143" spans="1:17" ht="15">
      <c r="B143" s="1001">
        <v>2</v>
      </c>
      <c r="C143" s="1002">
        <v>100</v>
      </c>
      <c r="D143" s="1002"/>
      <c r="E143" s="1003"/>
      <c r="F143" s="1004">
        <v>100.5</v>
      </c>
      <c r="G143" s="1002"/>
      <c r="H143" s="1005"/>
      <c r="I143" s="2124" t="s">
        <v>2449</v>
      </c>
      <c r="J143" s="1002">
        <v>15</v>
      </c>
      <c r="K143" s="1007">
        <f>ROUND(100+(J143-J140)*K139*100,1)</f>
        <v>102</v>
      </c>
    </row>
    <row r="144" spans="1:17" ht="15">
      <c r="B144" s="1001">
        <v>1</v>
      </c>
      <c r="C144" s="1002">
        <v>98</v>
      </c>
      <c r="D144" s="2125" t="s">
        <v>2450</v>
      </c>
      <c r="E144" s="1003">
        <v>102</v>
      </c>
      <c r="F144" s="1009">
        <v>100</v>
      </c>
      <c r="G144" s="2125" t="s">
        <v>2450</v>
      </c>
      <c r="H144" s="1005">
        <v>105</v>
      </c>
      <c r="I144" s="2124" t="s">
        <v>2449</v>
      </c>
      <c r="J144" s="1002">
        <v>18</v>
      </c>
      <c r="K144" s="1007">
        <f>ROUND(100+(J144-J140)*K139*100,1)</f>
        <v>103.2</v>
      </c>
    </row>
    <row r="145" spans="2:11" ht="15.75" thickBot="1">
      <c r="B145" s="2126" t="s">
        <v>2451</v>
      </c>
      <c r="C145" s="1010">
        <f>ROUND(MAX(C139:C144)/MIN(C139:C144)-1,3)</f>
        <v>7.2999999999999995E-2</v>
      </c>
      <c r="D145" s="1011"/>
      <c r="E145" s="1011"/>
      <c r="F145" s="2127" t="s">
        <v>2452</v>
      </c>
      <c r="G145" s="2128"/>
      <c r="H145" s="2129"/>
      <c r="I145" s="2130" t="s">
        <v>2449</v>
      </c>
      <c r="J145" s="1012">
        <v>8</v>
      </c>
      <c r="K145" s="1013">
        <f>ROUND(100+(J145-J140)*K139*100,1)</f>
        <v>99.2</v>
      </c>
    </row>
    <row r="147" spans="2:11">
      <c r="B147" s="2111" t="s">
        <v>2453</v>
      </c>
    </row>
    <row r="148" spans="2:11">
      <c r="B148" s="2111" t="s">
        <v>2454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060" t="s">
        <v>2455</v>
      </c>
      <c r="C1" s="1403" t="s">
        <v>2343</v>
      </c>
      <c r="D1" s="1390" t="s">
        <v>1343</v>
      </c>
      <c r="E1" s="2539"/>
      <c r="F1" s="2061" t="s">
        <v>3096</v>
      </c>
      <c r="G1" s="1400" t="s">
        <v>2456</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5" customFormat="1" ht="28.5" customHeight="1" thickTop="1">
      <c r="A2" s="1386" t="s">
        <v>2143</v>
      </c>
      <c r="B2" s="1323" t="e">
        <f>IF(C2="——",ROUND(C49*D3/10000,0),ROUND(C49*D3/10000,0)-D2)</f>
        <v>#DIV/0!</v>
      </c>
      <c r="C2" s="2063" t="s">
        <v>70</v>
      </c>
      <c r="D2" s="1272" t="e">
        <f ca="1">SUMIF(INDIRECT("'"&amp;F2&amp;"'"&amp;"!A:A"),"承租人权益价值",INDIRECT("'"&amp;F2&amp;"'"&amp;"!c:c"))</f>
        <v>#REF!</v>
      </c>
      <c r="E2" s="2064" t="s">
        <v>2144</v>
      </c>
      <c r="F2" s="2065"/>
      <c r="G2" s="1036"/>
      <c r="H2" s="1036"/>
      <c r="I2" s="1036"/>
      <c r="J2" s="1036"/>
      <c r="K2" s="1036"/>
      <c r="L2" s="2954"/>
      <c r="M2" s="2955"/>
      <c r="N2" s="2955"/>
      <c r="O2" s="2955"/>
      <c r="P2" s="2134"/>
      <c r="Q2" s="1040"/>
      <c r="R2" s="1040"/>
      <c r="S2" s="1040"/>
      <c r="T2" s="1040"/>
      <c r="U2" s="1040"/>
      <c r="V2" s="1040"/>
      <c r="W2" s="1040"/>
      <c r="X2" s="1040"/>
      <c r="Y2" s="1040"/>
      <c r="Z2" s="1040"/>
      <c r="AA2" s="1040"/>
      <c r="AB2" s="1040"/>
      <c r="AC2" s="2135"/>
    </row>
    <row r="3" spans="1:29" s="355" customFormat="1" ht="28.5" customHeight="1" thickBot="1">
      <c r="A3" s="206" t="s">
        <v>2145</v>
      </c>
      <c r="B3" s="563" t="e">
        <f>IF(C2="——",C49,ROUND(B2*10000/D3,0))</f>
        <v>#DIV/0!</v>
      </c>
      <c r="C3" s="357" t="s">
        <v>2457</v>
      </c>
      <c r="D3" s="356">
        <f>IF(D1="",'数据-汇总表'!E3,SUMIF('数据-汇总表'!$C19:$C33,D1,'数据-汇总表'!$E19:$E33))</f>
        <v>96983.22</v>
      </c>
      <c r="E3" s="2136"/>
      <c r="F3" s="1037"/>
      <c r="G3" s="1036"/>
      <c r="H3" s="1036"/>
      <c r="I3" s="1036"/>
      <c r="J3" s="1036"/>
      <c r="K3" s="1038"/>
      <c r="L3" s="2954"/>
      <c r="M3" s="2955"/>
      <c r="N3" s="2955"/>
      <c r="O3" s="2955"/>
      <c r="P3" s="2134"/>
      <c r="Q3" s="1040"/>
      <c r="R3" s="1040"/>
      <c r="S3" s="1040"/>
      <c r="T3" s="1040"/>
      <c r="U3" s="1040"/>
      <c r="V3" s="1040"/>
      <c r="W3" s="1040"/>
      <c r="X3" s="1040"/>
      <c r="Y3" s="1040"/>
      <c r="Z3" s="1040"/>
      <c r="AA3" s="1040"/>
      <c r="AB3" s="1040"/>
      <c r="AC3" s="2136"/>
    </row>
    <row r="4" spans="1:29" ht="15">
      <c r="A4" s="358" t="s">
        <v>2458</v>
      </c>
      <c r="B4" s="359"/>
      <c r="C4" s="3319" t="s">
        <v>2459</v>
      </c>
      <c r="D4" s="3320"/>
      <c r="E4" s="3321" t="s">
        <v>2460</v>
      </c>
      <c r="F4" s="3322"/>
      <c r="G4" s="3319" t="s">
        <v>2461</v>
      </c>
      <c r="H4" s="3320"/>
      <c r="I4" s="3319" t="s">
        <v>2462</v>
      </c>
      <c r="J4" s="3320"/>
      <c r="K4" s="564" t="s">
        <v>2463</v>
      </c>
      <c r="L4" s="2935"/>
      <c r="M4" s="2936"/>
      <c r="N4" s="2936"/>
      <c r="O4" s="2936"/>
      <c r="P4" s="3323" t="s">
        <v>2464</v>
      </c>
      <c r="Q4" s="3324"/>
      <c r="R4" s="3306" t="s">
        <v>2460</v>
      </c>
      <c r="S4" s="3307"/>
      <c r="T4" s="3306" t="s">
        <v>2461</v>
      </c>
      <c r="U4" s="3307"/>
      <c r="V4" s="3331" t="s">
        <v>2462</v>
      </c>
      <c r="W4" s="3331"/>
      <c r="X4" s="1537"/>
      <c r="Y4" s="3306" t="s">
        <v>2464</v>
      </c>
      <c r="Z4" s="3307"/>
      <c r="AA4" s="3301" t="s">
        <v>2460</v>
      </c>
      <c r="AB4" s="3331" t="s">
        <v>2461</v>
      </c>
      <c r="AC4" s="3301" t="s">
        <v>2462</v>
      </c>
    </row>
    <row r="5" spans="1:29" ht="15">
      <c r="A5" s="361"/>
      <c r="B5" s="362"/>
      <c r="C5" s="3312" t="s">
        <v>2355</v>
      </c>
      <c r="D5" s="3313"/>
      <c r="E5" s="3310" t="s">
        <v>2356</v>
      </c>
      <c r="F5" s="3311"/>
      <c r="G5" s="3312" t="s">
        <v>2357</v>
      </c>
      <c r="H5" s="3313"/>
      <c r="I5" s="3312" t="s">
        <v>2358</v>
      </c>
      <c r="J5" s="3313"/>
      <c r="K5" s="564"/>
      <c r="L5" s="2935"/>
      <c r="M5" s="2936"/>
      <c r="N5" s="2936"/>
      <c r="O5" s="2936"/>
      <c r="P5" s="3325"/>
      <c r="Q5" s="3326"/>
      <c r="R5" s="3308"/>
      <c r="S5" s="3309"/>
      <c r="T5" s="3308"/>
      <c r="U5" s="3309"/>
      <c r="V5" s="3331"/>
      <c r="W5" s="3331"/>
      <c r="X5" s="1537"/>
      <c r="Y5" s="3308"/>
      <c r="Z5" s="3309"/>
      <c r="AA5" s="3302"/>
      <c r="AB5" s="3331"/>
      <c r="AC5" s="3302"/>
    </row>
    <row r="6" spans="1:29" ht="15.75" thickBot="1">
      <c r="A6" s="363"/>
      <c r="B6" s="364"/>
      <c r="C6" s="3314" t="s">
        <v>2359</v>
      </c>
      <c r="D6" s="3315"/>
      <c r="E6" s="3316" t="s">
        <v>2359</v>
      </c>
      <c r="F6" s="3317"/>
      <c r="G6" s="3314" t="s">
        <v>2359</v>
      </c>
      <c r="H6" s="3315"/>
      <c r="I6" s="3314" t="s">
        <v>2359</v>
      </c>
      <c r="J6" s="3315"/>
      <c r="K6" s="564" t="s">
        <v>2360</v>
      </c>
      <c r="L6" s="2935"/>
      <c r="M6" s="2936"/>
      <c r="N6" s="2936"/>
      <c r="O6" s="2936"/>
      <c r="P6" s="3327"/>
      <c r="Q6" s="3328"/>
      <c r="R6" s="3308"/>
      <c r="S6" s="3309"/>
      <c r="T6" s="3329"/>
      <c r="U6" s="3330"/>
      <c r="V6" s="3331"/>
      <c r="W6" s="3331"/>
      <c r="X6" s="1537"/>
      <c r="Y6" s="3329"/>
      <c r="Z6" s="3330"/>
      <c r="AA6" s="3303"/>
      <c r="AB6" s="3331"/>
      <c r="AC6" s="3303"/>
    </row>
    <row r="7" spans="1:29" s="112" customFormat="1" ht="15.75" thickBot="1">
      <c r="A7" s="365" t="s">
        <v>2361</v>
      </c>
      <c r="B7" s="366"/>
      <c r="C7" s="367">
        <f>'数据-取费表'!B2</f>
        <v>44362</v>
      </c>
      <c r="D7" s="368">
        <v>100</v>
      </c>
      <c r="E7" s="369">
        <v>44317</v>
      </c>
      <c r="F7" s="370">
        <f>SUMIF(58:58,YEAR(E7)&amp;"-"&amp;MONTH(E7),59:59)</f>
        <v>0</v>
      </c>
      <c r="G7" s="369">
        <v>44317</v>
      </c>
      <c r="H7" s="368">
        <f>SUMIF(58:58,YEAR(G7)&amp;"-"&amp;MONTH(G7),59:59)</f>
        <v>0</v>
      </c>
      <c r="I7" s="369">
        <v>44317</v>
      </c>
      <c r="J7" s="368">
        <f>SUMIF(58:58,YEAR(I7)&amp;"-"&amp;MONTH(I7),59:59)</f>
        <v>0</v>
      </c>
      <c r="K7" s="565"/>
      <c r="L7" s="2937"/>
      <c r="M7" s="2938"/>
      <c r="N7" s="2938"/>
      <c r="O7" s="2938"/>
      <c r="P7" s="3304" t="s">
        <v>2362</v>
      </c>
      <c r="Q7" s="3332"/>
      <c r="R7" s="707" t="s">
        <v>17</v>
      </c>
      <c r="S7" s="708">
        <f t="shared" ref="S7:S15" si="0">F7</f>
        <v>0</v>
      </c>
      <c r="T7" s="707" t="s">
        <v>17</v>
      </c>
      <c r="U7" s="708">
        <f t="shared" ref="U7:U15" si="1">H7</f>
        <v>0</v>
      </c>
      <c r="V7" s="707" t="s">
        <v>17</v>
      </c>
      <c r="W7" s="708">
        <f t="shared" ref="W7:W15" si="2">J7</f>
        <v>0</v>
      </c>
      <c r="X7" s="709"/>
      <c r="Y7" s="3304" t="s">
        <v>2362</v>
      </c>
      <c r="Z7" s="3305"/>
      <c r="AA7" s="710" t="e">
        <f>D7/F7</f>
        <v>#DIV/0!</v>
      </c>
      <c r="AB7" s="710" t="e">
        <f>D7/H7</f>
        <v>#DIV/0!</v>
      </c>
      <c r="AC7" s="710" t="e">
        <f>D7/J7</f>
        <v>#DIV/0!</v>
      </c>
    </row>
    <row r="8" spans="1:29" s="112" customFormat="1" ht="15.75" thickBot="1">
      <c r="A8" s="365" t="s">
        <v>2363</v>
      </c>
      <c r="B8" s="366"/>
      <c r="C8" s="371" t="s">
        <v>2465</v>
      </c>
      <c r="D8" s="368">
        <v>100</v>
      </c>
      <c r="E8" s="371" t="s">
        <v>2400</v>
      </c>
      <c r="F8" s="370">
        <f>SUMIF(61:61,E8,62:62)-SUMIF(61:61,C8,62:62)+100</f>
        <v>100</v>
      </c>
      <c r="G8" s="371" t="s">
        <v>2400</v>
      </c>
      <c r="H8" s="368">
        <f>SUMIF(61:61,G8,62:62)-SUMIF(61:61,C8,62:62)+100</f>
        <v>100</v>
      </c>
      <c r="I8" s="371" t="s">
        <v>2400</v>
      </c>
      <c r="J8" s="368">
        <f>SUMIF(61:61,I8,62:62)-SUMIF(61:61,C8,62:62)+100</f>
        <v>100</v>
      </c>
      <c r="K8" s="565"/>
      <c r="L8" s="2937"/>
      <c r="M8" s="2938"/>
      <c r="N8" s="2938"/>
      <c r="O8" s="2938"/>
      <c r="P8" s="3304" t="s">
        <v>2365</v>
      </c>
      <c r="Q8" s="3305"/>
      <c r="R8" s="707" t="s">
        <v>17</v>
      </c>
      <c r="S8" s="708">
        <f t="shared" si="0"/>
        <v>100</v>
      </c>
      <c r="T8" s="707" t="s">
        <v>17</v>
      </c>
      <c r="U8" s="708">
        <f t="shared" si="1"/>
        <v>100</v>
      </c>
      <c r="V8" s="707" t="s">
        <v>17</v>
      </c>
      <c r="W8" s="708">
        <f t="shared" si="2"/>
        <v>100</v>
      </c>
      <c r="X8" s="709"/>
      <c r="Y8" s="3304" t="s">
        <v>2365</v>
      </c>
      <c r="Z8" s="3305"/>
      <c r="AA8" s="710">
        <f t="shared" ref="AA8:AA46" si="3">D8/F8</f>
        <v>1</v>
      </c>
      <c r="AB8" s="710">
        <f t="shared" ref="AB8:AB46" si="4">D8/H8</f>
        <v>1</v>
      </c>
      <c r="AC8" s="710">
        <f t="shared" ref="AC8:AC46" si="5">D8/J8</f>
        <v>1</v>
      </c>
    </row>
    <row r="9" spans="1:29" s="112" customFormat="1">
      <c r="A9" s="372" t="s">
        <v>2366</v>
      </c>
      <c r="B9" s="67" t="s">
        <v>2367</v>
      </c>
      <c r="C9" s="373"/>
      <c r="D9" s="128">
        <v>100</v>
      </c>
      <c r="E9" s="374"/>
      <c r="F9" s="375">
        <f>SUMIF(63:63,E9,64:64)-SUMIF(63:63,C9,64:64)+100</f>
        <v>100</v>
      </c>
      <c r="G9" s="374"/>
      <c r="H9" s="128">
        <f>SUMIF(63:63,G9,64:64)-SUMIF(63:63,C9,64:64)+100</f>
        <v>100</v>
      </c>
      <c r="I9" s="374"/>
      <c r="J9" s="128">
        <f>SUMIF(63:63,I9,64:64)-SUMIF(63:63,C9,64:64)+100</f>
        <v>100</v>
      </c>
      <c r="K9" s="565"/>
      <c r="L9" s="2937"/>
      <c r="M9" s="2938"/>
      <c r="N9" s="2938"/>
      <c r="O9" s="2938"/>
      <c r="P9" s="3318" t="s">
        <v>2368</v>
      </c>
      <c r="Q9" s="1525" t="str">
        <f t="shared" ref="Q9:Q15" si="6">B9</f>
        <v>用途</v>
      </c>
      <c r="R9" s="707" t="s">
        <v>17</v>
      </c>
      <c r="S9" s="708">
        <f t="shared" si="0"/>
        <v>100</v>
      </c>
      <c r="T9" s="707" t="s">
        <v>17</v>
      </c>
      <c r="U9" s="708">
        <f t="shared" si="1"/>
        <v>100</v>
      </c>
      <c r="V9" s="707" t="s">
        <v>17</v>
      </c>
      <c r="W9" s="708">
        <f t="shared" si="2"/>
        <v>100</v>
      </c>
      <c r="X9" s="709"/>
      <c r="Y9" s="3245" t="s">
        <v>2369</v>
      </c>
      <c r="Z9" s="55" t="str">
        <f t="shared" ref="Z9:Z15" si="7">Q9</f>
        <v>用途</v>
      </c>
      <c r="AA9" s="710">
        <f t="shared" si="3"/>
        <v>1</v>
      </c>
      <c r="AB9" s="710">
        <f t="shared" si="4"/>
        <v>1</v>
      </c>
      <c r="AC9" s="710">
        <f t="shared" si="5"/>
        <v>1</v>
      </c>
    </row>
    <row r="10" spans="1:29" s="383" customFormat="1" ht="27">
      <c r="A10" s="377"/>
      <c r="B10" s="378" t="s">
        <v>2370</v>
      </c>
      <c r="C10" s="379"/>
      <c r="D10" s="129">
        <v>100</v>
      </c>
      <c r="E10" s="380"/>
      <c r="F10" s="381">
        <f>SUMIF(65:65,E10,66:66)-SUMIF(65:65,C10,66:66)+100</f>
        <v>100</v>
      </c>
      <c r="G10" s="379"/>
      <c r="H10" s="129">
        <f>SUMIF(65:65,G10,66:66)-SUMIF(65:65,C10,66:66)+100</f>
        <v>100</v>
      </c>
      <c r="I10" s="379"/>
      <c r="J10" s="129">
        <f>SUMIF(65:65,I10,66:66)-SUMIF(65:65,C10,66:66)+100</f>
        <v>100</v>
      </c>
      <c r="K10" s="566"/>
      <c r="L10" s="2939"/>
      <c r="M10" s="2940"/>
      <c r="N10" s="2940"/>
      <c r="O10" s="2940"/>
      <c r="P10" s="3318"/>
      <c r="Q10" s="1525" t="str">
        <f t="shared" si="6"/>
        <v>土地使用年限（年）</v>
      </c>
      <c r="R10" s="707" t="s">
        <v>17</v>
      </c>
      <c r="S10" s="708">
        <f t="shared" si="0"/>
        <v>100</v>
      </c>
      <c r="T10" s="707" t="s">
        <v>17</v>
      </c>
      <c r="U10" s="708">
        <f t="shared" si="1"/>
        <v>100</v>
      </c>
      <c r="V10" s="707" t="s">
        <v>17</v>
      </c>
      <c r="W10" s="708">
        <f t="shared" si="2"/>
        <v>100</v>
      </c>
      <c r="X10" s="709"/>
      <c r="Y10" s="3245"/>
      <c r="Z10" s="55" t="str">
        <f t="shared" si="7"/>
        <v>土地使用年限（年）</v>
      </c>
      <c r="AA10" s="710">
        <f t="shared" si="3"/>
        <v>1</v>
      </c>
      <c r="AB10" s="710">
        <f t="shared" si="4"/>
        <v>1</v>
      </c>
      <c r="AC10" s="710">
        <f t="shared" si="5"/>
        <v>1</v>
      </c>
    </row>
    <row r="11" spans="1:29" ht="15">
      <c r="A11" s="384"/>
      <c r="B11" s="378" t="s">
        <v>2371</v>
      </c>
      <c r="C11" s="385"/>
      <c r="D11" s="129">
        <v>100</v>
      </c>
      <c r="E11" s="386"/>
      <c r="F11" s="381">
        <f>LOOKUP(E11,68:68,69:69)-LOOKUP(C11,68:68,69:69)+100</f>
        <v>100</v>
      </c>
      <c r="G11" s="385"/>
      <c r="H11" s="129">
        <f>LOOKUP(G11,68:68,69:69)-LOOKUP(C11,68:68,69:69)+100</f>
        <v>100</v>
      </c>
      <c r="I11" s="385"/>
      <c r="J11" s="129">
        <f>LOOKUP(I11,68:68,69:69)-LOOKUP(C11,68:68,69:69)+100</f>
        <v>100</v>
      </c>
      <c r="K11" s="566"/>
      <c r="L11" s="2941"/>
      <c r="M11" s="2936"/>
      <c r="N11" s="2936"/>
      <c r="O11" s="2936"/>
      <c r="P11" s="3318"/>
      <c r="Q11" s="1525" t="str">
        <f t="shared" si="6"/>
        <v>容积率</v>
      </c>
      <c r="R11" s="707" t="s">
        <v>17</v>
      </c>
      <c r="S11" s="708">
        <f t="shared" si="0"/>
        <v>100</v>
      </c>
      <c r="T11" s="707" t="s">
        <v>17</v>
      </c>
      <c r="U11" s="708">
        <f t="shared" si="1"/>
        <v>100</v>
      </c>
      <c r="V11" s="707" t="s">
        <v>17</v>
      </c>
      <c r="W11" s="708">
        <f t="shared" si="2"/>
        <v>100</v>
      </c>
      <c r="X11" s="709"/>
      <c r="Y11" s="3245"/>
      <c r="Z11" s="55" t="str">
        <f t="shared" si="7"/>
        <v>容积率</v>
      </c>
      <c r="AA11" s="710">
        <f t="shared" si="3"/>
        <v>1</v>
      </c>
      <c r="AB11" s="710">
        <f t="shared" si="4"/>
        <v>1</v>
      </c>
      <c r="AC11" s="710">
        <f t="shared" si="5"/>
        <v>1</v>
      </c>
    </row>
    <row r="12" spans="1:29" s="112" customFormat="1" ht="15">
      <c r="A12" s="387"/>
      <c r="B12" s="2075">
        <v>111</v>
      </c>
      <c r="C12" s="388"/>
      <c r="D12" s="389">
        <v>100</v>
      </c>
      <c r="E12" s="390"/>
      <c r="F12" s="381">
        <f>SUMIF(70:70,E12,71:71)-SUMIF(70:70,C12,71:71)+100</f>
        <v>100</v>
      </c>
      <c r="G12" s="390"/>
      <c r="H12" s="129">
        <f>SUMIF(70:70,G12,71:71)-SUMIF(70:70,C12,71:71)+100</f>
        <v>100</v>
      </c>
      <c r="I12" s="390"/>
      <c r="J12" s="129">
        <f>SUMIF(70:70,I12,71:71)-SUMIF(70:70,C12,71:71)+100</f>
        <v>100</v>
      </c>
      <c r="K12" s="567"/>
      <c r="L12" s="2937"/>
      <c r="M12" s="2938"/>
      <c r="N12" s="2938"/>
      <c r="O12" s="2938"/>
      <c r="P12" s="3318"/>
      <c r="Q12" s="1525">
        <f t="shared" si="6"/>
        <v>111</v>
      </c>
      <c r="R12" s="707" t="s">
        <v>17</v>
      </c>
      <c r="S12" s="708">
        <f t="shared" si="0"/>
        <v>100</v>
      </c>
      <c r="T12" s="707" t="s">
        <v>17</v>
      </c>
      <c r="U12" s="708">
        <f t="shared" si="1"/>
        <v>100</v>
      </c>
      <c r="V12" s="707" t="s">
        <v>17</v>
      </c>
      <c r="W12" s="708">
        <f t="shared" si="2"/>
        <v>100</v>
      </c>
      <c r="X12" s="709"/>
      <c r="Y12" s="3245"/>
      <c r="Z12" s="55">
        <f t="shared" si="7"/>
        <v>111</v>
      </c>
      <c r="AA12" s="710">
        <f>D12/F12</f>
        <v>1</v>
      </c>
      <c r="AB12" s="710">
        <f>D12/H12</f>
        <v>1</v>
      </c>
      <c r="AC12" s="710">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567"/>
      <c r="L13" s="2942"/>
      <c r="M13" s="2936"/>
      <c r="N13" s="2936"/>
      <c r="O13" s="2936"/>
      <c r="P13" s="3318"/>
      <c r="Q13" s="1525">
        <f t="shared" si="6"/>
        <v>111</v>
      </c>
      <c r="R13" s="707" t="s">
        <v>17</v>
      </c>
      <c r="S13" s="708">
        <f t="shared" si="0"/>
        <v>100</v>
      </c>
      <c r="T13" s="707" t="s">
        <v>17</v>
      </c>
      <c r="U13" s="708">
        <f t="shared" si="1"/>
        <v>100</v>
      </c>
      <c r="V13" s="707" t="s">
        <v>17</v>
      </c>
      <c r="W13" s="708">
        <f t="shared" si="2"/>
        <v>100</v>
      </c>
      <c r="X13" s="709"/>
      <c r="Y13" s="3245"/>
      <c r="Z13" s="55">
        <f t="shared" si="7"/>
        <v>111</v>
      </c>
      <c r="AA13" s="710">
        <f t="shared" si="3"/>
        <v>1</v>
      </c>
      <c r="AB13" s="710">
        <f t="shared" si="4"/>
        <v>1</v>
      </c>
      <c r="AC13" s="710">
        <f t="shared" si="5"/>
        <v>1</v>
      </c>
    </row>
    <row r="14" spans="1:29" ht="15.75" thickBot="1">
      <c r="A14" s="392"/>
      <c r="B14" s="2077">
        <v>111</v>
      </c>
      <c r="C14" s="393"/>
      <c r="D14" s="394">
        <v>100</v>
      </c>
      <c r="E14" s="390"/>
      <c r="F14" s="395">
        <f>SUMIF(74:74,E14,75:75)-SUMIF(74:74,C14,75:75)+100</f>
        <v>100</v>
      </c>
      <c r="G14" s="390"/>
      <c r="H14" s="394">
        <f>SUMIF(74:74,G14,75:75)-SUMIF(74:74,C14,75:75)+100</f>
        <v>100</v>
      </c>
      <c r="I14" s="390"/>
      <c r="J14" s="394">
        <f>SUMIF(74:74,I14,75:75)-SUMIF(74:74,C14,75:75)+100</f>
        <v>100</v>
      </c>
      <c r="K14" s="567"/>
      <c r="L14" s="2942"/>
      <c r="M14" s="2936"/>
      <c r="N14" s="2936"/>
      <c r="O14" s="2936"/>
      <c r="P14" s="3318"/>
      <c r="Q14" s="1525">
        <f t="shared" si="6"/>
        <v>111</v>
      </c>
      <c r="R14" s="707" t="s">
        <v>17</v>
      </c>
      <c r="S14" s="708">
        <f t="shared" si="0"/>
        <v>100</v>
      </c>
      <c r="T14" s="707" t="s">
        <v>17</v>
      </c>
      <c r="U14" s="708">
        <f t="shared" si="1"/>
        <v>100</v>
      </c>
      <c r="V14" s="707" t="s">
        <v>17</v>
      </c>
      <c r="W14" s="708">
        <f t="shared" si="2"/>
        <v>100</v>
      </c>
      <c r="X14" s="709"/>
      <c r="Y14" s="3245"/>
      <c r="Z14" s="55">
        <f t="shared" si="7"/>
        <v>111</v>
      </c>
      <c r="AA14" s="710">
        <f t="shared" si="3"/>
        <v>1</v>
      </c>
      <c r="AB14" s="710">
        <f t="shared" si="4"/>
        <v>1</v>
      </c>
      <c r="AC14" s="710">
        <f t="shared" si="5"/>
        <v>1</v>
      </c>
    </row>
    <row r="15" spans="1:29" ht="71.25">
      <c r="A15" s="396" t="s">
        <v>2372</v>
      </c>
      <c r="B15" s="65" t="s">
        <v>2466</v>
      </c>
      <c r="C15" s="2078" t="str">
        <f>估价对象房地状况!C4</f>
        <v>较好</v>
      </c>
      <c r="D15" s="397">
        <v>100</v>
      </c>
      <c r="E15" s="398"/>
      <c r="F15" s="399">
        <f>SUMIF(76:76,E16,77:77)-SUMIF(76:76,C16,77:77)+100</f>
        <v>100</v>
      </c>
      <c r="G15" s="400"/>
      <c r="H15" s="397">
        <f>SUMIF(76:76,G16,77:77)-SUMIF(76:76,C16,77:77)+100</f>
        <v>100</v>
      </c>
      <c r="I15" s="398"/>
      <c r="J15" s="397">
        <f>SUMIF(76:76,I16,77:77)-SUMIF(76:76,C16,77:77)+100</f>
        <v>100</v>
      </c>
      <c r="K15" s="568"/>
      <c r="L15" s="2942"/>
      <c r="M15" s="2936"/>
      <c r="N15" s="2936"/>
      <c r="O15" s="2936"/>
      <c r="P15" s="3345" t="s">
        <v>2373</v>
      </c>
      <c r="Q15" s="1534" t="str">
        <f t="shared" si="6"/>
        <v>商业繁华度</v>
      </c>
      <c r="R15" s="711" t="s">
        <v>17</v>
      </c>
      <c r="S15" s="712">
        <f t="shared" si="0"/>
        <v>100</v>
      </c>
      <c r="T15" s="711" t="s">
        <v>17</v>
      </c>
      <c r="U15" s="712">
        <f t="shared" si="1"/>
        <v>100</v>
      </c>
      <c r="V15" s="711" t="s">
        <v>17</v>
      </c>
      <c r="W15" s="712">
        <f t="shared" si="2"/>
        <v>100</v>
      </c>
      <c r="X15" s="1537"/>
      <c r="Y15" s="3338" t="s">
        <v>2373</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2"/>
      <c r="M16" s="2936"/>
      <c r="N16" s="2936"/>
      <c r="O16" s="2936"/>
      <c r="P16" s="3346"/>
      <c r="Q16" s="1534"/>
      <c r="R16" s="711"/>
      <c r="S16" s="712"/>
      <c r="T16" s="711"/>
      <c r="U16" s="712"/>
      <c r="V16" s="711"/>
      <c r="W16" s="712"/>
      <c r="X16" s="1537"/>
      <c r="Y16" s="3339"/>
      <c r="Z16" s="1538"/>
      <c r="AA16" s="1535">
        <v>1</v>
      </c>
      <c r="AB16" s="1535">
        <v>1</v>
      </c>
      <c r="AC16" s="1535">
        <v>1</v>
      </c>
    </row>
    <row r="17" spans="1:29" ht="85.5">
      <c r="A17" s="384"/>
      <c r="B17" s="407" t="s">
        <v>1943</v>
      </c>
      <c r="C17" s="2082" t="str">
        <f>估价对象房地状况!C6</f>
        <v>较好</v>
      </c>
      <c r="D17" s="406">
        <v>100</v>
      </c>
      <c r="E17" s="408"/>
      <c r="F17" s="409">
        <f>SUMIF(78:78,E18,79:79)-SUMIF(78:78,C18,79:79)+100</f>
        <v>100</v>
      </c>
      <c r="G17" s="410"/>
      <c r="H17" s="411">
        <f>SUMIF(78:78,G18,79:79)-SUMIF(78:78,C18,79:79)+100</f>
        <v>100</v>
      </c>
      <c r="I17" s="408"/>
      <c r="J17" s="411">
        <f>SUMIF(78:78,I18,79:79)-SUMIF(78:78,C18,79:79)+100</f>
        <v>100</v>
      </c>
      <c r="K17" s="568"/>
      <c r="L17" s="2942"/>
      <c r="M17" s="2936"/>
      <c r="N17" s="2936"/>
      <c r="O17" s="2936"/>
      <c r="P17" s="3346"/>
      <c r="Q17" s="1534" t="str">
        <f>B17</f>
        <v>交通便捷度</v>
      </c>
      <c r="R17" s="711" t="s">
        <v>17</v>
      </c>
      <c r="S17" s="712">
        <f>F17</f>
        <v>100</v>
      </c>
      <c r="T17" s="711" t="s">
        <v>17</v>
      </c>
      <c r="U17" s="712">
        <f>H17</f>
        <v>100</v>
      </c>
      <c r="V17" s="711" t="s">
        <v>17</v>
      </c>
      <c r="W17" s="712">
        <f>J17</f>
        <v>100</v>
      </c>
      <c r="X17" s="1537"/>
      <c r="Y17" s="3339"/>
      <c r="Z17" s="1538" t="str">
        <f>Q17</f>
        <v>交通便捷度</v>
      </c>
      <c r="AA17" s="1535">
        <f t="shared" si="3"/>
        <v>1</v>
      </c>
      <c r="AB17" s="1535">
        <f t="shared" si="4"/>
        <v>1</v>
      </c>
      <c r="AC17" s="1535">
        <f t="shared" si="5"/>
        <v>1</v>
      </c>
    </row>
    <row r="18" spans="1:29" ht="15">
      <c r="A18" s="384"/>
      <c r="B18" s="412"/>
      <c r="C18" s="2083"/>
      <c r="D18" s="406"/>
      <c r="E18" s="2085"/>
      <c r="F18" s="409"/>
      <c r="G18" s="2084"/>
      <c r="H18" s="404"/>
      <c r="I18" s="2085"/>
      <c r="J18" s="404"/>
      <c r="K18" s="569"/>
      <c r="L18" s="2942"/>
      <c r="M18" s="2936"/>
      <c r="N18" s="2936"/>
      <c r="O18" s="2936"/>
      <c r="P18" s="3346"/>
      <c r="Q18" s="1534"/>
      <c r="R18" s="711"/>
      <c r="S18" s="712"/>
      <c r="T18" s="711"/>
      <c r="U18" s="712"/>
      <c r="V18" s="711"/>
      <c r="W18" s="712"/>
      <c r="X18" s="1537"/>
      <c r="Y18" s="3339"/>
      <c r="Z18" s="1538"/>
      <c r="AA18" s="1535">
        <v>1</v>
      </c>
      <c r="AB18" s="1535">
        <v>1</v>
      </c>
      <c r="AC18" s="1535">
        <v>1</v>
      </c>
    </row>
    <row r="19" spans="1:29" ht="42.75">
      <c r="A19" s="384"/>
      <c r="B19" s="407" t="s">
        <v>2467</v>
      </c>
      <c r="C19" s="2082" t="str">
        <f>估价对象房地状况!C7</f>
        <v>较好</v>
      </c>
      <c r="D19" s="411">
        <v>100</v>
      </c>
      <c r="E19" s="413"/>
      <c r="F19" s="414">
        <f>SUMIF(80:80,E20,81:81)-SUMIF(80:80,C20,81:81)+100</f>
        <v>100</v>
      </c>
      <c r="G19" s="415"/>
      <c r="H19" s="406">
        <f>SUMIF(80:80,G20,81:81)-SUMIF(80:80,C20,81:81)+100</f>
        <v>100</v>
      </c>
      <c r="I19" s="413"/>
      <c r="J19" s="406">
        <f>SUMIF(80:80,I20,81:81)-SUMIF(80:80,C20,81:81)+100</f>
        <v>100</v>
      </c>
      <c r="K19" s="568"/>
      <c r="L19" s="2942"/>
      <c r="M19" s="2936"/>
      <c r="N19" s="2936"/>
      <c r="O19" s="2936"/>
      <c r="P19" s="3346"/>
      <c r="Q19" s="1534" t="str">
        <f>B19</f>
        <v>公共配套设施</v>
      </c>
      <c r="R19" s="711" t="s">
        <v>17</v>
      </c>
      <c r="S19" s="712">
        <f>F19</f>
        <v>100</v>
      </c>
      <c r="T19" s="711" t="s">
        <v>17</v>
      </c>
      <c r="U19" s="712">
        <f>H19</f>
        <v>100</v>
      </c>
      <c r="V19" s="711" t="s">
        <v>17</v>
      </c>
      <c r="W19" s="712">
        <f>J19</f>
        <v>100</v>
      </c>
      <c r="X19" s="1537"/>
      <c r="Y19" s="3339"/>
      <c r="Z19" s="1538" t="str">
        <f>Q19</f>
        <v>公共配套设施</v>
      </c>
      <c r="AA19" s="1535">
        <f t="shared" si="3"/>
        <v>1</v>
      </c>
      <c r="AB19" s="1535">
        <f t="shared" si="4"/>
        <v>1</v>
      </c>
      <c r="AC19" s="1535">
        <f t="shared" si="5"/>
        <v>1</v>
      </c>
    </row>
    <row r="20" spans="1:29" ht="15">
      <c r="A20" s="384"/>
      <c r="B20" s="412"/>
      <c r="C20" s="403"/>
      <c r="D20" s="404"/>
      <c r="E20" s="2080"/>
      <c r="F20" s="405"/>
      <c r="G20" s="2079"/>
      <c r="H20" s="404"/>
      <c r="I20" s="2080"/>
      <c r="J20" s="404"/>
      <c r="K20" s="569"/>
      <c r="L20" s="2942"/>
      <c r="M20" s="2936"/>
      <c r="N20" s="2936"/>
      <c r="O20" s="2936"/>
      <c r="P20" s="3346"/>
      <c r="Q20" s="1534"/>
      <c r="R20" s="711"/>
      <c r="S20" s="712"/>
      <c r="T20" s="711"/>
      <c r="U20" s="712"/>
      <c r="V20" s="711"/>
      <c r="W20" s="712"/>
      <c r="X20" s="1537"/>
      <c r="Y20" s="3339"/>
      <c r="Z20" s="1538"/>
      <c r="AA20" s="1535">
        <v>1</v>
      </c>
      <c r="AB20" s="1535">
        <v>1</v>
      </c>
      <c r="AC20" s="1535">
        <v>1</v>
      </c>
    </row>
    <row r="21" spans="1:29" ht="28.5">
      <c r="A21" s="384"/>
      <c r="B21" s="1290" t="s">
        <v>2468</v>
      </c>
      <c r="C21" s="2082" t="str">
        <f>估价对象房地状况!C8</f>
        <v>六通</v>
      </c>
      <c r="D21" s="411">
        <v>100</v>
      </c>
      <c r="E21" s="413"/>
      <c r="F21" s="414">
        <f>SUMIF(82:82,E22,83:83)-SUMIF(82:82,C22,83:83)+100</f>
        <v>100</v>
      </c>
      <c r="G21" s="415"/>
      <c r="H21" s="406">
        <f>SUMIF(82:82,G22,83:83)-SUMIF(82:82,C22,83:83)+100</f>
        <v>100</v>
      </c>
      <c r="I21" s="413"/>
      <c r="J21" s="406">
        <f>SUMIF(82:82,I22,83:83)-SUMIF(82:82,C22,83:83)+100</f>
        <v>100</v>
      </c>
      <c r="K21" s="568"/>
      <c r="L21" s="2942"/>
      <c r="M21" s="2936"/>
      <c r="N21" s="2936"/>
      <c r="O21" s="2936"/>
      <c r="P21" s="3346"/>
      <c r="Q21" s="1534" t="str">
        <f>B21</f>
        <v>基础设施水平</v>
      </c>
      <c r="R21" s="711" t="s">
        <v>17</v>
      </c>
      <c r="S21" s="712">
        <f>F21</f>
        <v>100</v>
      </c>
      <c r="T21" s="711" t="s">
        <v>17</v>
      </c>
      <c r="U21" s="712">
        <f>H21</f>
        <v>100</v>
      </c>
      <c r="V21" s="711" t="s">
        <v>17</v>
      </c>
      <c r="W21" s="712">
        <f>J21</f>
        <v>100</v>
      </c>
      <c r="X21" s="1537"/>
      <c r="Y21" s="3339"/>
      <c r="Z21" s="1538" t="str">
        <f>Q21</f>
        <v>基础设施水平</v>
      </c>
      <c r="AA21" s="1535">
        <f t="shared" ref="AA21" si="8">D21/F21</f>
        <v>1</v>
      </c>
      <c r="AB21" s="1535">
        <f t="shared" ref="AB21" si="9">D21/H21</f>
        <v>1</v>
      </c>
      <c r="AC21" s="1535">
        <f t="shared" ref="AC21" si="10">D21/J21</f>
        <v>1</v>
      </c>
    </row>
    <row r="22" spans="1:29" ht="15">
      <c r="A22" s="384"/>
      <c r="B22" s="1290"/>
      <c r="C22" s="2083"/>
      <c r="D22" s="404"/>
      <c r="E22" s="403"/>
      <c r="F22" s="405"/>
      <c r="G22" s="403"/>
      <c r="H22" s="404"/>
      <c r="I22" s="403"/>
      <c r="J22" s="404"/>
      <c r="K22" s="1289"/>
      <c r="L22" s="2942"/>
      <c r="M22" s="2936"/>
      <c r="N22" s="2936"/>
      <c r="O22" s="2936"/>
      <c r="P22" s="3346"/>
      <c r="Q22" s="1534"/>
      <c r="R22" s="711"/>
      <c r="S22" s="712"/>
      <c r="T22" s="711"/>
      <c r="U22" s="712"/>
      <c r="V22" s="711"/>
      <c r="W22" s="712"/>
      <c r="X22" s="1537"/>
      <c r="Y22" s="3339"/>
      <c r="Z22" s="1538"/>
      <c r="AA22" s="1535">
        <v>1</v>
      </c>
      <c r="AB22" s="1535">
        <v>1</v>
      </c>
      <c r="AC22" s="1535">
        <v>1</v>
      </c>
    </row>
    <row r="23" spans="1:29" ht="57">
      <c r="A23" s="384"/>
      <c r="B23" s="407" t="s">
        <v>1945</v>
      </c>
      <c r="C23" s="2137" t="str">
        <f>估价对象房地状况!C9</f>
        <v>较好</v>
      </c>
      <c r="D23" s="406">
        <v>100</v>
      </c>
      <c r="E23" s="408"/>
      <c r="F23" s="409">
        <f>SUMIF(84:84,E24,85:85)-SUMIF(84:84,C24,85:85)+100</f>
        <v>100</v>
      </c>
      <c r="G23" s="410"/>
      <c r="H23" s="406">
        <f>SUMIF(84:84,G24,85:85)-SUMIF(84:84,C24,85:85)+100</f>
        <v>100</v>
      </c>
      <c r="I23" s="408"/>
      <c r="J23" s="406">
        <f>SUMIF(84:84,I24,85:85)-SUMIF(84:84,C24,85:85)+100</f>
        <v>100</v>
      </c>
      <c r="K23" s="568"/>
      <c r="L23" s="2942"/>
      <c r="M23" s="2936"/>
      <c r="N23" s="2936"/>
      <c r="O23" s="2936"/>
      <c r="P23" s="3346"/>
      <c r="Q23" s="1534" t="str">
        <f>B23</f>
        <v>自然及人文环境</v>
      </c>
      <c r="R23" s="711" t="s">
        <v>17</v>
      </c>
      <c r="S23" s="712">
        <f>F23</f>
        <v>100</v>
      </c>
      <c r="T23" s="711" t="s">
        <v>17</v>
      </c>
      <c r="U23" s="712">
        <f>H23</f>
        <v>100</v>
      </c>
      <c r="V23" s="711" t="s">
        <v>17</v>
      </c>
      <c r="W23" s="712">
        <f>J23</f>
        <v>100</v>
      </c>
      <c r="X23" s="1537"/>
      <c r="Y23" s="3339"/>
      <c r="Z23" s="1538" t="str">
        <f>Q23</f>
        <v>自然及人文环境</v>
      </c>
      <c r="AA23" s="1535">
        <f t="shared" si="3"/>
        <v>1</v>
      </c>
      <c r="AB23" s="1535">
        <f t="shared" si="4"/>
        <v>1</v>
      </c>
      <c r="AC23" s="1535">
        <f t="shared" si="5"/>
        <v>1</v>
      </c>
    </row>
    <row r="24" spans="1:29" ht="15">
      <c r="A24" s="384"/>
      <c r="B24" s="412"/>
      <c r="C24" s="403"/>
      <c r="D24" s="404"/>
      <c r="E24" s="2080"/>
      <c r="F24" s="405"/>
      <c r="G24" s="2079"/>
      <c r="H24" s="404"/>
      <c r="I24" s="2080"/>
      <c r="J24" s="404"/>
      <c r="K24" s="569"/>
      <c r="L24" s="2942"/>
      <c r="M24" s="2936"/>
      <c r="N24" s="2936"/>
      <c r="O24" s="2936"/>
      <c r="P24" s="3346"/>
      <c r="Q24" s="1534"/>
      <c r="R24" s="711"/>
      <c r="S24" s="712"/>
      <c r="T24" s="711"/>
      <c r="U24" s="712"/>
      <c r="V24" s="711"/>
      <c r="W24" s="712"/>
      <c r="X24" s="1537"/>
      <c r="Y24" s="3339"/>
      <c r="Z24" s="1538"/>
      <c r="AA24" s="1535">
        <v>1</v>
      </c>
      <c r="AB24" s="1535">
        <v>1</v>
      </c>
      <c r="AC24" s="1535">
        <v>1</v>
      </c>
    </row>
    <row r="25" spans="1:29" ht="15">
      <c r="A25" s="384"/>
      <c r="B25" s="378" t="s">
        <v>2469</v>
      </c>
      <c r="C25" s="570"/>
      <c r="D25" s="391">
        <v>100</v>
      </c>
      <c r="E25" s="570"/>
      <c r="F25" s="417">
        <f>SUMIF(86:86,E25,87:87)-SUMIF(86:86,C25,87:87)+100</f>
        <v>100</v>
      </c>
      <c r="G25" s="570"/>
      <c r="H25" s="391">
        <f>SUMIF(86:86,G25,87:87)-SUMIF(86:86,C25,87:87)+100</f>
        <v>100</v>
      </c>
      <c r="I25" s="570"/>
      <c r="J25" s="391">
        <f>SUMIF(86:86,I25,87:87)-SUMIF(86:86,C25,87:87)+100</f>
        <v>100</v>
      </c>
      <c r="K25" s="566"/>
      <c r="L25" s="2942"/>
      <c r="M25" s="2936"/>
      <c r="N25" s="2936"/>
      <c r="O25" s="2936"/>
      <c r="P25" s="3346"/>
      <c r="Q25" s="1534" t="str">
        <f t="shared" ref="Q25:Q46" si="11">B25</f>
        <v>临街状况</v>
      </c>
      <c r="R25" s="711" t="s">
        <v>17</v>
      </c>
      <c r="S25" s="712">
        <f>F25</f>
        <v>100</v>
      </c>
      <c r="T25" s="711" t="s">
        <v>17</v>
      </c>
      <c r="U25" s="712">
        <f>H25</f>
        <v>100</v>
      </c>
      <c r="V25" s="711" t="s">
        <v>17</v>
      </c>
      <c r="W25" s="712">
        <f>J25</f>
        <v>100</v>
      </c>
      <c r="X25" s="1537"/>
      <c r="Y25" s="3339"/>
      <c r="Z25" s="1538" t="str">
        <f>Q25</f>
        <v>临街状况</v>
      </c>
      <c r="AA25" s="1535">
        <f t="shared" si="3"/>
        <v>1</v>
      </c>
      <c r="AB25" s="1535">
        <f t="shared" si="4"/>
        <v>1</v>
      </c>
      <c r="AC25" s="1535">
        <f t="shared" si="5"/>
        <v>1</v>
      </c>
    </row>
    <row r="26" spans="1:29" ht="15">
      <c r="A26" s="384"/>
      <c r="B26" s="1292" t="s">
        <v>2470</v>
      </c>
      <c r="C26" s="3050"/>
      <c r="D26" s="391">
        <v>100</v>
      </c>
      <c r="E26" s="3050"/>
      <c r="F26" s="417">
        <f>SUMIF(88:88,E26,89:89)-SUMIF(88:88,C26,89:89)+100</f>
        <v>100</v>
      </c>
      <c r="G26" s="3050"/>
      <c r="H26" s="391">
        <f>SUMIF(88:88,G26,89:89)-SUMIF(88:88,C26,89:89)+100</f>
        <v>100</v>
      </c>
      <c r="I26" s="3050"/>
      <c r="J26" s="391">
        <f>SUMIF(88:88,I26,89:89)-SUMIF(88:88,C26,89:89)+100</f>
        <v>100</v>
      </c>
      <c r="K26" s="567"/>
      <c r="L26" s="2942"/>
      <c r="M26" s="2936"/>
      <c r="N26" s="2936"/>
      <c r="O26" s="2936"/>
      <c r="P26" s="3346"/>
      <c r="Q26" s="1534" t="str">
        <f t="shared" si="11"/>
        <v>平面位置/可视性</v>
      </c>
      <c r="R26" s="711" t="s">
        <v>17</v>
      </c>
      <c r="S26" s="712">
        <f>F26</f>
        <v>100</v>
      </c>
      <c r="T26" s="711" t="s">
        <v>17</v>
      </c>
      <c r="U26" s="712">
        <f>H26</f>
        <v>100</v>
      </c>
      <c r="V26" s="711" t="s">
        <v>17</v>
      </c>
      <c r="W26" s="712">
        <f>J26</f>
        <v>100</v>
      </c>
      <c r="X26" s="1537"/>
      <c r="Y26" s="3339"/>
      <c r="Z26" s="1538" t="str">
        <f>Q26</f>
        <v>平面位置/可视性</v>
      </c>
      <c r="AA26" s="1535">
        <f t="shared" si="3"/>
        <v>1</v>
      </c>
      <c r="AB26" s="1535">
        <f t="shared" si="4"/>
        <v>1</v>
      </c>
      <c r="AC26" s="1535">
        <f t="shared" si="5"/>
        <v>1</v>
      </c>
    </row>
    <row r="27" spans="1:29" s="112" customFormat="1" ht="15">
      <c r="A27" s="387"/>
      <c r="B27" s="407" t="s">
        <v>2471</v>
      </c>
      <c r="C27" s="2138"/>
      <c r="D27" s="418">
        <v>100</v>
      </c>
      <c r="E27" s="2138"/>
      <c r="F27" s="420">
        <f>SUMIF(90:90,E27,91:91)-SUMIF(90:90,C27,91:91)+100</f>
        <v>100</v>
      </c>
      <c r="G27" s="2138"/>
      <c r="H27" s="418">
        <f>SUMIF(90:90,G27,91:91)-SUMIF(90:90,C27,91:91)+100</f>
        <v>100</v>
      </c>
      <c r="I27" s="2138"/>
      <c r="J27" s="418">
        <f>SUMIF(90:90,I27,91:91)-SUMIF(90:90,C27,91:91)+100</f>
        <v>100</v>
      </c>
      <c r="K27" s="566"/>
      <c r="L27" s="2937"/>
      <c r="M27" s="2938"/>
      <c r="N27" s="2938"/>
      <c r="O27" s="2938"/>
      <c r="P27" s="3346"/>
      <c r="Q27" s="1525" t="str">
        <f t="shared" si="11"/>
        <v>人流量</v>
      </c>
      <c r="R27" s="707" t="s">
        <v>17</v>
      </c>
      <c r="S27" s="708">
        <f>F27</f>
        <v>100</v>
      </c>
      <c r="T27" s="707" t="s">
        <v>17</v>
      </c>
      <c r="U27" s="708">
        <f>H27</f>
        <v>100</v>
      </c>
      <c r="V27" s="707" t="s">
        <v>17</v>
      </c>
      <c r="W27" s="708">
        <f>J27</f>
        <v>100</v>
      </c>
      <c r="X27" s="709"/>
      <c r="Y27" s="3339"/>
      <c r="Z27" s="55" t="str">
        <f>Q27</f>
        <v>人流量</v>
      </c>
      <c r="AA27" s="1535">
        <f>D27/F27</f>
        <v>1</v>
      </c>
      <c r="AB27" s="1535">
        <f>D27/H27</f>
        <v>1</v>
      </c>
      <c r="AC27" s="1535">
        <f>D27/J27</f>
        <v>1</v>
      </c>
    </row>
    <row r="28" spans="1:29" ht="15">
      <c r="A28" s="384"/>
      <c r="B28" s="378" t="s">
        <v>2472</v>
      </c>
      <c r="C28" s="570">
        <v>3</v>
      </c>
      <c r="D28" s="391">
        <v>100</v>
      </c>
      <c r="E28" s="570">
        <v>1</v>
      </c>
      <c r="F28" s="417">
        <f>SUMIF(92:92,E28,93:93)-SUMIF(92:92,C28,93:93)+100</f>
        <v>135</v>
      </c>
      <c r="G28" s="570">
        <v>1</v>
      </c>
      <c r="H28" s="391">
        <f>SUMIF(92:92,G28,93:93)-SUMIF(92:92,C28,93:93)+100</f>
        <v>135</v>
      </c>
      <c r="I28" s="570">
        <v>1</v>
      </c>
      <c r="J28" s="391">
        <f>SUMIF(92:92,I28,93:93)-SUMIF(92:92,C28,93:93)+100</f>
        <v>135</v>
      </c>
      <c r="K28" s="567"/>
      <c r="L28" s="2942"/>
      <c r="M28" s="2936"/>
      <c r="N28" s="2936"/>
      <c r="O28" s="2936"/>
      <c r="P28" s="3346"/>
      <c r="Q28" s="1534" t="str">
        <f t="shared" si="11"/>
        <v>楼层</v>
      </c>
      <c r="R28" s="711" t="s">
        <v>17</v>
      </c>
      <c r="S28" s="712">
        <f t="shared" ref="S28:S46" si="12">F28</f>
        <v>135</v>
      </c>
      <c r="T28" s="711" t="s">
        <v>17</v>
      </c>
      <c r="U28" s="712">
        <f t="shared" ref="U28:U46" si="13">H28</f>
        <v>135</v>
      </c>
      <c r="V28" s="711" t="s">
        <v>17</v>
      </c>
      <c r="W28" s="712">
        <f t="shared" ref="W28:W46" si="14">J28</f>
        <v>135</v>
      </c>
      <c r="X28" s="1537"/>
      <c r="Y28" s="3339"/>
      <c r="Z28" s="1538" t="str">
        <f t="shared" ref="Z28:Z46" si="15">Q28</f>
        <v>楼层</v>
      </c>
      <c r="AA28" s="1535">
        <f t="shared" si="3"/>
        <v>0.7407407407407407</v>
      </c>
      <c r="AB28" s="1535">
        <f t="shared" si="4"/>
        <v>0.7407407407407407</v>
      </c>
      <c r="AC28" s="1535">
        <f t="shared" si="5"/>
        <v>0.7407407407407407</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2"/>
      <c r="M29" s="2936"/>
      <c r="N29" s="2936"/>
      <c r="O29" s="2936"/>
      <c r="P29" s="3346"/>
      <c r="Q29" s="1534">
        <f t="shared" si="11"/>
        <v>111</v>
      </c>
      <c r="R29" s="711" t="s">
        <v>17</v>
      </c>
      <c r="S29" s="712">
        <f t="shared" si="12"/>
        <v>100</v>
      </c>
      <c r="T29" s="711" t="s">
        <v>17</v>
      </c>
      <c r="U29" s="712">
        <f t="shared" si="13"/>
        <v>100</v>
      </c>
      <c r="V29" s="711" t="s">
        <v>17</v>
      </c>
      <c r="W29" s="712">
        <f t="shared" si="14"/>
        <v>100</v>
      </c>
      <c r="X29" s="1537"/>
      <c r="Y29" s="3339"/>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2"/>
      <c r="M30" s="2936"/>
      <c r="N30" s="2936"/>
      <c r="O30" s="2936"/>
      <c r="P30" s="3346"/>
      <c r="Q30" s="1534">
        <f t="shared" si="11"/>
        <v>111</v>
      </c>
      <c r="R30" s="711" t="s">
        <v>17</v>
      </c>
      <c r="S30" s="712">
        <f t="shared" si="12"/>
        <v>100</v>
      </c>
      <c r="T30" s="711" t="s">
        <v>17</v>
      </c>
      <c r="U30" s="712">
        <f t="shared" si="13"/>
        <v>100</v>
      </c>
      <c r="V30" s="711" t="s">
        <v>17</v>
      </c>
      <c r="W30" s="712">
        <f t="shared" si="14"/>
        <v>100</v>
      </c>
      <c r="X30" s="1537"/>
      <c r="Y30" s="3339"/>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2"/>
      <c r="M31" s="2936"/>
      <c r="N31" s="2936"/>
      <c r="O31" s="2936"/>
      <c r="P31" s="3346"/>
      <c r="Q31" s="1534">
        <f t="shared" si="11"/>
        <v>111</v>
      </c>
      <c r="R31" s="711" t="s">
        <v>17</v>
      </c>
      <c r="S31" s="712">
        <f t="shared" si="12"/>
        <v>100</v>
      </c>
      <c r="T31" s="711" t="s">
        <v>17</v>
      </c>
      <c r="U31" s="712">
        <f t="shared" si="13"/>
        <v>100</v>
      </c>
      <c r="V31" s="711" t="s">
        <v>17</v>
      </c>
      <c r="W31" s="712">
        <f t="shared" si="14"/>
        <v>100</v>
      </c>
      <c r="X31" s="1537"/>
      <c r="Y31" s="3339"/>
      <c r="Z31" s="1538">
        <f t="shared" si="15"/>
        <v>111</v>
      </c>
      <c r="AA31" s="1535">
        <f t="shared" si="3"/>
        <v>1</v>
      </c>
      <c r="AB31" s="1535">
        <f t="shared" si="4"/>
        <v>1</v>
      </c>
      <c r="AC31" s="1535">
        <f t="shared" si="5"/>
        <v>1</v>
      </c>
    </row>
    <row r="32" spans="1:29" ht="15">
      <c r="A32" s="396" t="s">
        <v>2376</v>
      </c>
      <c r="B32" s="67" t="s">
        <v>2473</v>
      </c>
      <c r="C32" s="2092"/>
      <c r="D32" s="423">
        <v>100</v>
      </c>
      <c r="E32" s="2092"/>
      <c r="F32" s="417">
        <f>SUMIF(100:100,E32,101:101)-SUMIF(100:100,C32,101:101)+100</f>
        <v>100</v>
      </c>
      <c r="G32" s="2092"/>
      <c r="H32" s="391">
        <f>SUMIF(100:100,G32,101:101)-SUMIF(100:100,C32,101:101)+100</f>
        <v>100</v>
      </c>
      <c r="I32" s="2092"/>
      <c r="J32" s="423">
        <f>SUMIF(100:100,I32,101:101)-SUMIF(100:100,C32,101:101)+100</f>
        <v>100</v>
      </c>
      <c r="K32" s="566"/>
      <c r="L32" s="2942"/>
      <c r="M32" s="2936"/>
      <c r="N32" s="2936"/>
      <c r="O32" s="2936"/>
      <c r="P32" s="3340" t="s">
        <v>2378</v>
      </c>
      <c r="Q32" s="1534" t="str">
        <f t="shared" si="11"/>
        <v>商业类型</v>
      </c>
      <c r="R32" s="711" t="s">
        <v>17</v>
      </c>
      <c r="S32" s="712">
        <f t="shared" si="12"/>
        <v>100</v>
      </c>
      <c r="T32" s="711" t="s">
        <v>17</v>
      </c>
      <c r="U32" s="712">
        <f t="shared" si="13"/>
        <v>100</v>
      </c>
      <c r="V32" s="711" t="s">
        <v>17</v>
      </c>
      <c r="W32" s="712">
        <f t="shared" si="14"/>
        <v>100</v>
      </c>
      <c r="X32" s="1537"/>
      <c r="Y32" s="3343" t="s">
        <v>2378</v>
      </c>
      <c r="Z32" s="1538" t="str">
        <f t="shared" si="15"/>
        <v>商业类型</v>
      </c>
      <c r="AA32" s="1535">
        <f t="shared" si="3"/>
        <v>1</v>
      </c>
      <c r="AB32" s="1535">
        <f t="shared" si="4"/>
        <v>1</v>
      </c>
      <c r="AC32" s="1535">
        <f t="shared" si="5"/>
        <v>1</v>
      </c>
    </row>
    <row r="33" spans="1:29" s="427" customFormat="1" ht="15">
      <c r="A33" s="424"/>
      <c r="B33" s="378" t="s">
        <v>2379</v>
      </c>
      <c r="C33" s="425"/>
      <c r="D33" s="129">
        <v>100</v>
      </c>
      <c r="E33" s="386"/>
      <c r="F33" s="381">
        <f>LOOKUP(E33,103:103,104:104)-LOOKUP(C33,103:103,104:104)+100</f>
        <v>100</v>
      </c>
      <c r="G33" s="385"/>
      <c r="H33" s="129">
        <f>LOOKUP(G33,103:103,104:104)-LOOKUP(C33,103:103,104:104)+100</f>
        <v>100</v>
      </c>
      <c r="I33" s="385"/>
      <c r="J33" s="129">
        <f>LOOKUP(I33,103:103,104:104)-LOOKUP(C33,103:103,104:104)+100</f>
        <v>100</v>
      </c>
      <c r="K33" s="567"/>
      <c r="L33" s="2941"/>
      <c r="M33" s="2943"/>
      <c r="N33" s="2943"/>
      <c r="O33" s="2943"/>
      <c r="P33" s="3341"/>
      <c r="Q33" s="713" t="str">
        <f t="shared" si="11"/>
        <v>项目建筑规模</v>
      </c>
      <c r="R33" s="714" t="s">
        <v>17</v>
      </c>
      <c r="S33" s="715">
        <f t="shared" si="12"/>
        <v>100</v>
      </c>
      <c r="T33" s="714" t="s">
        <v>17</v>
      </c>
      <c r="U33" s="715">
        <f t="shared" si="13"/>
        <v>100</v>
      </c>
      <c r="V33" s="714" t="s">
        <v>17</v>
      </c>
      <c r="W33" s="715">
        <f t="shared" si="14"/>
        <v>100</v>
      </c>
      <c r="X33" s="716"/>
      <c r="Y33" s="3343"/>
      <c r="Z33" s="717" t="str">
        <f t="shared" si="15"/>
        <v>项目建筑规模</v>
      </c>
      <c r="AA33" s="1535">
        <f t="shared" si="3"/>
        <v>1</v>
      </c>
      <c r="AB33" s="1535">
        <f t="shared" si="4"/>
        <v>1</v>
      </c>
      <c r="AC33" s="1535">
        <f t="shared" si="5"/>
        <v>1</v>
      </c>
    </row>
    <row r="34" spans="1:29" ht="15">
      <c r="A34" s="428"/>
      <c r="B34" s="378" t="s">
        <v>2380</v>
      </c>
      <c r="C34" s="2094"/>
      <c r="D34" s="391">
        <v>100</v>
      </c>
      <c r="E34" s="2094"/>
      <c r="F34" s="417">
        <f>SUMIF(105:105,E34,106:106)-SUMIF(105:105,C34,106:106)+100</f>
        <v>100</v>
      </c>
      <c r="G34" s="2094"/>
      <c r="H34" s="391">
        <f>SUMIF(105:105,G34,106:106)-SUMIF(105:105,C34,106:106)+100</f>
        <v>100</v>
      </c>
      <c r="I34" s="2094"/>
      <c r="J34" s="391">
        <f>SUMIF(105:105,I34,106:106)-SUMIF(105:105,C34,106:106)+100</f>
        <v>100</v>
      </c>
      <c r="K34" s="566"/>
      <c r="L34" s="2942"/>
      <c r="M34" s="2936"/>
      <c r="N34" s="2936"/>
      <c r="O34" s="2936"/>
      <c r="P34" s="3341"/>
      <c r="Q34" s="1534" t="str">
        <f t="shared" si="11"/>
        <v>建筑结构</v>
      </c>
      <c r="R34" s="711" t="s">
        <v>17</v>
      </c>
      <c r="S34" s="712">
        <f t="shared" si="12"/>
        <v>100</v>
      </c>
      <c r="T34" s="711" t="s">
        <v>17</v>
      </c>
      <c r="U34" s="712">
        <f t="shared" si="13"/>
        <v>100</v>
      </c>
      <c r="V34" s="711" t="s">
        <v>17</v>
      </c>
      <c r="W34" s="712">
        <f t="shared" si="14"/>
        <v>100</v>
      </c>
      <c r="X34" s="1537"/>
      <c r="Y34" s="3343"/>
      <c r="Z34" s="1538" t="str">
        <f t="shared" si="15"/>
        <v>建筑结构</v>
      </c>
      <c r="AA34" s="1535">
        <f t="shared" si="3"/>
        <v>1</v>
      </c>
      <c r="AB34" s="1535">
        <f t="shared" si="4"/>
        <v>1</v>
      </c>
      <c r="AC34" s="1535">
        <f t="shared" si="5"/>
        <v>1</v>
      </c>
    </row>
    <row r="35" spans="1:29" ht="15">
      <c r="A35" s="428"/>
      <c r="B35" s="378" t="s">
        <v>2474</v>
      </c>
      <c r="C35" s="2088"/>
      <c r="D35" s="391">
        <v>100</v>
      </c>
      <c r="E35" s="2088"/>
      <c r="F35" s="417">
        <f>SUMIF(107:107,E35,108:108)-SUMIF(107:107,C35,108:108)+100</f>
        <v>100</v>
      </c>
      <c r="G35" s="2088"/>
      <c r="H35" s="391">
        <f>SUMIF(107:107,G35,108:108)-SUMIF(107:107,C35,108:108)+100</f>
        <v>100</v>
      </c>
      <c r="I35" s="2088"/>
      <c r="J35" s="391">
        <f>SUMIF(107:107,I35,108:108)-SUMIF(107:107,C35,108:108)+100</f>
        <v>100</v>
      </c>
      <c r="K35" s="566"/>
      <c r="L35" s="2942"/>
      <c r="M35" s="2936"/>
      <c r="N35" s="2936"/>
      <c r="O35" s="2936"/>
      <c r="P35" s="3341"/>
      <c r="Q35" s="1534" t="str">
        <f t="shared" si="11"/>
        <v>公共部分装修</v>
      </c>
      <c r="R35" s="711" t="s">
        <v>17</v>
      </c>
      <c r="S35" s="712">
        <f t="shared" si="12"/>
        <v>100</v>
      </c>
      <c r="T35" s="711" t="s">
        <v>17</v>
      </c>
      <c r="U35" s="712">
        <f t="shared" si="13"/>
        <v>100</v>
      </c>
      <c r="V35" s="711" t="s">
        <v>17</v>
      </c>
      <c r="W35" s="712">
        <f t="shared" si="14"/>
        <v>100</v>
      </c>
      <c r="X35" s="1537"/>
      <c r="Y35" s="3343"/>
      <c r="Z35" s="1538" t="str">
        <f t="shared" si="15"/>
        <v>公共部分装修</v>
      </c>
      <c r="AA35" s="1535">
        <f t="shared" si="3"/>
        <v>1</v>
      </c>
      <c r="AB35" s="1535">
        <f t="shared" si="4"/>
        <v>1</v>
      </c>
      <c r="AC35" s="1535">
        <f t="shared" si="5"/>
        <v>1</v>
      </c>
    </row>
    <row r="36" spans="1:29" ht="15">
      <c r="A36" s="428"/>
      <c r="B36" s="378" t="s">
        <v>2475</v>
      </c>
      <c r="C36" s="430">
        <v>0.9</v>
      </c>
      <c r="D36" s="391">
        <v>100</v>
      </c>
      <c r="E36" s="430">
        <v>0.9</v>
      </c>
      <c r="F36" s="417">
        <f>LOOKUP(E36,110:110,111:111)-LOOKUP(C36,110:110,111:111)+100</f>
        <v>100</v>
      </c>
      <c r="G36" s="430">
        <v>0.9</v>
      </c>
      <c r="H36" s="417">
        <f>LOOKUP(G36,110:110,111:111)-LOOKUP(C36,110:110,111:111)+100</f>
        <v>100</v>
      </c>
      <c r="I36" s="430">
        <v>0.9</v>
      </c>
      <c r="J36" s="391">
        <f>LOOKUP(I36,110:110,111:111)-LOOKUP(C36,110:110,111:111)+100</f>
        <v>100</v>
      </c>
      <c r="K36" s="566"/>
      <c r="L36" s="2942"/>
      <c r="M36" s="2936"/>
      <c r="N36" s="2936"/>
      <c r="O36" s="2936"/>
      <c r="P36" s="3341"/>
      <c r="Q36" s="1534" t="str">
        <f t="shared" si="11"/>
        <v>成新度</v>
      </c>
      <c r="R36" s="711" t="s">
        <v>17</v>
      </c>
      <c r="S36" s="712">
        <f t="shared" si="12"/>
        <v>100</v>
      </c>
      <c r="T36" s="711" t="s">
        <v>17</v>
      </c>
      <c r="U36" s="712">
        <f t="shared" si="13"/>
        <v>100</v>
      </c>
      <c r="V36" s="711" t="s">
        <v>17</v>
      </c>
      <c r="W36" s="712">
        <f t="shared" si="14"/>
        <v>100</v>
      </c>
      <c r="X36" s="1537"/>
      <c r="Y36" s="3343"/>
      <c r="Z36" s="1538" t="str">
        <f t="shared" si="15"/>
        <v>成新度</v>
      </c>
      <c r="AA36" s="1535">
        <f t="shared" si="3"/>
        <v>1</v>
      </c>
      <c r="AB36" s="1535">
        <f t="shared" si="4"/>
        <v>1</v>
      </c>
      <c r="AC36" s="1535">
        <f t="shared" si="5"/>
        <v>1</v>
      </c>
    </row>
    <row r="37" spans="1:29" s="112" customFormat="1" ht="15">
      <c r="A37" s="429"/>
      <c r="B37" s="378" t="s">
        <v>2476</v>
      </c>
      <c r="C37" s="2088"/>
      <c r="D37" s="129">
        <v>100</v>
      </c>
      <c r="E37" s="2088"/>
      <c r="F37" s="417">
        <f>SUMIF(112:112,E37,113:113)-SUMIF(112:112,C37,113:113)+100</f>
        <v>100</v>
      </c>
      <c r="G37" s="2088"/>
      <c r="H37" s="391">
        <f>SUMIF(112:112,G37,113:113)-SUMIF(112:112,C37,113:113)+100</f>
        <v>100</v>
      </c>
      <c r="I37" s="2088"/>
      <c r="J37" s="391">
        <f>SUMIF(112:112,I37,113:113)-SUMIF(112:112,C37,113:113)+100</f>
        <v>100</v>
      </c>
      <c r="K37" s="566"/>
      <c r="L37" s="2937"/>
      <c r="M37" s="2938"/>
      <c r="N37" s="2938"/>
      <c r="O37" s="2938"/>
      <c r="P37" s="3341"/>
      <c r="Q37" s="1525" t="str">
        <f t="shared" si="11"/>
        <v>市政基础设施</v>
      </c>
      <c r="R37" s="707" t="s">
        <v>17</v>
      </c>
      <c r="S37" s="708">
        <f t="shared" si="12"/>
        <v>100</v>
      </c>
      <c r="T37" s="707" t="s">
        <v>17</v>
      </c>
      <c r="U37" s="708">
        <f t="shared" si="13"/>
        <v>100</v>
      </c>
      <c r="V37" s="707" t="s">
        <v>17</v>
      </c>
      <c r="W37" s="708">
        <f t="shared" si="14"/>
        <v>100</v>
      </c>
      <c r="X37" s="709"/>
      <c r="Y37" s="3343"/>
      <c r="Z37" s="55" t="str">
        <f t="shared" si="15"/>
        <v>市政基础设施</v>
      </c>
      <c r="AA37" s="710">
        <f t="shared" si="3"/>
        <v>1</v>
      </c>
      <c r="AB37" s="710">
        <f t="shared" si="4"/>
        <v>1</v>
      </c>
      <c r="AC37" s="710">
        <f t="shared" si="5"/>
        <v>1</v>
      </c>
    </row>
    <row r="38" spans="1:29" ht="15">
      <c r="A38" s="428"/>
      <c r="B38" s="378" t="s">
        <v>2477</v>
      </c>
      <c r="C38" s="2088"/>
      <c r="D38" s="391">
        <v>100</v>
      </c>
      <c r="E38" s="2088"/>
      <c r="F38" s="417">
        <f>SUMIF(114:114,E38,115:115)-SUMIF(114:114,C38,115:115)+100</f>
        <v>100</v>
      </c>
      <c r="G38" s="2088"/>
      <c r="H38" s="391">
        <f>SUMIF(114:114,G38,115:115)-SUMIF(114:114,C38,115:115)+100</f>
        <v>100</v>
      </c>
      <c r="I38" s="2088"/>
      <c r="J38" s="391">
        <f>SUMIF(114:114,I38,115:115)-SUMIF(114:114,C38,115:115)+100</f>
        <v>100</v>
      </c>
      <c r="K38" s="566"/>
      <c r="L38" s="2942"/>
      <c r="M38" s="2936"/>
      <c r="N38" s="2936"/>
      <c r="O38" s="2936"/>
      <c r="P38" s="3341" t="s">
        <v>2378</v>
      </c>
      <c r="Q38" s="1534" t="str">
        <f t="shared" si="11"/>
        <v>业态</v>
      </c>
      <c r="R38" s="711" t="s">
        <v>17</v>
      </c>
      <c r="S38" s="712">
        <f t="shared" si="12"/>
        <v>100</v>
      </c>
      <c r="T38" s="711" t="s">
        <v>17</v>
      </c>
      <c r="U38" s="712">
        <f t="shared" si="13"/>
        <v>100</v>
      </c>
      <c r="V38" s="711" t="s">
        <v>17</v>
      </c>
      <c r="W38" s="712">
        <f t="shared" si="14"/>
        <v>100</v>
      </c>
      <c r="X38" s="1537"/>
      <c r="Y38" s="3343" t="s">
        <v>2378</v>
      </c>
      <c r="Z38" s="1538" t="str">
        <f t="shared" si="15"/>
        <v>业态</v>
      </c>
      <c r="AA38" s="1535">
        <f t="shared" si="3"/>
        <v>1</v>
      </c>
      <c r="AB38" s="1535">
        <f t="shared" si="4"/>
        <v>1</v>
      </c>
      <c r="AC38" s="1535">
        <f t="shared" si="5"/>
        <v>1</v>
      </c>
    </row>
    <row r="39" spans="1:29" ht="15">
      <c r="A39" s="428"/>
      <c r="B39" s="378" t="s">
        <v>2478</v>
      </c>
      <c r="C39" s="2088"/>
      <c r="D39" s="391">
        <v>100</v>
      </c>
      <c r="E39" s="2088"/>
      <c r="F39" s="417">
        <f>SUMIF(116:116,E39,117:117)-SUMIF(116:116,C39,117:117)+100</f>
        <v>100</v>
      </c>
      <c r="G39" s="2088"/>
      <c r="H39" s="391">
        <f>SUMIF(116:116,G39,117:117)-SUMIF(116:116,C39,117:117)+100</f>
        <v>100</v>
      </c>
      <c r="I39" s="2088"/>
      <c r="J39" s="391">
        <f>SUMIF(116:116,I39,117:117)-SUMIF(116:116,C39,117:117)+100</f>
        <v>100</v>
      </c>
      <c r="K39" s="566"/>
      <c r="L39" s="2942"/>
      <c r="M39" s="2936"/>
      <c r="N39" s="2936"/>
      <c r="O39" s="2936"/>
      <c r="P39" s="3341"/>
      <c r="Q39" s="1534" t="str">
        <f t="shared" si="11"/>
        <v>层高</v>
      </c>
      <c r="R39" s="711" t="s">
        <v>17</v>
      </c>
      <c r="S39" s="712">
        <f t="shared" si="12"/>
        <v>100</v>
      </c>
      <c r="T39" s="711" t="s">
        <v>17</v>
      </c>
      <c r="U39" s="712">
        <f t="shared" si="13"/>
        <v>100</v>
      </c>
      <c r="V39" s="711" t="s">
        <v>17</v>
      </c>
      <c r="W39" s="712">
        <f t="shared" si="14"/>
        <v>100</v>
      </c>
      <c r="X39" s="1537"/>
      <c r="Y39" s="3343"/>
      <c r="Z39" s="1538" t="str">
        <f t="shared" si="15"/>
        <v>层高</v>
      </c>
      <c r="AA39" s="1535">
        <f t="shared" si="3"/>
        <v>1</v>
      </c>
      <c r="AB39" s="1535">
        <f t="shared" si="4"/>
        <v>1</v>
      </c>
      <c r="AC39" s="1535">
        <f t="shared" si="5"/>
        <v>1</v>
      </c>
    </row>
    <row r="40" spans="1:29" ht="15">
      <c r="A40" s="428"/>
      <c r="B40" s="378" t="s">
        <v>2479</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2"/>
      <c r="M40" s="2936"/>
      <c r="N40" s="2936"/>
      <c r="O40" s="2936"/>
      <c r="P40" s="3341"/>
      <c r="Q40" s="1534" t="str">
        <f t="shared" si="11"/>
        <v>单套建筑面积</v>
      </c>
      <c r="R40" s="711" t="s">
        <v>17</v>
      </c>
      <c r="S40" s="712">
        <f t="shared" si="12"/>
        <v>100</v>
      </c>
      <c r="T40" s="711" t="s">
        <v>17</v>
      </c>
      <c r="U40" s="712">
        <f t="shared" si="13"/>
        <v>100</v>
      </c>
      <c r="V40" s="711" t="s">
        <v>17</v>
      </c>
      <c r="W40" s="712">
        <f t="shared" si="14"/>
        <v>100</v>
      </c>
      <c r="X40" s="1537"/>
      <c r="Y40" s="3343"/>
      <c r="Z40" s="1538" t="str">
        <f t="shared" si="15"/>
        <v>单套建筑面积</v>
      </c>
      <c r="AA40" s="1535">
        <f t="shared" si="3"/>
        <v>1</v>
      </c>
      <c r="AB40" s="1535">
        <f t="shared" si="4"/>
        <v>1</v>
      </c>
      <c r="AC40" s="1535">
        <f t="shared" si="5"/>
        <v>1</v>
      </c>
    </row>
    <row r="41" spans="1:29" s="427" customFormat="1" ht="15">
      <c r="A41" s="424"/>
      <c r="B41" s="1536" t="s">
        <v>2480</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1"/>
      <c r="M41" s="2943"/>
      <c r="N41" s="2943"/>
      <c r="O41" s="2943"/>
      <c r="P41" s="3341"/>
      <c r="Q41" s="713" t="str">
        <f t="shared" si="11"/>
        <v>进深比</v>
      </c>
      <c r="R41" s="714" t="s">
        <v>17</v>
      </c>
      <c r="S41" s="715">
        <f t="shared" si="12"/>
        <v>100</v>
      </c>
      <c r="T41" s="714" t="s">
        <v>17</v>
      </c>
      <c r="U41" s="715">
        <f t="shared" si="13"/>
        <v>100</v>
      </c>
      <c r="V41" s="714" t="s">
        <v>17</v>
      </c>
      <c r="W41" s="715">
        <f t="shared" si="14"/>
        <v>100</v>
      </c>
      <c r="X41" s="716"/>
      <c r="Y41" s="3343"/>
      <c r="Z41" s="717" t="str">
        <f t="shared" si="15"/>
        <v>进深比</v>
      </c>
      <c r="AA41" s="1535">
        <f t="shared" si="3"/>
        <v>1</v>
      </c>
      <c r="AB41" s="1535">
        <f t="shared" si="4"/>
        <v>1</v>
      </c>
      <c r="AC41" s="1535">
        <f t="shared" si="5"/>
        <v>1</v>
      </c>
    </row>
    <row r="42" spans="1:29" ht="15">
      <c r="A42" s="428"/>
      <c r="B42" s="378" t="s">
        <v>2481</v>
      </c>
      <c r="C42" s="2088"/>
      <c r="D42" s="391">
        <v>100</v>
      </c>
      <c r="E42" s="2088"/>
      <c r="F42" s="417">
        <f>SUMIF(122:122,E42,123:123)-SUMIF(122:122,C42,123:123)+100</f>
        <v>100</v>
      </c>
      <c r="G42" s="2088"/>
      <c r="H42" s="391">
        <f>SUMIF(122:122,G42,123:123)-SUMIF(122:122,C42,123:123)+100</f>
        <v>100</v>
      </c>
      <c r="I42" s="2088"/>
      <c r="J42" s="391">
        <f>SUMIF(122:122,I42,123:123)-SUMIF(122:122,C42,123:123)+100</f>
        <v>100</v>
      </c>
      <c r="K42" s="566"/>
      <c r="L42" s="2942"/>
      <c r="M42" s="2936"/>
      <c r="N42" s="2936"/>
      <c r="O42" s="2936"/>
      <c r="P42" s="3341"/>
      <c r="Q42" s="1534" t="str">
        <f t="shared" si="11"/>
        <v>内部装修</v>
      </c>
      <c r="R42" s="711" t="s">
        <v>17</v>
      </c>
      <c r="S42" s="712">
        <f t="shared" si="12"/>
        <v>100</v>
      </c>
      <c r="T42" s="711" t="s">
        <v>17</v>
      </c>
      <c r="U42" s="712">
        <f t="shared" si="13"/>
        <v>100</v>
      </c>
      <c r="V42" s="711" t="s">
        <v>17</v>
      </c>
      <c r="W42" s="712">
        <f t="shared" si="14"/>
        <v>100</v>
      </c>
      <c r="X42" s="1537"/>
      <c r="Y42" s="3343"/>
      <c r="Z42" s="1538" t="str">
        <f t="shared" si="15"/>
        <v>内部装修</v>
      </c>
      <c r="AA42" s="1535">
        <f t="shared" si="3"/>
        <v>1</v>
      </c>
      <c r="AB42" s="1535">
        <f t="shared" si="4"/>
        <v>1</v>
      </c>
      <c r="AC42" s="1535">
        <f t="shared" si="5"/>
        <v>1</v>
      </c>
    </row>
    <row r="43" spans="1:29" ht="15">
      <c r="A43" s="428"/>
      <c r="B43" s="378" t="s">
        <v>2389</v>
      </c>
      <c r="C43" s="2088"/>
      <c r="D43" s="391">
        <v>100</v>
      </c>
      <c r="E43" s="2088"/>
      <c r="F43" s="417">
        <f>SUMIF(124:124,E43,125:125)-SUMIF(124:124,C43,125:125)+100</f>
        <v>100</v>
      </c>
      <c r="G43" s="2088"/>
      <c r="H43" s="391">
        <f>SUMIF(124:124,G43,125:125)-SUMIF(124:124,C43,125:125)+100</f>
        <v>100</v>
      </c>
      <c r="I43" s="2088"/>
      <c r="J43" s="391">
        <f>SUMIF(124:124,I43,125:125)-SUMIF(124:124,C43,125:125)+100</f>
        <v>100</v>
      </c>
      <c r="K43" s="566"/>
      <c r="L43" s="2942"/>
      <c r="M43" s="2936"/>
      <c r="N43" s="2936"/>
      <c r="O43" s="2936"/>
      <c r="P43" s="3341"/>
      <c r="Q43" s="1534" t="str">
        <f t="shared" si="11"/>
        <v>内部装修维护情况</v>
      </c>
      <c r="R43" s="711" t="s">
        <v>17</v>
      </c>
      <c r="S43" s="712">
        <f t="shared" si="12"/>
        <v>100</v>
      </c>
      <c r="T43" s="711" t="s">
        <v>17</v>
      </c>
      <c r="U43" s="712">
        <f t="shared" si="13"/>
        <v>100</v>
      </c>
      <c r="V43" s="711" t="s">
        <v>17</v>
      </c>
      <c r="W43" s="712">
        <f t="shared" si="14"/>
        <v>100</v>
      </c>
      <c r="X43" s="1537"/>
      <c r="Y43" s="3343"/>
      <c r="Z43" s="1538" t="str">
        <f t="shared" si="15"/>
        <v>内部装修维护情况</v>
      </c>
      <c r="AA43" s="1535">
        <f t="shared" si="3"/>
        <v>1</v>
      </c>
      <c r="AB43" s="1535">
        <f t="shared" si="4"/>
        <v>1</v>
      </c>
      <c r="AC43" s="1535">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37"/>
      <c r="M44" s="2938"/>
      <c r="N44" s="2938"/>
      <c r="O44" s="2938"/>
      <c r="P44" s="3341"/>
      <c r="Q44" s="1525">
        <f t="shared" si="11"/>
        <v>111</v>
      </c>
      <c r="R44" s="707" t="s">
        <v>17</v>
      </c>
      <c r="S44" s="708">
        <f t="shared" si="12"/>
        <v>100</v>
      </c>
      <c r="T44" s="707" t="s">
        <v>17</v>
      </c>
      <c r="U44" s="708">
        <f t="shared" si="13"/>
        <v>100</v>
      </c>
      <c r="V44" s="707" t="s">
        <v>17</v>
      </c>
      <c r="W44" s="708">
        <f t="shared" si="14"/>
        <v>100</v>
      </c>
      <c r="X44" s="709"/>
      <c r="Y44" s="3343"/>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2"/>
      <c r="M45" s="2936"/>
      <c r="N45" s="2936"/>
      <c r="O45" s="2936"/>
      <c r="P45" s="3341"/>
      <c r="Q45" s="1534">
        <f t="shared" si="11"/>
        <v>111</v>
      </c>
      <c r="R45" s="711" t="s">
        <v>17</v>
      </c>
      <c r="S45" s="712">
        <f t="shared" si="12"/>
        <v>100</v>
      </c>
      <c r="T45" s="711" t="s">
        <v>17</v>
      </c>
      <c r="U45" s="712">
        <f t="shared" si="13"/>
        <v>100</v>
      </c>
      <c r="V45" s="711" t="s">
        <v>17</v>
      </c>
      <c r="W45" s="712">
        <f t="shared" si="14"/>
        <v>100</v>
      </c>
      <c r="X45" s="1537"/>
      <c r="Y45" s="3343"/>
      <c r="Z45" s="1538">
        <f t="shared" si="15"/>
        <v>111</v>
      </c>
      <c r="AA45" s="1535">
        <f t="shared" si="3"/>
        <v>1</v>
      </c>
      <c r="AB45" s="1535">
        <f t="shared" si="4"/>
        <v>1</v>
      </c>
      <c r="AC45" s="1535">
        <f t="shared" si="5"/>
        <v>1</v>
      </c>
    </row>
    <row r="46" spans="1:29" ht="15.75" thickBot="1">
      <c r="A46" s="434"/>
      <c r="B46" s="207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2"/>
      <c r="M46" s="2936"/>
      <c r="N46" s="2936"/>
      <c r="O46" s="2936"/>
      <c r="P46" s="3342"/>
      <c r="Q46" s="1534">
        <f t="shared" si="11"/>
        <v>111</v>
      </c>
      <c r="R46" s="711" t="s">
        <v>17</v>
      </c>
      <c r="S46" s="712">
        <f t="shared" si="12"/>
        <v>100</v>
      </c>
      <c r="T46" s="711" t="s">
        <v>17</v>
      </c>
      <c r="U46" s="712">
        <f t="shared" si="13"/>
        <v>100</v>
      </c>
      <c r="V46" s="711" t="s">
        <v>17</v>
      </c>
      <c r="W46" s="712">
        <f t="shared" si="14"/>
        <v>100</v>
      </c>
      <c r="X46" s="1537"/>
      <c r="Y46" s="3344"/>
      <c r="Z46" s="1538">
        <f t="shared" si="15"/>
        <v>111</v>
      </c>
      <c r="AA46" s="1535">
        <f t="shared" si="3"/>
        <v>1</v>
      </c>
      <c r="AB46" s="1535">
        <f t="shared" si="4"/>
        <v>1</v>
      </c>
      <c r="AC46" s="1535">
        <f t="shared" si="5"/>
        <v>1</v>
      </c>
    </row>
    <row r="47" spans="1:29" ht="15">
      <c r="A47" s="435" t="s">
        <v>2390</v>
      </c>
      <c r="B47" s="436"/>
      <c r="C47" s="1313" t="s">
        <v>1</v>
      </c>
      <c r="D47" s="1314"/>
      <c r="E47" s="1315">
        <v>65000</v>
      </c>
      <c r="F47" s="1316"/>
      <c r="G47" s="1315">
        <v>63000</v>
      </c>
      <c r="H47" s="1318"/>
      <c r="I47" s="1315">
        <v>70000</v>
      </c>
      <c r="J47" s="1318"/>
      <c r="K47" s="720"/>
      <c r="L47" s="2944"/>
      <c r="M47" s="2945"/>
      <c r="N47" s="2936"/>
      <c r="O47" s="2945"/>
      <c r="P47" s="3336" t="str">
        <f>A47</f>
        <v>成交单价（元/平方米）</v>
      </c>
      <c r="Q47" s="3336"/>
      <c r="R47" s="3331">
        <f>E47</f>
        <v>65000</v>
      </c>
      <c r="S47" s="3331"/>
      <c r="T47" s="3331">
        <f>G47</f>
        <v>63000</v>
      </c>
      <c r="U47" s="3331"/>
      <c r="V47" s="3331">
        <f>I47</f>
        <v>70000</v>
      </c>
      <c r="W47" s="3331"/>
      <c r="X47" s="696"/>
      <c r="Y47" s="718"/>
      <c r="Z47" s="696"/>
      <c r="AA47" s="696"/>
      <c r="AB47" s="696"/>
      <c r="AC47" s="696"/>
    </row>
    <row r="48" spans="1:29" ht="15.75" thickBot="1">
      <c r="A48" s="442" t="s">
        <v>2482</v>
      </c>
      <c r="B48" s="443"/>
      <c r="C48" s="1319" t="e">
        <f>R49</f>
        <v>#DIV/0!</v>
      </c>
      <c r="D48" s="2534" t="s">
        <v>2871</v>
      </c>
      <c r="E48" s="1320" t="e">
        <f>R48</f>
        <v>#DIV/0!</v>
      </c>
      <c r="F48" s="2535"/>
      <c r="G48" s="1319" t="e">
        <f>T48</f>
        <v>#DIV/0!</v>
      </c>
      <c r="H48" s="2535"/>
      <c r="I48" s="1320" t="e">
        <f>V48</f>
        <v>#DIV/0!</v>
      </c>
      <c r="J48" s="2535"/>
      <c r="K48" s="2537">
        <f>F48+H48+J48</f>
        <v>0</v>
      </c>
      <c r="L48" s="2944"/>
      <c r="M48" s="2945"/>
      <c r="N48" s="2936"/>
      <c r="O48" s="2945"/>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2483</v>
      </c>
      <c r="B49" s="447"/>
      <c r="C49" s="1322" t="e">
        <f>R49</f>
        <v>#DIV/0!</v>
      </c>
      <c r="D49" s="1322"/>
      <c r="E49" s="1322"/>
      <c r="F49" s="1322"/>
      <c r="G49" s="1322"/>
      <c r="H49" s="1322"/>
      <c r="I49" s="1322"/>
      <c r="J49" s="1322"/>
      <c r="K49" s="721"/>
      <c r="L49" s="2944"/>
      <c r="M49" s="2945"/>
      <c r="N49" s="2936"/>
      <c r="O49" s="2945"/>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6"/>
      <c r="Y49" s="696"/>
      <c r="Z49" s="696"/>
      <c r="AA49" s="696"/>
      <c r="AB49" s="696"/>
      <c r="AC49" s="696"/>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1" t="s">
        <v>2484</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1" t="s">
        <v>2485</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6" customFormat="1" ht="13.5" customHeight="1">
      <c r="A54" s="2948"/>
      <c r="B54" s="2948"/>
      <c r="C54" s="451" t="s">
        <v>2486</v>
      </c>
      <c r="D54" s="455"/>
      <c r="E54" s="453">
        <f>IF(E47&lt;G47,G47/E47-1,E47/G47-1)</f>
        <v>3.1746031746031855E-2</v>
      </c>
      <c r="F54" s="454" t="str">
        <f>IF(OR(E54&gt;=0.3,E54&lt;=-0.3),"超过30%","")</f>
        <v/>
      </c>
      <c r="G54" s="453">
        <f>IF(G47&lt;I47,I47/G47-1,G47/I47-1)</f>
        <v>0.11111111111111116</v>
      </c>
      <c r="H54" s="454" t="str">
        <f>IF(OR(G54&gt;=0.3,G54&lt;=-0.3),"超过30%","")</f>
        <v/>
      </c>
      <c r="I54" s="453">
        <f>IF(I47&lt;E47,E47/I47-1,I47/E47-1)</f>
        <v>7.6923076923076872E-2</v>
      </c>
      <c r="J54" s="454" t="str">
        <f>IF(OR(I54&gt;=0.3,I54&lt;=-0.3),"超过30%","")</f>
        <v/>
      </c>
      <c r="K54" s="2953"/>
      <c r="L54" s="2947"/>
      <c r="M54" s="2948"/>
      <c r="N54" s="2948"/>
      <c r="O54" s="2948"/>
      <c r="P54" s="2957"/>
      <c r="Q54" s="2948"/>
      <c r="R54" s="2948"/>
      <c r="S54" s="2948"/>
      <c r="T54" s="2948"/>
      <c r="U54" s="2948"/>
      <c r="V54" s="2948"/>
      <c r="W54" s="2948"/>
      <c r="X54" s="2948"/>
      <c r="Y54" s="2948"/>
      <c r="Z54" s="2948"/>
      <c r="AA54" s="2948"/>
      <c r="AB54" s="2948"/>
      <c r="AC54" s="2948"/>
    </row>
    <row r="55" spans="1:29" s="456"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0" t="s">
        <v>2487</v>
      </c>
      <c r="B57" s="696"/>
      <c r="C57" s="701"/>
      <c r="D57" s="701"/>
      <c r="E57" s="701"/>
      <c r="F57" s="702"/>
      <c r="G57" s="702"/>
      <c r="H57" s="701"/>
      <c r="I57" s="701"/>
      <c r="J57" s="701"/>
      <c r="K57" s="703"/>
      <c r="L57" s="1070"/>
      <c r="M57" s="1068"/>
      <c r="N57" s="1068"/>
      <c r="O57" s="1068"/>
      <c r="P57" s="2958"/>
      <c r="Q57" s="2959"/>
      <c r="R57" s="2945"/>
      <c r="S57" s="2945"/>
      <c r="T57" s="2945"/>
      <c r="U57" s="2945"/>
      <c r="V57" s="2945"/>
      <c r="W57" s="2945"/>
      <c r="X57" s="2945"/>
      <c r="Y57" s="2945"/>
      <c r="Z57" s="2945"/>
      <c r="AA57" s="2945"/>
      <c r="AB57" s="2945"/>
      <c r="AC57" s="2945"/>
    </row>
    <row r="58" spans="1:29" s="462" customFormat="1" ht="15">
      <c r="A58" s="459" t="s">
        <v>2361</v>
      </c>
      <c r="B58" s="460"/>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0"/>
      <c r="Q58" s="2961"/>
      <c r="R58" s="2961"/>
      <c r="S58" s="2961"/>
      <c r="T58" s="2961"/>
      <c r="U58" s="2961"/>
      <c r="V58" s="2961"/>
      <c r="W58" s="2961"/>
      <c r="X58" s="2961"/>
      <c r="Y58" s="2961"/>
      <c r="Z58" s="2961"/>
      <c r="AA58" s="2961"/>
      <c r="AB58" s="2961"/>
      <c r="AC58" s="2961"/>
    </row>
    <row r="59" spans="1:29" s="112" customFormat="1" ht="15">
      <c r="A59" s="463"/>
      <c r="B59" s="464"/>
      <c r="C59" s="1342">
        <v>100</v>
      </c>
      <c r="D59" s="466"/>
      <c r="E59" s="466"/>
      <c r="F59" s="466"/>
      <c r="G59" s="466"/>
      <c r="H59" s="466"/>
      <c r="I59" s="466"/>
      <c r="J59" s="466"/>
      <c r="K59" s="466"/>
      <c r="L59" s="466"/>
      <c r="M59" s="467"/>
      <c r="N59" s="466"/>
      <c r="O59" s="467"/>
      <c r="P59" s="2962"/>
      <c r="Q59" s="2879"/>
      <c r="R59" s="2879"/>
      <c r="S59" s="2879"/>
      <c r="T59" s="2879"/>
      <c r="U59" s="2879"/>
      <c r="V59" s="2879"/>
      <c r="W59" s="2879"/>
      <c r="X59" s="2879"/>
      <c r="Y59" s="2879"/>
      <c r="Z59" s="2879"/>
      <c r="AA59" s="2879"/>
      <c r="AB59" s="2879"/>
      <c r="AC59" s="2879"/>
    </row>
    <row r="60" spans="1:29" s="112" customFormat="1" ht="15.75" thickBot="1">
      <c r="A60" s="469" t="s">
        <v>2398</v>
      </c>
      <c r="B60" s="470"/>
      <c r="C60" s="471"/>
      <c r="D60" s="472"/>
      <c r="E60" s="472"/>
      <c r="F60" s="472"/>
      <c r="G60" s="472"/>
      <c r="H60" s="472"/>
      <c r="I60" s="472"/>
      <c r="J60" s="472"/>
      <c r="K60" s="472"/>
      <c r="L60" s="472"/>
      <c r="M60" s="473"/>
      <c r="N60" s="472"/>
      <c r="O60" s="473"/>
      <c r="P60" s="2962"/>
      <c r="Q60" s="2959"/>
      <c r="R60" s="2879"/>
      <c r="S60" s="2879"/>
      <c r="T60" s="2879"/>
      <c r="U60" s="2879"/>
      <c r="V60" s="2879"/>
      <c r="W60" s="2879"/>
      <c r="X60" s="2879"/>
      <c r="Y60" s="2879"/>
      <c r="Z60" s="2879"/>
      <c r="AA60" s="2879"/>
      <c r="AB60" s="2879"/>
      <c r="AC60" s="2879"/>
    </row>
    <row r="61" spans="1:29" s="112" customFormat="1" ht="15">
      <c r="A61" s="475" t="s">
        <v>2363</v>
      </c>
      <c r="B61" s="464"/>
      <c r="C61" s="476" t="s">
        <v>2465</v>
      </c>
      <c r="D61" s="477"/>
      <c r="E61" s="477"/>
      <c r="F61" s="477"/>
      <c r="G61" s="477"/>
      <c r="H61" s="477"/>
      <c r="I61" s="477"/>
      <c r="J61" s="477"/>
      <c r="K61" s="477"/>
      <c r="L61" s="478"/>
      <c r="M61" s="479"/>
      <c r="N61" s="2972"/>
      <c r="O61" s="2972"/>
      <c r="P61" s="2963"/>
      <c r="Q61" s="2959"/>
      <c r="R61" s="2879"/>
      <c r="S61" s="2879"/>
      <c r="T61" s="2879"/>
      <c r="U61" s="2879"/>
      <c r="V61" s="2879"/>
      <c r="W61" s="2879"/>
      <c r="X61" s="2879"/>
      <c r="Y61" s="2879"/>
      <c r="Z61" s="2879"/>
      <c r="AA61" s="2879"/>
      <c r="AB61" s="2879"/>
      <c r="AC61" s="2879"/>
    </row>
    <row r="62" spans="1:29" s="112" customFormat="1" ht="15.75" thickBot="1">
      <c r="A62" s="475"/>
      <c r="B62" s="464"/>
      <c r="C62" s="465">
        <v>100</v>
      </c>
      <c r="D62" s="466"/>
      <c r="E62" s="466"/>
      <c r="F62" s="466"/>
      <c r="G62" s="466"/>
      <c r="H62" s="466"/>
      <c r="I62" s="466"/>
      <c r="J62" s="466"/>
      <c r="K62" s="466"/>
      <c r="L62" s="466"/>
      <c r="M62" s="468"/>
      <c r="N62" s="2972"/>
      <c r="O62" s="2972"/>
      <c r="P62" s="2962"/>
      <c r="Q62" s="2959"/>
      <c r="R62" s="2879"/>
      <c r="S62" s="2879"/>
      <c r="T62" s="2879"/>
      <c r="U62" s="2879"/>
      <c r="V62" s="2879"/>
      <c r="W62" s="2879"/>
      <c r="X62" s="2879"/>
      <c r="Y62" s="2879"/>
      <c r="Z62" s="2879"/>
      <c r="AA62" s="2879"/>
      <c r="AB62" s="2879"/>
      <c r="AC62" s="2879"/>
    </row>
    <row r="63" spans="1:29">
      <c r="A63" s="481" t="s">
        <v>2401</v>
      </c>
      <c r="B63" s="482" t="s">
        <v>2367</v>
      </c>
      <c r="C63" s="483">
        <f>C9</f>
        <v>0</v>
      </c>
      <c r="D63" s="484"/>
      <c r="E63" s="484"/>
      <c r="F63" s="484"/>
      <c r="G63" s="484"/>
      <c r="H63" s="484"/>
      <c r="I63" s="484"/>
      <c r="J63" s="484"/>
      <c r="K63" s="485"/>
      <c r="L63" s="486"/>
      <c r="M63" s="487"/>
      <c r="N63" s="2973"/>
      <c r="O63" s="2973"/>
      <c r="P63" s="2964"/>
      <c r="Q63" s="2959"/>
      <c r="R63" s="2945"/>
      <c r="S63" s="2945"/>
      <c r="T63" s="2945"/>
      <c r="U63" s="2945"/>
      <c r="V63" s="2945"/>
      <c r="W63" s="2945"/>
      <c r="X63" s="2945"/>
      <c r="Y63" s="2945"/>
      <c r="Z63" s="2945"/>
      <c r="AA63" s="2945"/>
      <c r="AB63" s="2945"/>
      <c r="AC63" s="2945"/>
    </row>
    <row r="64" spans="1:29" ht="15.75" thickBot="1">
      <c r="A64" s="488"/>
      <c r="B64" s="489"/>
      <c r="C64" s="490">
        <v>100</v>
      </c>
      <c r="D64" s="490"/>
      <c r="E64" s="490"/>
      <c r="F64" s="490"/>
      <c r="G64" s="490"/>
      <c r="H64" s="490"/>
      <c r="I64" s="490"/>
      <c r="J64" s="490"/>
      <c r="K64" s="490"/>
      <c r="L64" s="490"/>
      <c r="M64" s="491"/>
      <c r="N64" s="2974"/>
      <c r="O64" s="2974"/>
      <c r="P64" s="2964"/>
      <c r="Q64" s="2959"/>
      <c r="R64" s="2945"/>
      <c r="S64" s="2945"/>
      <c r="T64" s="2945"/>
      <c r="U64" s="2945"/>
      <c r="V64" s="2945"/>
      <c r="W64" s="2945"/>
      <c r="X64" s="2945"/>
      <c r="Y64" s="2945"/>
      <c r="Z64" s="2945"/>
      <c r="AA64" s="2945"/>
      <c r="AB64" s="2945"/>
      <c r="AC64" s="2945"/>
    </row>
    <row r="65" spans="1:29" ht="27.75" thickTop="1">
      <c r="A65" s="488"/>
      <c r="B65" s="492" t="s">
        <v>2370</v>
      </c>
      <c r="C65" s="493" t="s">
        <v>2402</v>
      </c>
      <c r="D65" s="493" t="s">
        <v>2403</v>
      </c>
      <c r="E65" s="493" t="s">
        <v>2404</v>
      </c>
      <c r="F65" s="493" t="s">
        <v>2405</v>
      </c>
      <c r="G65" s="493" t="s">
        <v>2406</v>
      </c>
      <c r="H65" s="493" t="s">
        <v>2407</v>
      </c>
      <c r="I65" s="493" t="s">
        <v>2408</v>
      </c>
      <c r="J65" s="493"/>
      <c r="K65" s="494"/>
      <c r="L65" s="495"/>
      <c r="M65" s="496"/>
      <c r="N65" s="2973"/>
      <c r="O65" s="2973"/>
      <c r="P65" s="2964"/>
      <c r="Q65" s="2959"/>
      <c r="R65" s="2945"/>
      <c r="S65" s="2945"/>
      <c r="T65" s="2945"/>
      <c r="U65" s="2945"/>
      <c r="V65" s="2945"/>
      <c r="W65" s="2945"/>
      <c r="X65" s="2945"/>
      <c r="Y65" s="2945"/>
      <c r="Z65" s="2945"/>
      <c r="AA65" s="2945"/>
      <c r="AB65" s="2945"/>
      <c r="AC65" s="2945"/>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74"/>
      <c r="O66" s="2974"/>
      <c r="P66" s="2964"/>
      <c r="Q66" s="2959"/>
      <c r="R66" s="2945"/>
      <c r="S66" s="2945"/>
      <c r="T66" s="2945"/>
      <c r="U66" s="2945"/>
      <c r="V66" s="2945"/>
      <c r="W66" s="2945"/>
      <c r="X66" s="2945"/>
      <c r="Y66" s="2945"/>
      <c r="Z66" s="2945"/>
      <c r="AA66" s="2945"/>
      <c r="AB66" s="2945"/>
      <c r="AC66" s="2945"/>
    </row>
    <row r="67" spans="1:29" ht="15.75" thickTop="1">
      <c r="A67" s="488"/>
      <c r="B67" s="500" t="s">
        <v>2371</v>
      </c>
      <c r="C67" s="501" t="str">
        <f>C68&amp;"（含）"&amp;"-"&amp;D68</f>
        <v>0（含）-1</v>
      </c>
      <c r="D67" s="501" t="str">
        <f t="shared" ref="D67:L67" si="17">D68&amp;"（含）"&amp;"-"&amp;E68</f>
        <v>1（含）-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88"/>
      <c r="B68" s="502"/>
      <c r="C68" s="503">
        <v>0</v>
      </c>
      <c r="D68" s="503">
        <v>1</v>
      </c>
      <c r="E68" s="503"/>
      <c r="F68" s="503"/>
      <c r="G68" s="503"/>
      <c r="H68" s="503"/>
      <c r="I68" s="503"/>
      <c r="J68" s="503"/>
      <c r="K68" s="504"/>
      <c r="L68" s="505"/>
      <c r="M68" s="506"/>
      <c r="N68" s="2973"/>
      <c r="O68" s="2973"/>
      <c r="P68" s="2964"/>
      <c r="Q68" s="2959"/>
      <c r="R68" s="2945"/>
      <c r="S68" s="2945"/>
      <c r="T68" s="2945"/>
      <c r="U68" s="2945"/>
      <c r="V68" s="2945"/>
      <c r="W68" s="2945"/>
      <c r="X68" s="2945"/>
      <c r="Y68" s="2945"/>
      <c r="Z68" s="2945"/>
      <c r="AA68" s="2945"/>
      <c r="AB68" s="2945"/>
      <c r="AC68" s="2945"/>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74"/>
      <c r="O69" s="2974"/>
      <c r="P69" s="2964"/>
      <c r="Q69" s="2959"/>
      <c r="R69" s="2945"/>
      <c r="S69" s="2945"/>
      <c r="T69" s="2945"/>
      <c r="U69" s="2945"/>
      <c r="V69" s="2945"/>
      <c r="W69" s="2945"/>
      <c r="X69" s="2945"/>
      <c r="Y69" s="2945"/>
      <c r="Z69" s="2945"/>
      <c r="AA69" s="2945"/>
      <c r="AB69" s="2945"/>
      <c r="AC69" s="2945"/>
    </row>
    <row r="70" spans="1:29" s="427" customFormat="1" ht="15.75" thickTop="1">
      <c r="A70" s="507"/>
      <c r="B70" s="492">
        <f>B12</f>
        <v>111</v>
      </c>
      <c r="C70" s="508"/>
      <c r="D70" s="508"/>
      <c r="E70" s="508"/>
      <c r="F70" s="508"/>
      <c r="G70" s="508"/>
      <c r="H70" s="509"/>
      <c r="I70" s="509"/>
      <c r="J70" s="509"/>
      <c r="K70" s="509"/>
      <c r="L70" s="510"/>
      <c r="M70" s="511"/>
      <c r="N70" s="2975"/>
      <c r="O70" s="2975"/>
      <c r="P70" s="2965"/>
      <c r="Q70" s="2966"/>
      <c r="R70" s="2967"/>
      <c r="S70" s="2967"/>
      <c r="T70" s="2967"/>
      <c r="U70" s="2967"/>
      <c r="V70" s="2967"/>
      <c r="W70" s="2967"/>
      <c r="X70" s="2967"/>
      <c r="Y70" s="2967"/>
      <c r="Z70" s="2967"/>
      <c r="AA70" s="2967"/>
      <c r="AB70" s="2967"/>
      <c r="AC70" s="2967"/>
    </row>
    <row r="71" spans="1:29" s="427" customFormat="1" ht="15.75" thickBot="1">
      <c r="A71" s="507"/>
      <c r="B71" s="497"/>
      <c r="C71" s="514"/>
      <c r="D71" s="490"/>
      <c r="E71" s="490"/>
      <c r="F71" s="490"/>
      <c r="G71" s="490"/>
      <c r="H71" s="490"/>
      <c r="I71" s="490"/>
      <c r="J71" s="490"/>
      <c r="K71" s="490"/>
      <c r="L71" s="490"/>
      <c r="M71" s="491"/>
      <c r="N71" s="2974"/>
      <c r="O71" s="2974"/>
      <c r="P71" s="2965"/>
      <c r="Q71" s="2966"/>
      <c r="R71" s="2967"/>
      <c r="S71" s="2967"/>
      <c r="T71" s="2967"/>
      <c r="U71" s="2967"/>
      <c r="V71" s="2967"/>
      <c r="W71" s="2967"/>
      <c r="X71" s="2967"/>
      <c r="Y71" s="2967"/>
      <c r="Z71" s="2967"/>
      <c r="AA71" s="2967"/>
      <c r="AB71" s="2967"/>
      <c r="AC71" s="2967"/>
    </row>
    <row r="72" spans="1:29" s="427" customFormat="1" ht="15.75" thickTop="1">
      <c r="A72" s="507"/>
      <c r="B72" s="492">
        <f>B13</f>
        <v>111</v>
      </c>
      <c r="C72" s="508"/>
      <c r="D72" s="508"/>
      <c r="E72" s="508"/>
      <c r="F72" s="508"/>
      <c r="G72" s="508"/>
      <c r="H72" s="509"/>
      <c r="I72" s="509"/>
      <c r="J72" s="509"/>
      <c r="K72" s="509"/>
      <c r="L72" s="510"/>
      <c r="M72" s="511"/>
      <c r="N72" s="2975"/>
      <c r="O72" s="2975"/>
      <c r="P72" s="2968"/>
      <c r="Q72" s="2969"/>
      <c r="R72" s="2967"/>
      <c r="S72" s="2967"/>
      <c r="T72" s="2967"/>
      <c r="U72" s="2967"/>
      <c r="V72" s="2967"/>
      <c r="W72" s="2967"/>
      <c r="X72" s="2967"/>
      <c r="Y72" s="2967"/>
      <c r="Z72" s="2967"/>
      <c r="AA72" s="2967"/>
      <c r="AB72" s="2967"/>
      <c r="AC72" s="2967"/>
    </row>
    <row r="73" spans="1:29" s="427" customFormat="1" ht="15.75" thickBot="1">
      <c r="A73" s="507"/>
      <c r="B73" s="497"/>
      <c r="C73" s="514"/>
      <c r="D73" s="490"/>
      <c r="E73" s="490"/>
      <c r="F73" s="490"/>
      <c r="G73" s="514"/>
      <c r="H73" s="516"/>
      <c r="I73" s="516"/>
      <c r="J73" s="516"/>
      <c r="K73" s="516"/>
      <c r="L73" s="516"/>
      <c r="M73" s="517"/>
      <c r="N73" s="2975"/>
      <c r="O73" s="2975"/>
      <c r="P73" s="2965"/>
      <c r="Q73" s="2966"/>
      <c r="R73" s="2967"/>
      <c r="S73" s="2967"/>
      <c r="T73" s="2967"/>
      <c r="U73" s="2967"/>
      <c r="V73" s="2967"/>
      <c r="W73" s="2967"/>
      <c r="X73" s="2967"/>
      <c r="Y73" s="2967"/>
      <c r="Z73" s="2967"/>
      <c r="AA73" s="2967"/>
      <c r="AB73" s="2967"/>
      <c r="AC73" s="2967"/>
    </row>
    <row r="74" spans="1:29" s="427" customFormat="1" ht="15.75" thickTop="1">
      <c r="A74" s="507"/>
      <c r="B74" s="500">
        <f>B14</f>
        <v>111</v>
      </c>
      <c r="C74" s="508"/>
      <c r="D74" s="508"/>
      <c r="E74" s="508"/>
      <c r="F74" s="508"/>
      <c r="G74" s="477"/>
      <c r="H74" s="518"/>
      <c r="I74" s="518"/>
      <c r="J74" s="518"/>
      <c r="K74" s="518"/>
      <c r="L74" s="519"/>
      <c r="M74" s="520"/>
      <c r="N74" s="2975"/>
      <c r="O74" s="2975"/>
      <c r="P74" s="2970"/>
      <c r="Q74" s="2966"/>
      <c r="R74" s="2967"/>
      <c r="S74" s="2967"/>
      <c r="T74" s="2967"/>
      <c r="U74" s="2967"/>
      <c r="V74" s="2967"/>
      <c r="W74" s="2967"/>
      <c r="X74" s="2967"/>
      <c r="Y74" s="2967"/>
      <c r="Z74" s="2967"/>
      <c r="AA74" s="2967"/>
      <c r="AB74" s="2967"/>
      <c r="AC74" s="2967"/>
    </row>
    <row r="75" spans="1:29" s="427" customFormat="1" ht="15.75" thickBot="1">
      <c r="A75" s="522"/>
      <c r="B75" s="523"/>
      <c r="C75" s="524"/>
      <c r="D75" s="524"/>
      <c r="E75" s="524"/>
      <c r="F75" s="524"/>
      <c r="G75" s="524"/>
      <c r="H75" s="525"/>
      <c r="I75" s="525"/>
      <c r="J75" s="525"/>
      <c r="K75" s="525"/>
      <c r="L75" s="525"/>
      <c r="M75" s="526"/>
      <c r="N75" s="2975"/>
      <c r="O75" s="2975"/>
      <c r="P75" s="2965"/>
      <c r="Q75" s="2966"/>
      <c r="R75" s="2967"/>
      <c r="S75" s="2967"/>
      <c r="T75" s="2967"/>
      <c r="U75" s="2967"/>
      <c r="V75" s="2967"/>
      <c r="W75" s="2967"/>
      <c r="X75" s="2967"/>
      <c r="Y75" s="2967"/>
      <c r="Z75" s="2967"/>
      <c r="AA75" s="2967"/>
      <c r="AB75" s="2967"/>
      <c r="AC75" s="2967"/>
    </row>
    <row r="76" spans="1:29">
      <c r="A76" s="481" t="s">
        <v>2372</v>
      </c>
      <c r="B76" s="482" t="s">
        <v>2409</v>
      </c>
      <c r="C76" s="527" t="s">
        <v>2410</v>
      </c>
      <c r="D76" s="527" t="s">
        <v>2411</v>
      </c>
      <c r="E76" s="527" t="s">
        <v>2412</v>
      </c>
      <c r="F76" s="527" t="s">
        <v>2413</v>
      </c>
      <c r="G76" s="527" t="s">
        <v>2414</v>
      </c>
      <c r="H76" s="483"/>
      <c r="I76" s="483"/>
      <c r="J76" s="483"/>
      <c r="K76" s="528"/>
      <c r="L76" s="529"/>
      <c r="M76" s="530"/>
      <c r="N76" s="2973"/>
      <c r="O76" s="2973"/>
      <c r="P76" s="2971"/>
      <c r="Q76" s="2959"/>
      <c r="R76" s="2945"/>
      <c r="S76" s="2945"/>
      <c r="T76" s="2945"/>
      <c r="U76" s="2945"/>
      <c r="V76" s="2945"/>
      <c r="W76" s="2945"/>
      <c r="X76" s="2945"/>
      <c r="Y76" s="2945"/>
      <c r="Z76" s="2945"/>
      <c r="AA76" s="2945"/>
      <c r="AB76" s="2945"/>
      <c r="AC76" s="2945"/>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74"/>
      <c r="O77" s="2974"/>
      <c r="P77" s="2964"/>
      <c r="Q77" s="2959"/>
      <c r="R77" s="2945"/>
      <c r="S77" s="2945"/>
      <c r="T77" s="2945"/>
      <c r="U77" s="2945"/>
      <c r="V77" s="2945"/>
      <c r="W77" s="2945"/>
      <c r="X77" s="2945"/>
      <c r="Y77" s="2945"/>
      <c r="Z77" s="2945"/>
      <c r="AA77" s="2945"/>
      <c r="AB77" s="2945"/>
      <c r="AC77" s="2945"/>
    </row>
    <row r="78" spans="1:29" ht="15.75" thickTop="1">
      <c r="A78" s="488"/>
      <c r="B78" s="492" t="s">
        <v>2415</v>
      </c>
      <c r="C78" s="532" t="s">
        <v>2410</v>
      </c>
      <c r="D78" s="532" t="s">
        <v>2411</v>
      </c>
      <c r="E78" s="532" t="s">
        <v>2412</v>
      </c>
      <c r="F78" s="532" t="s">
        <v>2413</v>
      </c>
      <c r="G78" s="532" t="s">
        <v>2414</v>
      </c>
      <c r="H78" s="493"/>
      <c r="I78" s="493"/>
      <c r="J78" s="493"/>
      <c r="K78" s="494"/>
      <c r="L78" s="495"/>
      <c r="M78" s="496"/>
      <c r="N78" s="2973"/>
      <c r="O78" s="2973"/>
      <c r="P78" s="2964"/>
      <c r="Q78" s="2959"/>
      <c r="R78" s="2945"/>
      <c r="S78" s="2945"/>
      <c r="T78" s="2945"/>
      <c r="U78" s="2945"/>
      <c r="V78" s="2945"/>
      <c r="W78" s="2945"/>
      <c r="X78" s="2945"/>
      <c r="Y78" s="2945"/>
      <c r="Z78" s="2945"/>
      <c r="AA78" s="2945"/>
      <c r="AB78" s="2945"/>
      <c r="AC78" s="2945"/>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74"/>
      <c r="O79" s="2974"/>
      <c r="P79" s="2964"/>
      <c r="Q79" s="2959"/>
      <c r="R79" s="2945"/>
      <c r="S79" s="2945"/>
      <c r="T79" s="2945"/>
      <c r="U79" s="2945"/>
      <c r="V79" s="2945"/>
      <c r="W79" s="2945"/>
      <c r="X79" s="2945"/>
      <c r="Y79" s="2945"/>
      <c r="Z79" s="2945"/>
      <c r="AA79" s="2945"/>
      <c r="AB79" s="2945"/>
      <c r="AC79" s="2945"/>
    </row>
    <row r="80" spans="1:29" ht="15.75" thickTop="1">
      <c r="A80" s="488"/>
      <c r="B80" s="492" t="s">
        <v>2416</v>
      </c>
      <c r="C80" s="532" t="s">
        <v>2410</v>
      </c>
      <c r="D80" s="532" t="s">
        <v>2411</v>
      </c>
      <c r="E80" s="532" t="s">
        <v>2412</v>
      </c>
      <c r="F80" s="532" t="s">
        <v>2413</v>
      </c>
      <c r="G80" s="532" t="s">
        <v>2414</v>
      </c>
      <c r="H80" s="493"/>
      <c r="I80" s="493"/>
      <c r="J80" s="493"/>
      <c r="K80" s="494"/>
      <c r="L80" s="495"/>
      <c r="M80" s="496"/>
      <c r="N80" s="2973"/>
      <c r="O80" s="2973"/>
      <c r="P80" s="2964"/>
      <c r="Q80" s="2959"/>
      <c r="R80" s="2945"/>
      <c r="S80" s="2945"/>
      <c r="T80" s="2945"/>
      <c r="U80" s="2945"/>
      <c r="V80" s="2945"/>
      <c r="W80" s="2945"/>
      <c r="X80" s="2945"/>
      <c r="Y80" s="2945"/>
      <c r="Z80" s="2945"/>
      <c r="AA80" s="2945"/>
      <c r="AB80" s="2945"/>
      <c r="AC80" s="2945"/>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74"/>
      <c r="O81" s="2974"/>
      <c r="P81" s="2964"/>
      <c r="Q81" s="2959"/>
      <c r="R81" s="2945"/>
      <c r="S81" s="2945"/>
      <c r="T81" s="2945"/>
      <c r="U81" s="2945"/>
      <c r="V81" s="2945"/>
      <c r="W81" s="2945"/>
      <c r="X81" s="2945"/>
      <c r="Y81" s="2945"/>
      <c r="Z81" s="2945"/>
      <c r="AA81" s="2945"/>
      <c r="AB81" s="2945"/>
      <c r="AC81" s="2945"/>
    </row>
    <row r="82" spans="1:29" ht="15.75" thickTop="1">
      <c r="A82" s="488"/>
      <c r="B82" s="500" t="s">
        <v>2468</v>
      </c>
      <c r="C82" s="613" t="s">
        <v>2488</v>
      </c>
      <c r="D82" s="613" t="s">
        <v>2489</v>
      </c>
      <c r="E82" s="613" t="s">
        <v>2490</v>
      </c>
      <c r="F82" s="613" t="s">
        <v>2491</v>
      </c>
      <c r="G82" s="613" t="s">
        <v>2492</v>
      </c>
      <c r="H82" s="493"/>
      <c r="I82" s="493"/>
      <c r="J82" s="493"/>
      <c r="K82" s="493"/>
      <c r="L82" s="493"/>
      <c r="M82" s="1288"/>
      <c r="N82" s="2974"/>
      <c r="O82" s="2974"/>
      <c r="P82" s="2964"/>
      <c r="Q82" s="2959"/>
      <c r="R82" s="2945"/>
      <c r="S82" s="2945"/>
      <c r="T82" s="2945"/>
      <c r="U82" s="2945"/>
      <c r="V82" s="2945"/>
      <c r="W82" s="2945"/>
      <c r="X82" s="2945"/>
      <c r="Y82" s="2945"/>
      <c r="Z82" s="2945"/>
      <c r="AA82" s="2945"/>
      <c r="AB82" s="2945"/>
      <c r="AC82" s="2945"/>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74"/>
      <c r="O83" s="2974"/>
      <c r="P83" s="2964"/>
      <c r="Q83" s="2959"/>
      <c r="R83" s="2945"/>
      <c r="S83" s="2945"/>
      <c r="T83" s="2945"/>
      <c r="U83" s="2945"/>
      <c r="V83" s="2945"/>
      <c r="W83" s="2945"/>
      <c r="X83" s="2945"/>
      <c r="Y83" s="2945"/>
      <c r="Z83" s="2945"/>
      <c r="AA83" s="2945"/>
      <c r="AB83" s="2945"/>
      <c r="AC83" s="2945"/>
    </row>
    <row r="84" spans="1:29" ht="15.75" thickTop="1">
      <c r="A84" s="488"/>
      <c r="B84" s="492" t="s">
        <v>2422</v>
      </c>
      <c r="C84" s="532" t="s">
        <v>2410</v>
      </c>
      <c r="D84" s="532" t="s">
        <v>2411</v>
      </c>
      <c r="E84" s="532" t="s">
        <v>2412</v>
      </c>
      <c r="F84" s="532" t="s">
        <v>2413</v>
      </c>
      <c r="G84" s="532" t="s">
        <v>2414</v>
      </c>
      <c r="H84" s="493"/>
      <c r="I84" s="493"/>
      <c r="J84" s="493"/>
      <c r="K84" s="494"/>
      <c r="L84" s="495"/>
      <c r="M84" s="496"/>
      <c r="N84" s="2973"/>
      <c r="O84" s="2973"/>
      <c r="P84" s="2964"/>
      <c r="Q84" s="2959"/>
      <c r="R84" s="2945"/>
      <c r="S84" s="2945"/>
      <c r="T84" s="2945"/>
      <c r="U84" s="2945"/>
      <c r="V84" s="2945"/>
      <c r="W84" s="2945"/>
      <c r="X84" s="2945"/>
      <c r="Y84" s="2945"/>
      <c r="Z84" s="2945"/>
      <c r="AA84" s="2945"/>
      <c r="AB84" s="2945"/>
      <c r="AC84" s="2945"/>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74"/>
      <c r="O85" s="2974"/>
      <c r="P85" s="2964"/>
      <c r="Q85" s="2959"/>
      <c r="R85" s="2945"/>
      <c r="S85" s="2945"/>
      <c r="T85" s="2945"/>
      <c r="U85" s="2945"/>
      <c r="V85" s="2945"/>
      <c r="W85" s="2945"/>
      <c r="X85" s="2945"/>
      <c r="Y85" s="2945"/>
      <c r="Z85" s="2945"/>
      <c r="AA85" s="2945"/>
      <c r="AB85" s="2945"/>
      <c r="AC85" s="2945"/>
    </row>
    <row r="86" spans="1:29" s="112" customFormat="1" ht="15.75" thickTop="1">
      <c r="A86" s="533"/>
      <c r="B86" s="492" t="s">
        <v>2493</v>
      </c>
      <c r="C86" s="508"/>
      <c r="D86" s="508"/>
      <c r="E86" s="508"/>
      <c r="F86" s="508"/>
      <c r="G86" s="508"/>
      <c r="H86" s="508"/>
      <c r="I86" s="508"/>
      <c r="J86" s="508"/>
      <c r="K86" s="508"/>
      <c r="L86" s="534"/>
      <c r="M86" s="535"/>
      <c r="N86" s="2972"/>
      <c r="O86" s="2972"/>
      <c r="P86" s="2964"/>
      <c r="Q86" s="2959"/>
      <c r="R86" s="2879"/>
      <c r="S86" s="2879"/>
      <c r="T86" s="2879"/>
      <c r="U86" s="2879"/>
      <c r="V86" s="2879"/>
      <c r="W86" s="2879"/>
      <c r="X86" s="2879"/>
      <c r="Y86" s="2879"/>
      <c r="Z86" s="2879"/>
      <c r="AA86" s="2879"/>
      <c r="AB86" s="2879"/>
      <c r="AC86" s="2879"/>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74"/>
      <c r="O87" s="2974"/>
      <c r="P87" s="2964"/>
      <c r="Q87" s="2959"/>
      <c r="R87" s="2879"/>
      <c r="S87" s="2879"/>
      <c r="T87" s="2879"/>
      <c r="U87" s="2879"/>
      <c r="V87" s="2879"/>
      <c r="W87" s="2879"/>
      <c r="X87" s="2879"/>
      <c r="Y87" s="2879"/>
      <c r="Z87" s="2879"/>
      <c r="AA87" s="2879"/>
      <c r="AB87" s="2879"/>
      <c r="AC87" s="2879"/>
    </row>
    <row r="88" spans="1:29" s="112" customFormat="1" ht="15.75" thickTop="1">
      <c r="A88" s="533"/>
      <c r="B88" s="492" t="str">
        <f>B26</f>
        <v>平面位置/可视性</v>
      </c>
      <c r="C88" s="3049" t="s">
        <v>3091</v>
      </c>
      <c r="D88" s="3049" t="s">
        <v>3092</v>
      </c>
      <c r="E88" s="3049" t="s">
        <v>3093</v>
      </c>
      <c r="F88" s="3049" t="s">
        <v>3094</v>
      </c>
      <c r="G88" s="3049" t="s">
        <v>3095</v>
      </c>
      <c r="H88" s="508"/>
      <c r="I88" s="508"/>
      <c r="J88" s="508"/>
      <c r="K88" s="508"/>
      <c r="L88" s="508"/>
      <c r="M88" s="535"/>
      <c r="N88" s="2972"/>
      <c r="O88" s="2972"/>
      <c r="P88" s="2964"/>
      <c r="Q88" s="2959"/>
      <c r="R88" s="2879"/>
      <c r="S88" s="2879"/>
      <c r="T88" s="2879"/>
      <c r="U88" s="2879"/>
      <c r="V88" s="2879"/>
      <c r="W88" s="2879"/>
      <c r="X88" s="2879"/>
      <c r="Y88" s="2879"/>
      <c r="Z88" s="2879"/>
      <c r="AA88" s="2879"/>
      <c r="AB88" s="2879"/>
      <c r="AC88" s="2879"/>
    </row>
    <row r="89" spans="1:29" s="112" customFormat="1" ht="15.75" thickBot="1">
      <c r="A89" s="533"/>
      <c r="B89" s="497"/>
      <c r="C89" s="514">
        <v>100</v>
      </c>
      <c r="D89" s="490">
        <f>C89+3</f>
        <v>103</v>
      </c>
      <c r="E89" s="490">
        <f t="shared" ref="E89:G89" si="21">D89+3</f>
        <v>106</v>
      </c>
      <c r="F89" s="490">
        <f t="shared" si="21"/>
        <v>109</v>
      </c>
      <c r="G89" s="490">
        <f t="shared" si="21"/>
        <v>112</v>
      </c>
      <c r="H89" s="490"/>
      <c r="I89" s="490"/>
      <c r="J89" s="490"/>
      <c r="K89" s="490"/>
      <c r="L89" s="490"/>
      <c r="M89" s="490"/>
      <c r="N89" s="2974"/>
      <c r="O89" s="2974"/>
      <c r="P89" s="2964"/>
      <c r="Q89" s="2959"/>
      <c r="R89" s="2879"/>
      <c r="S89" s="2879"/>
      <c r="T89" s="2879"/>
      <c r="U89" s="2879"/>
      <c r="V89" s="2879"/>
      <c r="W89" s="2879"/>
      <c r="X89" s="2879"/>
      <c r="Y89" s="2879"/>
      <c r="Z89" s="2879"/>
      <c r="AA89" s="2879"/>
      <c r="AB89" s="2879"/>
      <c r="AC89" s="2879"/>
    </row>
    <row r="90" spans="1:29" s="427" customFormat="1" ht="15.75" thickTop="1">
      <c r="A90" s="507"/>
      <c r="B90" s="492" t="str">
        <f>B27</f>
        <v>人流量</v>
      </c>
      <c r="C90" s="3049" t="s">
        <v>3091</v>
      </c>
      <c r="D90" s="3049" t="s">
        <v>3092</v>
      </c>
      <c r="E90" s="3049" t="s">
        <v>3093</v>
      </c>
      <c r="F90" s="3049" t="s">
        <v>3094</v>
      </c>
      <c r="G90" s="3049" t="s">
        <v>3095</v>
      </c>
      <c r="H90" s="509"/>
      <c r="I90" s="509"/>
      <c r="J90" s="509"/>
      <c r="K90" s="509"/>
      <c r="L90" s="510"/>
      <c r="M90" s="511"/>
      <c r="N90" s="2975"/>
      <c r="O90" s="2975"/>
      <c r="P90" s="2965"/>
      <c r="Q90" s="2966"/>
      <c r="R90" s="2967"/>
      <c r="S90" s="2967"/>
      <c r="T90" s="2967"/>
      <c r="U90" s="2967"/>
      <c r="V90" s="2967"/>
      <c r="W90" s="2967"/>
      <c r="X90" s="2967"/>
      <c r="Y90" s="2967"/>
      <c r="Z90" s="2967"/>
      <c r="AA90" s="2967"/>
      <c r="AB90" s="2967"/>
      <c r="AC90" s="2967"/>
    </row>
    <row r="91" spans="1:29" s="427" customFormat="1" ht="15.75" thickBot="1">
      <c r="A91" s="507"/>
      <c r="B91" s="497"/>
      <c r="C91" s="536">
        <v>100</v>
      </c>
      <c r="D91" s="498">
        <f>C91-$K27</f>
        <v>100</v>
      </c>
      <c r="E91" s="498">
        <f t="shared" ref="E91:M91" si="22">D91-$K27</f>
        <v>100</v>
      </c>
      <c r="F91" s="498">
        <f t="shared" si="22"/>
        <v>100</v>
      </c>
      <c r="G91" s="498">
        <f t="shared" si="22"/>
        <v>100</v>
      </c>
      <c r="H91" s="498">
        <f t="shared" si="22"/>
        <v>100</v>
      </c>
      <c r="I91" s="498">
        <f t="shared" si="22"/>
        <v>100</v>
      </c>
      <c r="J91" s="498">
        <f t="shared" si="22"/>
        <v>100</v>
      </c>
      <c r="K91" s="498">
        <f t="shared" si="22"/>
        <v>100</v>
      </c>
      <c r="L91" s="498">
        <f t="shared" si="22"/>
        <v>100</v>
      </c>
      <c r="M91" s="498">
        <f t="shared" si="22"/>
        <v>100</v>
      </c>
      <c r="N91" s="2975"/>
      <c r="O91" s="2975"/>
      <c r="P91" s="2965"/>
      <c r="Q91" s="2966"/>
      <c r="R91" s="2967"/>
      <c r="S91" s="2967"/>
      <c r="T91" s="2967"/>
      <c r="U91" s="2967"/>
      <c r="V91" s="2967"/>
      <c r="W91" s="2967"/>
      <c r="X91" s="2967"/>
      <c r="Y91" s="2967"/>
      <c r="Z91" s="2967"/>
      <c r="AA91" s="2967"/>
      <c r="AB91" s="2967"/>
      <c r="AC91" s="2967"/>
    </row>
    <row r="92" spans="1:29" ht="15.75" thickTop="1">
      <c r="A92" s="488"/>
      <c r="B92" s="492" t="str">
        <f>B28</f>
        <v>楼层</v>
      </c>
      <c r="C92" s="508">
        <v>3</v>
      </c>
      <c r="D92" s="508">
        <v>1</v>
      </c>
      <c r="E92" s="508"/>
      <c r="F92" s="508"/>
      <c r="G92" s="508"/>
      <c r="H92" s="508"/>
      <c r="I92" s="508"/>
      <c r="J92" s="508"/>
      <c r="K92" s="508"/>
      <c r="L92" s="534"/>
      <c r="M92" s="535"/>
      <c r="N92" s="2973"/>
      <c r="O92" s="2973"/>
      <c r="P92" s="2964"/>
      <c r="Q92" s="2959"/>
      <c r="R92" s="2945"/>
      <c r="S92" s="2945"/>
      <c r="T92" s="2945"/>
      <c r="U92" s="2945"/>
      <c r="V92" s="2945"/>
      <c r="W92" s="2945"/>
      <c r="X92" s="2945"/>
      <c r="Y92" s="2945"/>
      <c r="Z92" s="2945"/>
      <c r="AA92" s="2945"/>
      <c r="AB92" s="2945"/>
      <c r="AC92" s="2945"/>
    </row>
    <row r="93" spans="1:29" ht="15.75" thickBot="1">
      <c r="A93" s="488"/>
      <c r="B93" s="497"/>
      <c r="C93" s="490">
        <v>65</v>
      </c>
      <c r="D93" s="490">
        <v>100</v>
      </c>
      <c r="E93" s="490"/>
      <c r="F93" s="490"/>
      <c r="G93" s="490"/>
      <c r="H93" s="490"/>
      <c r="I93" s="490"/>
      <c r="J93" s="490"/>
      <c r="K93" s="490"/>
      <c r="L93" s="490"/>
      <c r="M93" s="491"/>
      <c r="N93" s="2974"/>
      <c r="O93" s="2974"/>
      <c r="P93" s="2964"/>
      <c r="Q93" s="2959"/>
      <c r="R93" s="2945"/>
      <c r="S93" s="2945"/>
      <c r="T93" s="2945"/>
      <c r="U93" s="2945"/>
      <c r="V93" s="2945"/>
      <c r="W93" s="2945"/>
      <c r="X93" s="2945"/>
      <c r="Y93" s="2945"/>
      <c r="Z93" s="2945"/>
      <c r="AA93" s="2945"/>
      <c r="AB93" s="2945"/>
      <c r="AC93" s="2945"/>
    </row>
    <row r="94" spans="1:29" ht="15.75" thickTop="1">
      <c r="A94" s="488"/>
      <c r="B94" s="492">
        <f>B29</f>
        <v>111</v>
      </c>
      <c r="C94" s="508"/>
      <c r="D94" s="508"/>
      <c r="E94" s="508"/>
      <c r="F94" s="508"/>
      <c r="G94" s="537"/>
      <c r="H94" s="537"/>
      <c r="I94" s="537"/>
      <c r="J94" s="537"/>
      <c r="K94" s="538"/>
      <c r="L94" s="539"/>
      <c r="M94" s="540"/>
      <c r="N94" s="2973"/>
      <c r="O94" s="2973"/>
      <c r="P94" s="2964"/>
      <c r="Q94" s="2959"/>
      <c r="R94" s="2945"/>
      <c r="S94" s="2945"/>
      <c r="T94" s="2945"/>
      <c r="U94" s="2945"/>
      <c r="V94" s="2945"/>
      <c r="W94" s="2945"/>
      <c r="X94" s="2945"/>
      <c r="Y94" s="2945"/>
      <c r="Z94" s="2945"/>
      <c r="AA94" s="2945"/>
      <c r="AB94" s="2945"/>
      <c r="AC94" s="2945"/>
    </row>
    <row r="95" spans="1:29" ht="15.75" thickBot="1">
      <c r="A95" s="488"/>
      <c r="B95" s="497"/>
      <c r="C95" s="514"/>
      <c r="D95" s="490"/>
      <c r="E95" s="490"/>
      <c r="F95" s="490"/>
      <c r="G95" s="490"/>
      <c r="H95" s="490"/>
      <c r="I95" s="490"/>
      <c r="J95" s="490"/>
      <c r="K95" s="490"/>
      <c r="L95" s="490"/>
      <c r="M95" s="491"/>
      <c r="N95" s="2974"/>
      <c r="O95" s="2974"/>
      <c r="P95" s="2964"/>
      <c r="Q95" s="2959"/>
      <c r="R95" s="2945"/>
      <c r="S95" s="2945"/>
      <c r="T95" s="2945"/>
      <c r="U95" s="2945"/>
      <c r="V95" s="2945"/>
      <c r="W95" s="2945"/>
      <c r="X95" s="2945"/>
      <c r="Y95" s="2945"/>
      <c r="Z95" s="2945"/>
      <c r="AA95" s="2945"/>
      <c r="AB95" s="2945"/>
      <c r="AC95" s="2945"/>
    </row>
    <row r="96" spans="1:29" ht="15.75" thickTop="1">
      <c r="A96" s="488"/>
      <c r="B96" s="492">
        <f>B30</f>
        <v>111</v>
      </c>
      <c r="C96" s="508"/>
      <c r="D96" s="508"/>
      <c r="E96" s="508"/>
      <c r="F96" s="508"/>
      <c r="G96" s="537"/>
      <c r="H96" s="537"/>
      <c r="I96" s="537"/>
      <c r="J96" s="537"/>
      <c r="K96" s="538"/>
      <c r="L96" s="539"/>
      <c r="M96" s="540"/>
      <c r="N96" s="2973"/>
      <c r="O96" s="2973"/>
      <c r="P96" s="2964"/>
      <c r="Q96" s="2959"/>
      <c r="R96" s="2945"/>
      <c r="S96" s="2945"/>
      <c r="T96" s="2945"/>
      <c r="U96" s="2945"/>
      <c r="V96" s="2945"/>
      <c r="W96" s="2945"/>
      <c r="X96" s="2945"/>
      <c r="Y96" s="2945"/>
      <c r="Z96" s="2945"/>
      <c r="AA96" s="2945"/>
      <c r="AB96" s="2945"/>
      <c r="AC96" s="2945"/>
    </row>
    <row r="97" spans="1:29" ht="15.75" thickBot="1">
      <c r="A97" s="488"/>
      <c r="B97" s="497"/>
      <c r="C97" s="514"/>
      <c r="D97" s="490"/>
      <c r="E97" s="490"/>
      <c r="F97" s="490"/>
      <c r="G97" s="490"/>
      <c r="H97" s="490"/>
      <c r="I97" s="490"/>
      <c r="J97" s="490"/>
      <c r="K97" s="490"/>
      <c r="L97" s="490"/>
      <c r="M97" s="491"/>
      <c r="N97" s="2974"/>
      <c r="O97" s="2974"/>
      <c r="P97" s="2964"/>
      <c r="Q97" s="2959"/>
      <c r="R97" s="2945"/>
      <c r="S97" s="2945"/>
      <c r="T97" s="2945"/>
      <c r="U97" s="2945"/>
      <c r="V97" s="2945"/>
      <c r="W97" s="2945"/>
      <c r="X97" s="2945"/>
      <c r="Y97" s="2945"/>
      <c r="Z97" s="2945"/>
      <c r="AA97" s="2945"/>
      <c r="AB97" s="2945"/>
      <c r="AC97" s="2945"/>
    </row>
    <row r="98" spans="1:29" ht="15.75" thickTop="1">
      <c r="A98" s="488"/>
      <c r="B98" s="500">
        <f>B31</f>
        <v>111</v>
      </c>
      <c r="C98" s="508"/>
      <c r="D98" s="508"/>
      <c r="E98" s="508"/>
      <c r="F98" s="508"/>
      <c r="G98" s="541"/>
      <c r="H98" s="541"/>
      <c r="I98" s="541"/>
      <c r="J98" s="541"/>
      <c r="K98" s="542"/>
      <c r="L98" s="543"/>
      <c r="M98" s="544"/>
      <c r="N98" s="2973"/>
      <c r="O98" s="2973"/>
      <c r="P98" s="2964"/>
      <c r="Q98" s="2959"/>
      <c r="R98" s="2945"/>
      <c r="S98" s="2945"/>
      <c r="T98" s="2945"/>
      <c r="U98" s="2945"/>
      <c r="V98" s="2945"/>
      <c r="W98" s="2945"/>
      <c r="X98" s="2945"/>
      <c r="Y98" s="2945"/>
      <c r="Z98" s="2945"/>
      <c r="AA98" s="2945"/>
      <c r="AB98" s="2945"/>
      <c r="AC98" s="2945"/>
    </row>
    <row r="99" spans="1:29" ht="15.75" thickBot="1">
      <c r="A99" s="2110"/>
      <c r="B99" s="523"/>
      <c r="C99" s="524"/>
      <c r="D99" s="524"/>
      <c r="E99" s="524"/>
      <c r="F99" s="524"/>
      <c r="G99" s="545"/>
      <c r="H99" s="545"/>
      <c r="I99" s="545"/>
      <c r="J99" s="545"/>
      <c r="K99" s="545"/>
      <c r="L99" s="545"/>
      <c r="M99" s="546"/>
      <c r="N99" s="2974"/>
      <c r="O99" s="2974"/>
      <c r="P99" s="2964"/>
      <c r="Q99" s="2959"/>
      <c r="R99" s="2945"/>
      <c r="S99" s="2945"/>
      <c r="T99" s="2945"/>
      <c r="U99" s="2945"/>
      <c r="V99" s="2945"/>
      <c r="W99" s="2945"/>
      <c r="X99" s="2945"/>
      <c r="Y99" s="2945"/>
      <c r="Z99" s="2945"/>
      <c r="AA99" s="2945"/>
      <c r="AB99" s="2945"/>
      <c r="AC99" s="2945"/>
    </row>
    <row r="100" spans="1:29">
      <c r="A100" s="481" t="s">
        <v>2376</v>
      </c>
      <c r="B100" s="482" t="s">
        <v>2494</v>
      </c>
      <c r="C100" s="484"/>
      <c r="D100" s="484"/>
      <c r="E100" s="484"/>
      <c r="F100" s="484"/>
      <c r="G100" s="484"/>
      <c r="H100" s="484"/>
      <c r="I100" s="484"/>
      <c r="J100" s="484"/>
      <c r="K100" s="485"/>
      <c r="L100" s="486"/>
      <c r="M100" s="487"/>
      <c r="N100" s="2973"/>
      <c r="O100" s="2973"/>
      <c r="P100" s="2964"/>
      <c r="Q100" s="2959"/>
      <c r="R100" s="2945"/>
      <c r="S100" s="2945"/>
      <c r="T100" s="2945"/>
      <c r="U100" s="2945"/>
      <c r="V100" s="2945"/>
      <c r="W100" s="2945"/>
      <c r="X100" s="2945"/>
      <c r="Y100" s="2945"/>
      <c r="Z100" s="2945"/>
      <c r="AA100" s="2945"/>
      <c r="AB100" s="2945"/>
      <c r="AC100" s="2945"/>
    </row>
    <row r="101" spans="1:29" ht="15.75" thickBot="1">
      <c r="A101" s="488"/>
      <c r="B101" s="497"/>
      <c r="C101" s="498">
        <v>100</v>
      </c>
      <c r="D101" s="498">
        <f t="shared" ref="D101:M101" si="23">C101-$K32</f>
        <v>100</v>
      </c>
      <c r="E101" s="498">
        <f t="shared" si="23"/>
        <v>100</v>
      </c>
      <c r="F101" s="498">
        <f t="shared" si="23"/>
        <v>100</v>
      </c>
      <c r="G101" s="498">
        <f t="shared" si="23"/>
        <v>100</v>
      </c>
      <c r="H101" s="498">
        <f t="shared" si="23"/>
        <v>100</v>
      </c>
      <c r="I101" s="498">
        <f t="shared" si="23"/>
        <v>100</v>
      </c>
      <c r="J101" s="498">
        <f t="shared" si="23"/>
        <v>100</v>
      </c>
      <c r="K101" s="498">
        <f t="shared" si="23"/>
        <v>100</v>
      </c>
      <c r="L101" s="498">
        <f t="shared" si="23"/>
        <v>100</v>
      </c>
      <c r="M101" s="499">
        <f t="shared" si="23"/>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88"/>
      <c r="B102" s="492" t="s">
        <v>2426</v>
      </c>
      <c r="C102" s="532" t="str">
        <f>C103&amp;"(含)"&amp;"-"&amp;D103</f>
        <v>0(含)-10000</v>
      </c>
      <c r="D102" s="532" t="str">
        <f t="shared" ref="D102:L102" si="24">D103&amp;"(含)"&amp;"-"&amp;E103</f>
        <v>10000(含)-</v>
      </c>
      <c r="E102" s="532" t="str">
        <f t="shared" si="24"/>
        <v>(含)-</v>
      </c>
      <c r="F102" s="532" t="str">
        <f t="shared" si="24"/>
        <v>(含)-</v>
      </c>
      <c r="G102" s="532" t="str">
        <f t="shared" si="24"/>
        <v>(含)-</v>
      </c>
      <c r="H102" s="532" t="str">
        <f t="shared" si="24"/>
        <v>(含)-</v>
      </c>
      <c r="I102" s="532" t="str">
        <f t="shared" si="24"/>
        <v>(含)-</v>
      </c>
      <c r="J102" s="532" t="str">
        <f t="shared" si="24"/>
        <v>(含)-</v>
      </c>
      <c r="K102" s="532" t="str">
        <f t="shared" si="24"/>
        <v>(含)-</v>
      </c>
      <c r="L102" s="532" t="str">
        <f t="shared" si="24"/>
        <v>(含)-</v>
      </c>
      <c r="M102" s="575"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27" customFormat="1">
      <c r="A103" s="547"/>
      <c r="B103" s="548"/>
      <c r="C103" s="549">
        <v>0</v>
      </c>
      <c r="D103" s="549">
        <v>10000</v>
      </c>
      <c r="E103" s="549"/>
      <c r="F103" s="549"/>
      <c r="G103" s="549"/>
      <c r="H103" s="549"/>
      <c r="I103" s="549"/>
      <c r="J103" s="550"/>
      <c r="K103" s="550"/>
      <c r="L103" s="551"/>
      <c r="M103" s="552"/>
      <c r="N103" s="2975"/>
      <c r="O103" s="2975"/>
      <c r="P103" s="2965"/>
      <c r="Q103" s="2966"/>
      <c r="R103" s="2967"/>
      <c r="S103" s="2967"/>
      <c r="T103" s="2967"/>
      <c r="U103" s="2967"/>
      <c r="V103" s="2967"/>
      <c r="W103" s="2967"/>
      <c r="X103" s="2967"/>
      <c r="Y103" s="2967"/>
      <c r="Z103" s="2967"/>
      <c r="AA103" s="2967"/>
      <c r="AB103" s="2967"/>
      <c r="AC103" s="2967"/>
    </row>
    <row r="104" spans="1:29" s="427" customFormat="1" ht="15.75" thickBot="1">
      <c r="A104" s="507"/>
      <c r="B104" s="497"/>
      <c r="C104" s="514"/>
      <c r="D104" s="490"/>
      <c r="E104" s="490"/>
      <c r="F104" s="490"/>
      <c r="G104" s="490"/>
      <c r="H104" s="490"/>
      <c r="I104" s="490"/>
      <c r="J104" s="490"/>
      <c r="K104" s="490"/>
      <c r="L104" s="490"/>
      <c r="M104" s="491"/>
      <c r="N104" s="2974"/>
      <c r="O104" s="2974"/>
      <c r="P104" s="2965"/>
      <c r="Q104" s="2966"/>
      <c r="R104" s="2967"/>
      <c r="S104" s="2967"/>
      <c r="T104" s="2967"/>
      <c r="U104" s="2967"/>
      <c r="V104" s="2967"/>
      <c r="W104" s="2967"/>
      <c r="X104" s="2967"/>
      <c r="Y104" s="2967"/>
      <c r="Z104" s="2967"/>
      <c r="AA104" s="2967"/>
      <c r="AB104" s="2967"/>
      <c r="AC104" s="2967"/>
    </row>
    <row r="105" spans="1:29" ht="15" thickTop="1">
      <c r="A105" s="553"/>
      <c r="B105" s="492" t="s">
        <v>2427</v>
      </c>
      <c r="C105" s="508"/>
      <c r="D105" s="508"/>
      <c r="E105" s="537"/>
      <c r="F105" s="537"/>
      <c r="G105" s="537"/>
      <c r="H105" s="537"/>
      <c r="I105" s="537"/>
      <c r="J105" s="537"/>
      <c r="K105" s="538"/>
      <c r="L105" s="539"/>
      <c r="M105" s="540"/>
      <c r="N105" s="2973"/>
      <c r="O105" s="2973"/>
      <c r="P105" s="2964"/>
      <c r="Q105" s="2959"/>
      <c r="R105" s="2945"/>
      <c r="S105" s="2945"/>
      <c r="T105" s="2945"/>
      <c r="U105" s="2945"/>
      <c r="V105" s="2945"/>
      <c r="W105" s="2945"/>
      <c r="X105" s="2945"/>
      <c r="Y105" s="2945"/>
      <c r="Z105" s="2945"/>
      <c r="AA105" s="2945"/>
      <c r="AB105" s="2945"/>
      <c r="AC105" s="2945"/>
    </row>
    <row r="106" spans="1:29" ht="15.75" thickBot="1">
      <c r="A106" s="488"/>
      <c r="B106" s="497"/>
      <c r="C106" s="498">
        <v>100</v>
      </c>
      <c r="D106" s="498">
        <f t="shared" ref="D106:M106" si="25">C106-$K34</f>
        <v>100</v>
      </c>
      <c r="E106" s="498">
        <f t="shared" si="25"/>
        <v>100</v>
      </c>
      <c r="F106" s="498">
        <f t="shared" si="25"/>
        <v>100</v>
      </c>
      <c r="G106" s="498">
        <f t="shared" si="25"/>
        <v>100</v>
      </c>
      <c r="H106" s="498">
        <f t="shared" si="25"/>
        <v>100</v>
      </c>
      <c r="I106" s="498">
        <f t="shared" si="25"/>
        <v>100</v>
      </c>
      <c r="J106" s="498">
        <f t="shared" si="25"/>
        <v>100</v>
      </c>
      <c r="K106" s="498">
        <f t="shared" si="25"/>
        <v>100</v>
      </c>
      <c r="L106" s="498">
        <f t="shared" si="25"/>
        <v>100</v>
      </c>
      <c r="M106" s="499">
        <f t="shared" si="25"/>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3"/>
      <c r="B107" s="492" t="s">
        <v>2429</v>
      </c>
      <c r="C107" s="508"/>
      <c r="D107" s="508"/>
      <c r="E107" s="508"/>
      <c r="F107" s="537"/>
      <c r="G107" s="537"/>
      <c r="H107" s="537"/>
      <c r="I107" s="537"/>
      <c r="J107" s="537"/>
      <c r="K107" s="538"/>
      <c r="L107" s="539"/>
      <c r="M107" s="540"/>
      <c r="N107" s="2973"/>
      <c r="O107" s="2973"/>
      <c r="P107" s="2964"/>
      <c r="Q107" s="2959"/>
      <c r="R107" s="2945"/>
      <c r="S107" s="2945"/>
      <c r="T107" s="2945"/>
      <c r="U107" s="2945"/>
      <c r="V107" s="2945"/>
      <c r="W107" s="2945"/>
      <c r="X107" s="2945"/>
      <c r="Y107" s="2945"/>
      <c r="Z107" s="2945"/>
      <c r="AA107" s="2945"/>
      <c r="AB107" s="2945"/>
      <c r="AC107" s="2945"/>
    </row>
    <row r="108" spans="1:29" ht="15.75" thickBot="1">
      <c r="A108" s="488"/>
      <c r="B108" s="497"/>
      <c r="C108" s="498">
        <v>100</v>
      </c>
      <c r="D108" s="498">
        <f t="shared" ref="D108:M108" si="26">C108-$K35</f>
        <v>100</v>
      </c>
      <c r="E108" s="498">
        <f t="shared" si="26"/>
        <v>100</v>
      </c>
      <c r="F108" s="498">
        <f t="shared" si="26"/>
        <v>100</v>
      </c>
      <c r="G108" s="498">
        <f t="shared" si="26"/>
        <v>100</v>
      </c>
      <c r="H108" s="498">
        <f t="shared" si="26"/>
        <v>100</v>
      </c>
      <c r="I108" s="498">
        <f t="shared" si="26"/>
        <v>100</v>
      </c>
      <c r="J108" s="498">
        <f t="shared" si="26"/>
        <v>100</v>
      </c>
      <c r="K108" s="498">
        <f t="shared" si="26"/>
        <v>100</v>
      </c>
      <c r="L108" s="498">
        <f t="shared" si="26"/>
        <v>100</v>
      </c>
      <c r="M108" s="499">
        <f t="shared" si="26"/>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3"/>
      <c r="B109" s="492" t="s">
        <v>1874</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3"/>
      <c r="O109" s="2973"/>
      <c r="P109" s="2964"/>
      <c r="Q109" s="2959"/>
      <c r="R109" s="2945"/>
      <c r="S109" s="2945"/>
      <c r="T109" s="2945"/>
      <c r="U109" s="2945"/>
      <c r="V109" s="2945"/>
      <c r="W109" s="2945"/>
      <c r="X109" s="2945"/>
      <c r="Y109" s="2945"/>
      <c r="Z109" s="2945"/>
      <c r="AA109" s="2945"/>
      <c r="AB109" s="2945"/>
      <c r="AC109" s="2945"/>
    </row>
    <row r="110" spans="1:29">
      <c r="A110" s="553"/>
      <c r="B110" s="500"/>
      <c r="C110" s="557">
        <v>0.5</v>
      </c>
      <c r="D110" s="557">
        <v>0.6</v>
      </c>
      <c r="E110" s="557">
        <v>0.7</v>
      </c>
      <c r="F110" s="557">
        <v>0.8</v>
      </c>
      <c r="G110" s="557">
        <v>0.9</v>
      </c>
      <c r="H110" s="557">
        <v>1.0001</v>
      </c>
      <c r="I110" s="576"/>
      <c r="J110" s="576"/>
      <c r="K110" s="577"/>
      <c r="L110" s="578"/>
      <c r="M110" s="579"/>
      <c r="N110" s="2973"/>
      <c r="O110" s="2973"/>
      <c r="P110" s="2964"/>
      <c r="Q110" s="2959"/>
      <c r="R110" s="2945"/>
      <c r="S110" s="2945"/>
      <c r="T110" s="2945"/>
      <c r="U110" s="2945"/>
      <c r="V110" s="2945"/>
      <c r="W110" s="2945"/>
      <c r="X110" s="2945"/>
      <c r="Y110" s="2945"/>
      <c r="Z110" s="2945"/>
      <c r="AA110" s="2945"/>
      <c r="AB110" s="2945"/>
      <c r="AC110" s="2945"/>
    </row>
    <row r="111" spans="1:29" ht="15.75" thickBot="1">
      <c r="A111" s="488"/>
      <c r="B111" s="497"/>
      <c r="C111" s="536">
        <v>100</v>
      </c>
      <c r="D111" s="498">
        <f>C111+$K36</f>
        <v>100</v>
      </c>
      <c r="E111" s="498">
        <f t="shared" ref="E111:M111" si="27">D111+$K36</f>
        <v>100</v>
      </c>
      <c r="F111" s="498">
        <f t="shared" si="27"/>
        <v>100</v>
      </c>
      <c r="G111" s="498">
        <f t="shared" si="27"/>
        <v>100</v>
      </c>
      <c r="H111" s="498">
        <f t="shared" si="27"/>
        <v>100</v>
      </c>
      <c r="I111" s="498">
        <f t="shared" si="27"/>
        <v>100</v>
      </c>
      <c r="J111" s="498">
        <f t="shared" si="27"/>
        <v>100</v>
      </c>
      <c r="K111" s="498">
        <f t="shared" si="27"/>
        <v>100</v>
      </c>
      <c r="L111" s="498">
        <f t="shared" si="27"/>
        <v>100</v>
      </c>
      <c r="M111" s="498">
        <f t="shared" si="27"/>
        <v>100</v>
      </c>
      <c r="N111" s="2974"/>
      <c r="O111" s="2974"/>
      <c r="P111" s="2964"/>
      <c r="Q111" s="2959"/>
      <c r="R111" s="2945"/>
      <c r="S111" s="2945"/>
      <c r="T111" s="2945"/>
      <c r="U111" s="2945"/>
      <c r="V111" s="2945"/>
      <c r="W111" s="2945"/>
      <c r="X111" s="2945"/>
      <c r="Y111" s="2945"/>
      <c r="Z111" s="2945"/>
      <c r="AA111" s="2945"/>
      <c r="AB111" s="2945"/>
      <c r="AC111" s="2945"/>
    </row>
    <row r="112" spans="1:29" s="427" customFormat="1" ht="15" thickTop="1">
      <c r="A112" s="547"/>
      <c r="B112" s="492" t="s">
        <v>2431</v>
      </c>
      <c r="C112" s="508"/>
      <c r="D112" s="508"/>
      <c r="E112" s="508"/>
      <c r="F112" s="508"/>
      <c r="G112" s="508"/>
      <c r="H112" s="537"/>
      <c r="I112" s="537"/>
      <c r="J112" s="537"/>
      <c r="K112" s="538"/>
      <c r="L112" s="539"/>
      <c r="M112" s="540"/>
      <c r="N112" s="2975"/>
      <c r="O112" s="2975"/>
      <c r="P112" s="2965"/>
      <c r="Q112" s="2966"/>
      <c r="R112" s="2967"/>
      <c r="S112" s="2967"/>
      <c r="T112" s="2967"/>
      <c r="U112" s="2967"/>
      <c r="V112" s="2967"/>
      <c r="W112" s="2967"/>
      <c r="X112" s="2967"/>
      <c r="Y112" s="2967"/>
      <c r="Z112" s="2967"/>
      <c r="AA112" s="2967"/>
      <c r="AB112" s="2967"/>
      <c r="AC112" s="2967"/>
    </row>
    <row r="113" spans="1:29" s="427" customFormat="1" ht="15.75" thickBot="1">
      <c r="A113" s="507"/>
      <c r="B113" s="497"/>
      <c r="C113" s="498">
        <v>100</v>
      </c>
      <c r="D113" s="498">
        <f>C113-$K37</f>
        <v>100</v>
      </c>
      <c r="E113" s="498">
        <f t="shared" ref="E113:M113" si="28">D113-$K37</f>
        <v>100</v>
      </c>
      <c r="F113" s="498">
        <f t="shared" si="28"/>
        <v>100</v>
      </c>
      <c r="G113" s="498">
        <f t="shared" si="28"/>
        <v>100</v>
      </c>
      <c r="H113" s="498">
        <f t="shared" si="28"/>
        <v>100</v>
      </c>
      <c r="I113" s="498">
        <f t="shared" si="28"/>
        <v>100</v>
      </c>
      <c r="J113" s="498">
        <f t="shared" si="28"/>
        <v>100</v>
      </c>
      <c r="K113" s="498">
        <f t="shared" si="28"/>
        <v>100</v>
      </c>
      <c r="L113" s="498">
        <f t="shared" si="28"/>
        <v>100</v>
      </c>
      <c r="M113" s="498">
        <f t="shared" si="28"/>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3"/>
      <c r="B114" s="492" t="s">
        <v>2495</v>
      </c>
      <c r="C114" s="508"/>
      <c r="D114" s="508"/>
      <c r="E114" s="537"/>
      <c r="F114" s="537"/>
      <c r="G114" s="537"/>
      <c r="H114" s="537"/>
      <c r="I114" s="537"/>
      <c r="J114" s="537"/>
      <c r="K114" s="538"/>
      <c r="L114" s="539"/>
      <c r="M114" s="540"/>
      <c r="N114" s="2973"/>
      <c r="O114" s="2973"/>
      <c r="P114" s="2964"/>
      <c r="Q114" s="2959"/>
      <c r="R114" s="2945"/>
      <c r="S114" s="2945"/>
      <c r="T114" s="2945"/>
      <c r="U114" s="2945"/>
      <c r="V114" s="2945"/>
      <c r="W114" s="2945"/>
      <c r="X114" s="2945"/>
      <c r="Y114" s="2945"/>
      <c r="Z114" s="2945"/>
      <c r="AA114" s="2945"/>
      <c r="AB114" s="2945"/>
      <c r="AC114" s="2945"/>
    </row>
    <row r="115" spans="1:29" ht="15.75" thickBot="1">
      <c r="A115" s="488"/>
      <c r="B115" s="497"/>
      <c r="C115" s="498">
        <v>100</v>
      </c>
      <c r="D115" s="498">
        <f t="shared" ref="D115:M115" si="29">C115-$K38</f>
        <v>100</v>
      </c>
      <c r="E115" s="498">
        <f t="shared" si="29"/>
        <v>100</v>
      </c>
      <c r="F115" s="498">
        <f t="shared" si="29"/>
        <v>100</v>
      </c>
      <c r="G115" s="498">
        <f t="shared" si="29"/>
        <v>100</v>
      </c>
      <c r="H115" s="498">
        <f t="shared" si="29"/>
        <v>100</v>
      </c>
      <c r="I115" s="498">
        <f t="shared" si="29"/>
        <v>100</v>
      </c>
      <c r="J115" s="498">
        <f t="shared" si="29"/>
        <v>100</v>
      </c>
      <c r="K115" s="498">
        <f t="shared" si="29"/>
        <v>100</v>
      </c>
      <c r="L115" s="498">
        <f t="shared" si="29"/>
        <v>100</v>
      </c>
      <c r="M115" s="499">
        <f t="shared" si="29"/>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3"/>
      <c r="B116" s="492" t="s">
        <v>2496</v>
      </c>
      <c r="C116" s="508"/>
      <c r="D116" s="508"/>
      <c r="E116" s="508"/>
      <c r="F116" s="508"/>
      <c r="G116" s="508"/>
      <c r="H116" s="537"/>
      <c r="I116" s="537"/>
      <c r="J116" s="537"/>
      <c r="K116" s="538"/>
      <c r="L116" s="539"/>
      <c r="M116" s="540"/>
      <c r="N116" s="2973"/>
      <c r="O116" s="2973"/>
      <c r="P116" s="2964"/>
      <c r="Q116" s="2959"/>
      <c r="R116" s="2945"/>
      <c r="S116" s="2945"/>
      <c r="T116" s="2945"/>
      <c r="U116" s="2945"/>
      <c r="V116" s="2945"/>
      <c r="W116" s="2945"/>
      <c r="X116" s="2945"/>
      <c r="Y116" s="2945"/>
      <c r="Z116" s="2945"/>
      <c r="AA116" s="2945"/>
      <c r="AB116" s="2945"/>
      <c r="AC116" s="2945"/>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74"/>
      <c r="O117" s="2974"/>
      <c r="P117" s="2964"/>
      <c r="Q117" s="2959"/>
      <c r="R117" s="2945"/>
      <c r="S117" s="2945"/>
      <c r="T117" s="2945"/>
      <c r="U117" s="2945"/>
      <c r="V117" s="2945"/>
      <c r="W117" s="2945"/>
      <c r="X117" s="2945"/>
      <c r="Y117" s="2945"/>
      <c r="Z117" s="2945"/>
      <c r="AA117" s="2945"/>
      <c r="AB117" s="2945"/>
      <c r="AC117" s="2945"/>
    </row>
    <row r="118" spans="1:29" ht="15" thickTop="1">
      <c r="A118" s="553"/>
      <c r="B118" s="492" t="s">
        <v>2497</v>
      </c>
      <c r="C118" s="580"/>
      <c r="D118" s="580"/>
      <c r="E118" s="580"/>
      <c r="F118" s="580"/>
      <c r="G118" s="580"/>
      <c r="H118" s="509"/>
      <c r="I118" s="509"/>
      <c r="J118" s="509"/>
      <c r="K118" s="509"/>
      <c r="L118" s="510"/>
      <c r="M118" s="511"/>
      <c r="N118" s="2973"/>
      <c r="O118" s="2973"/>
      <c r="P118" s="2964"/>
      <c r="Q118" s="2959"/>
      <c r="R118" s="2945"/>
      <c r="S118" s="2945"/>
      <c r="T118" s="2945"/>
      <c r="U118" s="2945"/>
      <c r="V118" s="2945"/>
      <c r="W118" s="2945"/>
      <c r="X118" s="2945"/>
      <c r="Y118" s="2945"/>
      <c r="Z118" s="2945"/>
      <c r="AA118" s="2945"/>
      <c r="AB118" s="2945"/>
      <c r="AC118" s="2945"/>
    </row>
    <row r="119" spans="1:29" ht="15.75" thickBot="1">
      <c r="A119" s="488"/>
      <c r="B119" s="497"/>
      <c r="C119" s="514"/>
      <c r="D119" s="490"/>
      <c r="E119" s="490"/>
      <c r="F119" s="490"/>
      <c r="G119" s="490"/>
      <c r="H119" s="490"/>
      <c r="I119" s="490"/>
      <c r="J119" s="490"/>
      <c r="K119" s="490"/>
      <c r="L119" s="490"/>
      <c r="M119" s="491"/>
      <c r="N119" s="2974"/>
      <c r="O119" s="2974"/>
      <c r="P119" s="2964"/>
      <c r="Q119" s="2959"/>
      <c r="R119" s="2945"/>
      <c r="S119" s="2945"/>
      <c r="T119" s="2945"/>
      <c r="U119" s="2945"/>
      <c r="V119" s="2945"/>
      <c r="W119" s="2945"/>
      <c r="X119" s="2945"/>
      <c r="Y119" s="2945"/>
      <c r="Z119" s="2945"/>
      <c r="AA119" s="2945"/>
      <c r="AB119" s="2945"/>
      <c r="AC119" s="2945"/>
    </row>
    <row r="120" spans="1:29" s="427" customFormat="1" ht="15" thickTop="1">
      <c r="A120" s="547"/>
      <c r="B120" s="492" t="s">
        <v>2498</v>
      </c>
      <c r="C120" s="537"/>
      <c r="D120" s="537"/>
      <c r="E120" s="537"/>
      <c r="F120" s="537"/>
      <c r="G120" s="509"/>
      <c r="H120" s="509"/>
      <c r="I120" s="509"/>
      <c r="J120" s="509"/>
      <c r="K120" s="509"/>
      <c r="L120" s="510"/>
      <c r="M120" s="511"/>
      <c r="N120" s="2975"/>
      <c r="O120" s="2975"/>
      <c r="P120" s="2965"/>
      <c r="Q120" s="2966"/>
      <c r="R120" s="2967"/>
      <c r="S120" s="2967"/>
      <c r="T120" s="2967"/>
      <c r="U120" s="2967"/>
      <c r="V120" s="2967"/>
      <c r="W120" s="2967"/>
      <c r="X120" s="2967"/>
      <c r="Y120" s="2967"/>
      <c r="Z120" s="2967"/>
      <c r="AA120" s="2967"/>
      <c r="AB120" s="2967"/>
      <c r="AC120" s="2967"/>
    </row>
    <row r="121" spans="1:29" s="427" customFormat="1" ht="15.75" thickBot="1">
      <c r="A121" s="507"/>
      <c r="B121" s="489"/>
      <c r="C121" s="536">
        <v>100</v>
      </c>
      <c r="D121" s="498">
        <f>C121-$K41</f>
        <v>100</v>
      </c>
      <c r="E121" s="498">
        <f t="shared" ref="E121:M121" si="30">D121-$K41</f>
        <v>100</v>
      </c>
      <c r="F121" s="498">
        <f t="shared" si="30"/>
        <v>100</v>
      </c>
      <c r="G121" s="498">
        <f t="shared" si="30"/>
        <v>100</v>
      </c>
      <c r="H121" s="498">
        <f t="shared" si="30"/>
        <v>100</v>
      </c>
      <c r="I121" s="498">
        <f t="shared" si="30"/>
        <v>100</v>
      </c>
      <c r="J121" s="498">
        <f t="shared" si="30"/>
        <v>100</v>
      </c>
      <c r="K121" s="498">
        <f t="shared" si="30"/>
        <v>100</v>
      </c>
      <c r="L121" s="498">
        <f t="shared" si="30"/>
        <v>100</v>
      </c>
      <c r="M121" s="499">
        <f t="shared" si="30"/>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3"/>
      <c r="B122" s="492" t="s">
        <v>2433</v>
      </c>
      <c r="C122" s="508"/>
      <c r="D122" s="508"/>
      <c r="E122" s="508"/>
      <c r="F122" s="537"/>
      <c r="G122" s="537"/>
      <c r="H122" s="537"/>
      <c r="I122" s="537"/>
      <c r="J122" s="537"/>
      <c r="K122" s="538"/>
      <c r="L122" s="539"/>
      <c r="M122" s="540"/>
      <c r="N122" s="2973"/>
      <c r="O122" s="2973"/>
      <c r="P122" s="2964"/>
      <c r="Q122" s="2959"/>
      <c r="R122" s="2945"/>
      <c r="S122" s="2945"/>
      <c r="T122" s="2945"/>
      <c r="U122" s="2945"/>
      <c r="V122" s="2945"/>
      <c r="W122" s="2945"/>
      <c r="X122" s="2945"/>
      <c r="Y122" s="2945"/>
      <c r="Z122" s="2945"/>
      <c r="AA122" s="2945"/>
      <c r="AB122" s="2945"/>
      <c r="AC122" s="2945"/>
    </row>
    <row r="123" spans="1:29" ht="15.75" thickBot="1">
      <c r="A123" s="488"/>
      <c r="B123" s="497"/>
      <c r="C123" s="498">
        <v>100</v>
      </c>
      <c r="D123" s="498">
        <f t="shared" ref="D123:M123" si="31">C123-$K42</f>
        <v>100</v>
      </c>
      <c r="E123" s="498">
        <f t="shared" si="31"/>
        <v>100</v>
      </c>
      <c r="F123" s="498">
        <f t="shared" si="31"/>
        <v>100</v>
      </c>
      <c r="G123" s="498">
        <f t="shared" si="31"/>
        <v>100</v>
      </c>
      <c r="H123" s="498">
        <f t="shared" si="31"/>
        <v>100</v>
      </c>
      <c r="I123" s="498">
        <f t="shared" si="31"/>
        <v>100</v>
      </c>
      <c r="J123" s="498">
        <f t="shared" si="31"/>
        <v>100</v>
      </c>
      <c r="K123" s="498">
        <f t="shared" si="31"/>
        <v>100</v>
      </c>
      <c r="L123" s="498">
        <f t="shared" si="31"/>
        <v>100</v>
      </c>
      <c r="M123" s="499">
        <f t="shared" si="31"/>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3"/>
      <c r="B124" s="492" t="s">
        <v>2434</v>
      </c>
      <c r="C124" s="532" t="s">
        <v>2410</v>
      </c>
      <c r="D124" s="532" t="s">
        <v>2411</v>
      </c>
      <c r="E124" s="532" t="s">
        <v>2412</v>
      </c>
      <c r="F124" s="532" t="s">
        <v>2413</v>
      </c>
      <c r="G124" s="532" t="s">
        <v>2414</v>
      </c>
      <c r="H124" s="493"/>
      <c r="I124" s="493"/>
      <c r="J124" s="493"/>
      <c r="K124" s="494"/>
      <c r="L124" s="495"/>
      <c r="M124" s="496"/>
      <c r="N124" s="2973"/>
      <c r="O124" s="2973"/>
      <c r="P124" s="2965"/>
      <c r="Q124" s="2959"/>
      <c r="R124" s="2945"/>
      <c r="S124" s="2945"/>
      <c r="T124" s="2945"/>
      <c r="U124" s="2945"/>
      <c r="V124" s="2945"/>
      <c r="W124" s="2945"/>
      <c r="X124" s="2945"/>
      <c r="Y124" s="2945"/>
      <c r="Z124" s="2945"/>
      <c r="AA124" s="2945"/>
      <c r="AB124" s="2945"/>
      <c r="AC124" s="2945"/>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74"/>
      <c r="O125" s="2974"/>
      <c r="P125" s="2964"/>
      <c r="Q125" s="2959"/>
      <c r="R125" s="2945"/>
      <c r="S125" s="2945"/>
      <c r="T125" s="2945"/>
      <c r="U125" s="2945"/>
      <c r="V125" s="2945"/>
      <c r="W125" s="2945"/>
      <c r="X125" s="2945"/>
      <c r="Y125" s="2945"/>
      <c r="Z125" s="2945"/>
      <c r="AA125" s="2945"/>
      <c r="AB125" s="2945"/>
      <c r="AC125" s="2945"/>
    </row>
    <row r="126" spans="1:29" s="427" customFormat="1" ht="15" thickTop="1">
      <c r="A126" s="547"/>
      <c r="B126" s="492">
        <f>B44</f>
        <v>111</v>
      </c>
      <c r="C126" s="508"/>
      <c r="D126" s="508"/>
      <c r="E126" s="508"/>
      <c r="F126" s="508"/>
      <c r="G126" s="508"/>
      <c r="H126" s="509"/>
      <c r="I126" s="509"/>
      <c r="J126" s="509"/>
      <c r="K126" s="509"/>
      <c r="L126" s="510"/>
      <c r="M126" s="511"/>
      <c r="N126" s="2975"/>
      <c r="O126" s="2975"/>
      <c r="P126" s="2965"/>
      <c r="Q126" s="2966"/>
      <c r="R126" s="2967"/>
      <c r="S126" s="2967"/>
      <c r="T126" s="2967"/>
      <c r="U126" s="2967"/>
      <c r="V126" s="2967"/>
      <c r="W126" s="2967"/>
      <c r="X126" s="2967"/>
      <c r="Y126" s="2967"/>
      <c r="Z126" s="2967"/>
      <c r="AA126" s="2967"/>
      <c r="AB126" s="2967"/>
      <c r="AC126" s="2967"/>
    </row>
    <row r="127" spans="1:29" s="427" customFormat="1" ht="15.75" thickBot="1">
      <c r="A127" s="507"/>
      <c r="B127" s="497"/>
      <c r="C127" s="514"/>
      <c r="D127" s="490"/>
      <c r="E127" s="490"/>
      <c r="F127" s="490"/>
      <c r="G127" s="514"/>
      <c r="H127" s="516"/>
      <c r="I127" s="516"/>
      <c r="J127" s="516"/>
      <c r="K127" s="516"/>
      <c r="L127" s="516"/>
      <c r="M127" s="517"/>
      <c r="N127" s="2975"/>
      <c r="O127" s="2975"/>
      <c r="P127" s="2965"/>
      <c r="Q127" s="2966"/>
      <c r="R127" s="2967"/>
      <c r="S127" s="2967"/>
      <c r="T127" s="2967"/>
      <c r="U127" s="2967"/>
      <c r="V127" s="2967"/>
      <c r="W127" s="2967"/>
      <c r="X127" s="2967"/>
      <c r="Y127" s="2967"/>
      <c r="Z127" s="2967"/>
      <c r="AA127" s="2967"/>
      <c r="AB127" s="2967"/>
      <c r="AC127" s="2967"/>
    </row>
    <row r="128" spans="1:29" ht="15" thickTop="1">
      <c r="A128" s="553"/>
      <c r="B128" s="492">
        <f>B45</f>
        <v>111</v>
      </c>
      <c r="C128" s="508"/>
      <c r="D128" s="508"/>
      <c r="E128" s="508"/>
      <c r="F128" s="508"/>
      <c r="G128" s="537"/>
      <c r="H128" s="537"/>
      <c r="I128" s="537"/>
      <c r="J128" s="537"/>
      <c r="K128" s="538"/>
      <c r="L128" s="539"/>
      <c r="M128" s="540"/>
      <c r="N128" s="2973"/>
      <c r="O128" s="2973"/>
      <c r="P128" s="2964"/>
      <c r="Q128" s="2959"/>
      <c r="R128" s="2945"/>
      <c r="S128" s="2945"/>
      <c r="T128" s="2945"/>
      <c r="U128" s="2945"/>
      <c r="V128" s="2945"/>
      <c r="W128" s="2945"/>
      <c r="X128" s="2945"/>
      <c r="Y128" s="2945"/>
      <c r="Z128" s="2945"/>
      <c r="AA128" s="2945"/>
      <c r="AB128" s="2945"/>
      <c r="AC128" s="2945"/>
    </row>
    <row r="129" spans="1:29" ht="15.75" thickBot="1">
      <c r="A129" s="488"/>
      <c r="B129" s="497"/>
      <c r="C129" s="514"/>
      <c r="D129" s="490"/>
      <c r="E129" s="490"/>
      <c r="F129" s="490"/>
      <c r="G129" s="490"/>
      <c r="H129" s="490"/>
      <c r="I129" s="490"/>
      <c r="J129" s="490"/>
      <c r="K129" s="490"/>
      <c r="L129" s="490"/>
      <c r="M129" s="491"/>
      <c r="N129" s="2974"/>
      <c r="O129" s="2974"/>
      <c r="P129" s="2964"/>
      <c r="Q129" s="2959"/>
      <c r="R129" s="2945"/>
      <c r="S129" s="2945"/>
      <c r="T129" s="2945"/>
      <c r="U129" s="2945"/>
      <c r="V129" s="2945"/>
      <c r="W129" s="2945"/>
      <c r="X129" s="2945"/>
      <c r="Y129" s="2945"/>
      <c r="Z129" s="2945"/>
      <c r="AA129" s="2945"/>
      <c r="AB129" s="2945"/>
      <c r="AC129" s="2945"/>
    </row>
    <row r="130" spans="1:29" ht="15" thickTop="1">
      <c r="A130" s="553"/>
      <c r="B130" s="500">
        <f>B46</f>
        <v>111</v>
      </c>
      <c r="C130" s="508"/>
      <c r="D130" s="508"/>
      <c r="E130" s="508"/>
      <c r="F130" s="508"/>
      <c r="G130" s="541"/>
      <c r="H130" s="541"/>
      <c r="I130" s="541"/>
      <c r="J130" s="541"/>
      <c r="K130" s="477"/>
      <c r="L130" s="478"/>
      <c r="M130" s="544"/>
      <c r="N130" s="2973"/>
      <c r="O130" s="2973"/>
      <c r="P130" s="2964"/>
      <c r="Q130" s="2959"/>
      <c r="R130" s="2945"/>
      <c r="S130" s="2945"/>
      <c r="T130" s="2945"/>
      <c r="U130" s="2945"/>
      <c r="V130" s="2945"/>
      <c r="W130" s="2945"/>
      <c r="X130" s="2945"/>
      <c r="Y130" s="2945"/>
      <c r="Z130" s="2945"/>
      <c r="AA130" s="2945"/>
      <c r="AB130" s="2945"/>
      <c r="AC130" s="2945"/>
    </row>
    <row r="131" spans="1:29" ht="15.75" thickBot="1">
      <c r="A131" s="2110"/>
      <c r="B131" s="523"/>
      <c r="C131" s="524"/>
      <c r="D131" s="524"/>
      <c r="E131" s="524"/>
      <c r="F131" s="524"/>
      <c r="G131" s="545"/>
      <c r="H131" s="545"/>
      <c r="I131" s="545"/>
      <c r="J131" s="545"/>
      <c r="K131" s="545"/>
      <c r="L131" s="545"/>
      <c r="M131" s="546"/>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中国民生信托有限公司：</v>
      </c>
    </row>
    <row r="4" spans="1:1" ht="18">
      <c r="A4" s="1663" t="str">
        <f>"受贵公司委托，我公司对"&amp;项目基本情况!S1&amp;"进行了预评估。"</f>
        <v>受贵公司委托，我公司对四川省雅安市雨城区熊猫大道66号等6处商业用房房地产市场价值进行了预评估。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雅安市雨城区熊猫大道66号等6处商业用房房地产，为雅安万达广场置业有限公司所有。根据《不动产权证书》[川（2017）雅安市不动产权第0006537号]，估价对象（分摊）出让国有建设用地使用权面积为47924.04平方米，建筑面积为96983.22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雅安市雨城区熊猫大道66号等6处商业用房房地产,为雅安万达广场置业有限公司开发建设的商业项目，该项目尚在开发建设中。根据《不动产权证书》[川（2017）雅安市不动产权第0006537号]，估价对象（分摊）出让国有建设用地使用权面积为47924.04平方米，规划建筑面积为96983.22平方米。</v>
      </c>
    </row>
    <row r="11" spans="1:1" ht="76.5">
      <c r="A11" s="1666" t="s">
        <v>1581</v>
      </c>
    </row>
    <row r="12" spans="1:1" ht="18.75">
      <c r="A12" s="1664" t="s">
        <v>1582</v>
      </c>
    </row>
    <row r="13" spans="1:1" ht="38.25" customHeight="1">
      <c r="A13" s="1667" t="str">
        <f>IF(项目基本情况!B8="抵押",IF(项目基本情况!B5=项目基本情况!B6,定义!C51,定义!B51),定义!D51)</f>
        <v>雅安万达广场置业有限公司拟使用四川省雅安市雨城区熊猫大道66号等6处商业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2021年6月15日（评估专业人员实地查勘之日）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电、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139" t="s">
        <v>2499</v>
      </c>
      <c r="C1" s="1389" t="s">
        <v>2343</v>
      </c>
      <c r="D1" s="1390"/>
      <c r="E1" s="1399"/>
      <c r="F1" s="2061"/>
      <c r="G1" s="1400" t="s">
        <v>2456</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2143</v>
      </c>
      <c r="B2" s="1323" t="e">
        <f ca="1">IF(C2="——",ROUND(C50*D3/10000,0),ROUND(C50*D3/10000,0)-D2)</f>
        <v>#DIV/0!</v>
      </c>
      <c r="C2" s="2063"/>
      <c r="D2" s="1272" t="e">
        <f ca="1">SUMIF(INDIRECT("'"&amp;F2&amp;"'"&amp;"!A:A"),"承租人权益价值",INDIRECT("'"&amp;F2&amp;"'"&amp;"!c:c"))</f>
        <v>#REF!</v>
      </c>
      <c r="E2" s="2064" t="s">
        <v>2144</v>
      </c>
      <c r="F2" s="2065"/>
      <c r="G2" s="1036"/>
      <c r="H2" s="1036"/>
      <c r="I2" s="1036"/>
      <c r="J2" s="1036"/>
      <c r="K2" s="1036"/>
      <c r="L2" s="2954"/>
      <c r="M2" s="2955"/>
      <c r="N2" s="2955"/>
      <c r="O2" s="2955"/>
      <c r="P2" s="705"/>
      <c r="Q2" s="705"/>
      <c r="R2" s="705"/>
      <c r="S2" s="705"/>
      <c r="T2" s="705"/>
      <c r="U2" s="705"/>
      <c r="V2" s="705"/>
      <c r="W2" s="705"/>
      <c r="X2" s="705"/>
      <c r="Y2" s="705"/>
      <c r="Z2" s="705"/>
      <c r="AA2" s="705"/>
      <c r="AB2" s="705"/>
      <c r="AC2" s="706"/>
    </row>
    <row r="3" spans="1:29" s="355" customFormat="1" ht="28.5" customHeight="1" thickBot="1">
      <c r="A3" s="206" t="s">
        <v>2145</v>
      </c>
      <c r="B3" s="563" t="e">
        <f ca="1">IF(C2="——",C50,ROUND(B2*10000/D3,0))</f>
        <v>#DIV/0!</v>
      </c>
      <c r="C3" s="357" t="s">
        <v>2457</v>
      </c>
      <c r="D3" s="356">
        <f>IF(D1="",'数据-汇总表'!E3,SUMIF('数据-汇总表'!$C19:$C33,D1,'数据-汇总表'!$E19:$E33))</f>
        <v>96983.22</v>
      </c>
      <c r="E3" s="2136"/>
      <c r="F3" s="1037"/>
      <c r="G3" s="1036"/>
      <c r="H3" s="1036"/>
      <c r="I3" s="1036"/>
      <c r="J3" s="1036"/>
      <c r="K3" s="1038"/>
      <c r="L3" s="2954"/>
      <c r="M3" s="2955"/>
      <c r="N3" s="2955"/>
      <c r="O3" s="2955"/>
      <c r="P3" s="705"/>
      <c r="Q3" s="705"/>
      <c r="R3" s="705"/>
      <c r="S3" s="705"/>
      <c r="T3" s="705"/>
      <c r="U3" s="705"/>
      <c r="V3" s="705"/>
      <c r="W3" s="705"/>
      <c r="X3" s="705"/>
      <c r="Y3" s="705"/>
      <c r="Z3" s="705"/>
      <c r="AA3" s="705"/>
      <c r="AB3" s="705"/>
      <c r="AC3" s="706"/>
    </row>
    <row r="4" spans="1:29" ht="15">
      <c r="A4" s="358" t="s">
        <v>2458</v>
      </c>
      <c r="B4" s="359"/>
      <c r="C4" s="3319" t="s">
        <v>2459</v>
      </c>
      <c r="D4" s="3320"/>
      <c r="E4" s="3321" t="s">
        <v>2460</v>
      </c>
      <c r="F4" s="3322"/>
      <c r="G4" s="3319" t="s">
        <v>2461</v>
      </c>
      <c r="H4" s="3320"/>
      <c r="I4" s="3319" t="s">
        <v>2462</v>
      </c>
      <c r="J4" s="3320"/>
      <c r="K4" s="564" t="s">
        <v>2463</v>
      </c>
      <c r="L4" s="2935"/>
      <c r="M4" s="2936"/>
      <c r="N4" s="2936"/>
      <c r="O4" s="2936"/>
      <c r="P4" s="3353" t="s">
        <v>2464</v>
      </c>
      <c r="Q4" s="3354"/>
      <c r="R4" s="3348" t="s">
        <v>2460</v>
      </c>
      <c r="S4" s="3349"/>
      <c r="T4" s="3348" t="s">
        <v>2461</v>
      </c>
      <c r="U4" s="3349"/>
      <c r="V4" s="3357" t="s">
        <v>2462</v>
      </c>
      <c r="W4" s="3357"/>
      <c r="X4" s="2140"/>
      <c r="Y4" s="3348" t="s">
        <v>2464</v>
      </c>
      <c r="Z4" s="3349"/>
      <c r="AA4" s="3347" t="s">
        <v>2460</v>
      </c>
      <c r="AB4" s="3347" t="s">
        <v>2461</v>
      </c>
      <c r="AC4" s="3350" t="s">
        <v>2462</v>
      </c>
    </row>
    <row r="5" spans="1:29" ht="15">
      <c r="A5" s="361"/>
      <c r="B5" s="362"/>
      <c r="C5" s="3312" t="s">
        <v>2355</v>
      </c>
      <c r="D5" s="3313"/>
      <c r="E5" s="3310" t="s">
        <v>2356</v>
      </c>
      <c r="F5" s="3311"/>
      <c r="G5" s="3312" t="s">
        <v>2357</v>
      </c>
      <c r="H5" s="3313"/>
      <c r="I5" s="3312" t="s">
        <v>2358</v>
      </c>
      <c r="J5" s="3313"/>
      <c r="K5" s="564"/>
      <c r="L5" s="2935"/>
      <c r="M5" s="2936"/>
      <c r="N5" s="2936"/>
      <c r="O5" s="2936"/>
      <c r="P5" s="3355"/>
      <c r="Q5" s="3326"/>
      <c r="R5" s="3308"/>
      <c r="S5" s="3309"/>
      <c r="T5" s="3308"/>
      <c r="U5" s="3309"/>
      <c r="V5" s="3331"/>
      <c r="W5" s="3331"/>
      <c r="X5" s="1537"/>
      <c r="Y5" s="3308"/>
      <c r="Z5" s="3309"/>
      <c r="AA5" s="3302"/>
      <c r="AB5" s="3302"/>
      <c r="AC5" s="3351"/>
    </row>
    <row r="6" spans="1:29" ht="15.75" thickBot="1">
      <c r="A6" s="363"/>
      <c r="B6" s="364"/>
      <c r="C6" s="3314" t="s">
        <v>2359</v>
      </c>
      <c r="D6" s="3315"/>
      <c r="E6" s="3316" t="s">
        <v>2359</v>
      </c>
      <c r="F6" s="3317"/>
      <c r="G6" s="3314" t="s">
        <v>2359</v>
      </c>
      <c r="H6" s="3315"/>
      <c r="I6" s="3314" t="s">
        <v>2359</v>
      </c>
      <c r="J6" s="3315"/>
      <c r="K6" s="564" t="s">
        <v>2360</v>
      </c>
      <c r="L6" s="2935"/>
      <c r="M6" s="2936"/>
      <c r="N6" s="2936"/>
      <c r="O6" s="2936"/>
      <c r="P6" s="3356"/>
      <c r="Q6" s="3328"/>
      <c r="R6" s="3308"/>
      <c r="S6" s="3309"/>
      <c r="T6" s="3329"/>
      <c r="U6" s="3330"/>
      <c r="V6" s="3331"/>
      <c r="W6" s="3331"/>
      <c r="X6" s="1537"/>
      <c r="Y6" s="3329"/>
      <c r="Z6" s="3330"/>
      <c r="AA6" s="3303"/>
      <c r="AB6" s="3303"/>
      <c r="AC6" s="3352"/>
    </row>
    <row r="7" spans="1:29" s="112" customFormat="1" ht="15.75" thickBot="1">
      <c r="A7" s="365" t="s">
        <v>2361</v>
      </c>
      <c r="B7" s="366"/>
      <c r="C7" s="367">
        <f>'数据-取费表'!B2</f>
        <v>44362</v>
      </c>
      <c r="D7" s="368">
        <v>100</v>
      </c>
      <c r="E7" s="369"/>
      <c r="F7" s="370">
        <f>SUMIF(59:59,YEAR(E7)&amp;"-"&amp;MONTH(E7),60:60)</f>
        <v>0</v>
      </c>
      <c r="G7" s="369"/>
      <c r="H7" s="368">
        <f>SUMIF(59:59,YEAR(G7)&amp;"-"&amp;MONTH(G7),60:60)</f>
        <v>0</v>
      </c>
      <c r="I7" s="369"/>
      <c r="J7" s="368">
        <f>SUMIF(59:59,YEAR(I7)&amp;"-"&amp;MONTH(I7),60:60)</f>
        <v>0</v>
      </c>
      <c r="K7" s="565"/>
      <c r="L7" s="2937"/>
      <c r="M7" s="2938"/>
      <c r="N7" s="2938"/>
      <c r="O7" s="2938"/>
      <c r="P7" s="3358" t="s">
        <v>2362</v>
      </c>
      <c r="Q7" s="3332"/>
      <c r="R7" s="707" t="s">
        <v>17</v>
      </c>
      <c r="S7" s="708">
        <f t="shared" ref="S7:S15" si="0">F7</f>
        <v>0</v>
      </c>
      <c r="T7" s="707" t="s">
        <v>17</v>
      </c>
      <c r="U7" s="708">
        <f t="shared" ref="U7:U15" si="1">H7</f>
        <v>0</v>
      </c>
      <c r="V7" s="707" t="s">
        <v>17</v>
      </c>
      <c r="W7" s="708">
        <f t="shared" ref="W7:W15" si="2">J7</f>
        <v>0</v>
      </c>
      <c r="X7" s="709"/>
      <c r="Y7" s="3304" t="s">
        <v>2362</v>
      </c>
      <c r="Z7" s="3305"/>
      <c r="AA7" s="710" t="e">
        <f>D7/F7</f>
        <v>#DIV/0!</v>
      </c>
      <c r="AB7" s="710" t="e">
        <f>D7/H7</f>
        <v>#DIV/0!</v>
      </c>
      <c r="AC7" s="2141" t="e">
        <f>D7/J7</f>
        <v>#DIV/0!</v>
      </c>
    </row>
    <row r="8" spans="1:29" s="112" customFormat="1" ht="15.75" thickBot="1">
      <c r="A8" s="365" t="s">
        <v>2363</v>
      </c>
      <c r="B8" s="366"/>
      <c r="C8" s="371" t="s">
        <v>2465</v>
      </c>
      <c r="D8" s="368">
        <v>100</v>
      </c>
      <c r="E8" s="371"/>
      <c r="F8" s="370">
        <f>SUMIF(62:62,E8,63:63)-SUMIF(62:62,C8,63:63)+100</f>
        <v>0</v>
      </c>
      <c r="G8" s="371"/>
      <c r="H8" s="368">
        <f>SUMIF(62:62,G8,63:63)-SUMIF(62:62,C8,63:63)+100</f>
        <v>0</v>
      </c>
      <c r="I8" s="371"/>
      <c r="J8" s="368">
        <f>SUMIF(62:62,I8,63:63)-SUMIF(62:62,C8,63:63)+100</f>
        <v>0</v>
      </c>
      <c r="K8" s="565"/>
      <c r="L8" s="2937"/>
      <c r="M8" s="2938"/>
      <c r="N8" s="2938"/>
      <c r="O8" s="2938"/>
      <c r="P8" s="3358" t="s">
        <v>2365</v>
      </c>
      <c r="Q8" s="3305"/>
      <c r="R8" s="707" t="s">
        <v>17</v>
      </c>
      <c r="S8" s="708">
        <f t="shared" si="0"/>
        <v>0</v>
      </c>
      <c r="T8" s="707" t="s">
        <v>17</v>
      </c>
      <c r="U8" s="708">
        <f t="shared" si="1"/>
        <v>0</v>
      </c>
      <c r="V8" s="707" t="s">
        <v>17</v>
      </c>
      <c r="W8" s="708">
        <f t="shared" si="2"/>
        <v>0</v>
      </c>
      <c r="X8" s="709"/>
      <c r="Y8" s="3304" t="s">
        <v>2365</v>
      </c>
      <c r="Z8" s="3305"/>
      <c r="AA8" s="710" t="e">
        <f t="shared" ref="AA8:AA47" si="3">D8/F8</f>
        <v>#DIV/0!</v>
      </c>
      <c r="AB8" s="710" t="e">
        <f t="shared" ref="AB8:AB47" si="4">D8/H8</f>
        <v>#DIV/0!</v>
      </c>
      <c r="AC8" s="2141" t="e">
        <f t="shared" ref="AC8:AC47" si="5">D8/J8</f>
        <v>#DIV/0!</v>
      </c>
    </row>
    <row r="9" spans="1:29" s="112" customFormat="1">
      <c r="A9" s="372" t="s">
        <v>2366</v>
      </c>
      <c r="B9" s="67" t="s">
        <v>2367</v>
      </c>
      <c r="C9" s="373"/>
      <c r="D9" s="128">
        <v>100</v>
      </c>
      <c r="E9" s="376"/>
      <c r="F9" s="128">
        <f>SUMIF(64:64,E9,65:65)-SUMIF(64:64,C9,65:65)+100</f>
        <v>100</v>
      </c>
      <c r="G9" s="374"/>
      <c r="H9" s="128">
        <f>SUMIF(64:64,G9,65:65)-SUMIF(64:64,C9,65:65)+100</f>
        <v>100</v>
      </c>
      <c r="I9" s="374"/>
      <c r="J9" s="128">
        <f>SUMIF(64:64,I9,65:65)-SUMIF(64:64,C9,65:65)+100</f>
        <v>100</v>
      </c>
      <c r="K9" s="565"/>
      <c r="L9" s="2937"/>
      <c r="M9" s="2938"/>
      <c r="N9" s="2938"/>
      <c r="O9" s="2938"/>
      <c r="P9" s="3318" t="s">
        <v>2368</v>
      </c>
      <c r="Q9" s="1525" t="str">
        <f t="shared" ref="Q9:Q15" si="6">B9</f>
        <v>用途</v>
      </c>
      <c r="R9" s="707" t="s">
        <v>17</v>
      </c>
      <c r="S9" s="708">
        <f t="shared" si="0"/>
        <v>100</v>
      </c>
      <c r="T9" s="707" t="s">
        <v>17</v>
      </c>
      <c r="U9" s="708">
        <f t="shared" si="1"/>
        <v>100</v>
      </c>
      <c r="V9" s="707" t="s">
        <v>17</v>
      </c>
      <c r="W9" s="708">
        <f t="shared" si="2"/>
        <v>100</v>
      </c>
      <c r="X9" s="709"/>
      <c r="Y9" s="3245" t="s">
        <v>2369</v>
      </c>
      <c r="Z9" s="55" t="str">
        <f t="shared" ref="Z9:Z15" si="7">Q9</f>
        <v>用途</v>
      </c>
      <c r="AA9" s="710">
        <f t="shared" si="3"/>
        <v>1</v>
      </c>
      <c r="AB9" s="710">
        <f t="shared" si="4"/>
        <v>1</v>
      </c>
      <c r="AC9" s="2141">
        <f t="shared" si="5"/>
        <v>1</v>
      </c>
    </row>
    <row r="10" spans="1:29" s="383" customFormat="1" ht="27">
      <c r="A10" s="377"/>
      <c r="B10" s="378" t="s">
        <v>2370</v>
      </c>
      <c r="C10" s="379"/>
      <c r="D10" s="129">
        <v>100</v>
      </c>
      <c r="E10" s="379"/>
      <c r="F10" s="129">
        <f>SUMIF(66:66,E10,67:67)-SUMIF(66:66,C10,67:67)+100</f>
        <v>100</v>
      </c>
      <c r="G10" s="380"/>
      <c r="H10" s="129">
        <f>SUMIF(66:66,G10,67:67)-SUMIF(66:66,C10,67:67)+100</f>
        <v>100</v>
      </c>
      <c r="I10" s="379"/>
      <c r="J10" s="129">
        <f>SUMIF(66:66,I10,67:67)-SUMIF(66:66,C10,67:67)+100</f>
        <v>100</v>
      </c>
      <c r="K10" s="566"/>
      <c r="L10" s="2939"/>
      <c r="M10" s="2940"/>
      <c r="N10" s="2940"/>
      <c r="O10" s="2940"/>
      <c r="P10" s="3318"/>
      <c r="Q10" s="1525" t="str">
        <f t="shared" si="6"/>
        <v>土地使用年限（年）</v>
      </c>
      <c r="R10" s="707" t="s">
        <v>17</v>
      </c>
      <c r="S10" s="708">
        <f t="shared" si="0"/>
        <v>100</v>
      </c>
      <c r="T10" s="707" t="s">
        <v>17</v>
      </c>
      <c r="U10" s="708">
        <f t="shared" si="1"/>
        <v>100</v>
      </c>
      <c r="V10" s="707" t="s">
        <v>17</v>
      </c>
      <c r="W10" s="708">
        <f t="shared" si="2"/>
        <v>100</v>
      </c>
      <c r="X10" s="709"/>
      <c r="Y10" s="3245"/>
      <c r="Z10" s="55" t="str">
        <f t="shared" si="7"/>
        <v>土地使用年限（年）</v>
      </c>
      <c r="AA10" s="710">
        <f t="shared" si="3"/>
        <v>1</v>
      </c>
      <c r="AB10" s="710">
        <f t="shared" si="4"/>
        <v>1</v>
      </c>
      <c r="AC10" s="2141">
        <f t="shared" si="5"/>
        <v>1</v>
      </c>
    </row>
    <row r="11" spans="1:29" ht="15">
      <c r="A11" s="384"/>
      <c r="B11" s="378" t="s">
        <v>2371</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1"/>
      <c r="M11" s="2936"/>
      <c r="N11" s="2936"/>
      <c r="O11" s="2936"/>
      <c r="P11" s="3318"/>
      <c r="Q11" s="1525" t="str">
        <f t="shared" si="6"/>
        <v>容积率</v>
      </c>
      <c r="R11" s="707" t="s">
        <v>17</v>
      </c>
      <c r="S11" s="708" t="e">
        <f t="shared" si="0"/>
        <v>#N/A</v>
      </c>
      <c r="T11" s="707" t="s">
        <v>17</v>
      </c>
      <c r="U11" s="708" t="e">
        <f t="shared" si="1"/>
        <v>#N/A</v>
      </c>
      <c r="V11" s="707" t="s">
        <v>17</v>
      </c>
      <c r="W11" s="708" t="e">
        <f t="shared" si="2"/>
        <v>#N/A</v>
      </c>
      <c r="X11" s="709"/>
      <c r="Y11" s="3245"/>
      <c r="Z11" s="55" t="str">
        <f t="shared" si="7"/>
        <v>容积率</v>
      </c>
      <c r="AA11" s="710" t="e">
        <f t="shared" si="3"/>
        <v>#N/A</v>
      </c>
      <c r="AB11" s="710" t="e">
        <f t="shared" si="4"/>
        <v>#N/A</v>
      </c>
      <c r="AC11" s="2141" t="e">
        <f t="shared" si="5"/>
        <v>#N/A</v>
      </c>
    </row>
    <row r="12" spans="1:29" s="112" customFormat="1" ht="15">
      <c r="A12" s="387"/>
      <c r="B12" s="2075">
        <v>111</v>
      </c>
      <c r="C12" s="388"/>
      <c r="D12" s="389">
        <v>100</v>
      </c>
      <c r="E12" s="388"/>
      <c r="F12" s="129">
        <f>SUMIF(71:71,E12,72:72)-SUMIF(71:71,C12,72:72)+100</f>
        <v>100</v>
      </c>
      <c r="G12" s="2142"/>
      <c r="H12" s="129">
        <f>SUMIF(71:71,G12,72:72)-SUMIF(71:71,C12,72:72)+100</f>
        <v>100</v>
      </c>
      <c r="I12" s="388"/>
      <c r="J12" s="129">
        <f>SUMIF(71:71,I12,72:72)-SUMIF(71:71,C12,72:72)+100</f>
        <v>100</v>
      </c>
      <c r="K12" s="567"/>
      <c r="L12" s="2937"/>
      <c r="M12" s="2938"/>
      <c r="N12" s="2938"/>
      <c r="O12" s="2938"/>
      <c r="P12" s="3318"/>
      <c r="Q12" s="1525">
        <f t="shared" si="6"/>
        <v>111</v>
      </c>
      <c r="R12" s="707" t="s">
        <v>17</v>
      </c>
      <c r="S12" s="708">
        <f t="shared" si="0"/>
        <v>100</v>
      </c>
      <c r="T12" s="707" t="s">
        <v>17</v>
      </c>
      <c r="U12" s="708">
        <f t="shared" si="1"/>
        <v>100</v>
      </c>
      <c r="V12" s="707" t="s">
        <v>17</v>
      </c>
      <c r="W12" s="708">
        <f t="shared" si="2"/>
        <v>100</v>
      </c>
      <c r="X12" s="709"/>
      <c r="Y12" s="3245"/>
      <c r="Z12" s="55">
        <f t="shared" si="7"/>
        <v>111</v>
      </c>
      <c r="AA12" s="710">
        <f>D12/F12</f>
        <v>1</v>
      </c>
      <c r="AB12" s="710">
        <f>D12/H12</f>
        <v>1</v>
      </c>
      <c r="AC12" s="2141">
        <f>D12/J12</f>
        <v>1</v>
      </c>
    </row>
    <row r="13" spans="1:29" ht="15">
      <c r="A13" s="384"/>
      <c r="B13" s="2075">
        <v>111</v>
      </c>
      <c r="C13" s="390"/>
      <c r="D13" s="391">
        <v>100</v>
      </c>
      <c r="E13" s="388"/>
      <c r="F13" s="129">
        <f>SUMIF(73:73,E13,74:74)-SUMIF(73:73,C13,74:74)+100</f>
        <v>100</v>
      </c>
      <c r="G13" s="2142"/>
      <c r="H13" s="391">
        <f>SUMIF(73:73,G13,74:74)-SUMIF(73:73,C13,74:74)+100</f>
        <v>100</v>
      </c>
      <c r="I13" s="388"/>
      <c r="J13" s="391">
        <f>SUMIF(73:73,I13,74:74)-SUMIF(73:73,C13,74:74)+100</f>
        <v>100</v>
      </c>
      <c r="K13" s="567"/>
      <c r="L13" s="2942"/>
      <c r="M13" s="2936"/>
      <c r="N13" s="2936"/>
      <c r="O13" s="2936"/>
      <c r="P13" s="3318"/>
      <c r="Q13" s="1525">
        <f t="shared" si="6"/>
        <v>111</v>
      </c>
      <c r="R13" s="707" t="s">
        <v>17</v>
      </c>
      <c r="S13" s="708">
        <f t="shared" si="0"/>
        <v>100</v>
      </c>
      <c r="T13" s="707" t="s">
        <v>17</v>
      </c>
      <c r="U13" s="708">
        <f t="shared" si="1"/>
        <v>100</v>
      </c>
      <c r="V13" s="707" t="s">
        <v>17</v>
      </c>
      <c r="W13" s="708">
        <f t="shared" si="2"/>
        <v>100</v>
      </c>
      <c r="X13" s="709"/>
      <c r="Y13" s="3245"/>
      <c r="Z13" s="55">
        <f t="shared" si="7"/>
        <v>111</v>
      </c>
      <c r="AA13" s="710">
        <f t="shared" si="3"/>
        <v>1</v>
      </c>
      <c r="AB13" s="710">
        <f t="shared" si="4"/>
        <v>1</v>
      </c>
      <c r="AC13" s="2141">
        <f t="shared" si="5"/>
        <v>1</v>
      </c>
    </row>
    <row r="14" spans="1:29" ht="15.75" thickBot="1">
      <c r="A14" s="392"/>
      <c r="B14" s="2077">
        <v>111</v>
      </c>
      <c r="C14" s="393"/>
      <c r="D14" s="394">
        <v>100</v>
      </c>
      <c r="E14" s="581"/>
      <c r="F14" s="394">
        <f>SUMIF(75:75,E14,76:76)-SUMIF(75:75,C14,76:76)+100</f>
        <v>100</v>
      </c>
      <c r="G14" s="2142"/>
      <c r="H14" s="394">
        <f>SUMIF(75:75,G14,76:76)-SUMIF(75:75,C14,76:76)+100</f>
        <v>100</v>
      </c>
      <c r="I14" s="388"/>
      <c r="J14" s="394">
        <f>SUMIF(75:75,I14,76:76)-SUMIF(75:75,C14,76:76)+100</f>
        <v>100</v>
      </c>
      <c r="K14" s="567"/>
      <c r="L14" s="2942"/>
      <c r="M14" s="2936"/>
      <c r="N14" s="2936"/>
      <c r="O14" s="2936"/>
      <c r="P14" s="3318"/>
      <c r="Q14" s="1525">
        <f t="shared" si="6"/>
        <v>111</v>
      </c>
      <c r="R14" s="707" t="s">
        <v>17</v>
      </c>
      <c r="S14" s="708">
        <f t="shared" si="0"/>
        <v>100</v>
      </c>
      <c r="T14" s="707" t="s">
        <v>17</v>
      </c>
      <c r="U14" s="708">
        <f t="shared" si="1"/>
        <v>100</v>
      </c>
      <c r="V14" s="707" t="s">
        <v>17</v>
      </c>
      <c r="W14" s="708">
        <f t="shared" si="2"/>
        <v>100</v>
      </c>
      <c r="X14" s="709"/>
      <c r="Y14" s="3245"/>
      <c r="Z14" s="55">
        <f t="shared" si="7"/>
        <v>111</v>
      </c>
      <c r="AA14" s="710">
        <f t="shared" si="3"/>
        <v>1</v>
      </c>
      <c r="AB14" s="710">
        <f t="shared" si="4"/>
        <v>1</v>
      </c>
      <c r="AC14" s="2141">
        <f t="shared" si="5"/>
        <v>1</v>
      </c>
    </row>
    <row r="15" spans="1:29" ht="71.25">
      <c r="A15" s="396" t="s">
        <v>2372</v>
      </c>
      <c r="B15" s="582" t="s">
        <v>2500</v>
      </c>
      <c r="C15" s="2143">
        <f>估价对象房地状况!C5</f>
        <v>0</v>
      </c>
      <c r="D15" s="397">
        <v>100</v>
      </c>
      <c r="E15" s="400"/>
      <c r="F15" s="397">
        <f>SUMIF(77:77,E16,78:78)-SUMIF(77:77,C16,78:78)+100</f>
        <v>100</v>
      </c>
      <c r="G15" s="398"/>
      <c r="H15" s="397">
        <f>SUMIF(77:77,G16,78:78)-SUMIF(77:77,C16,78:78)+100</f>
        <v>100</v>
      </c>
      <c r="I15" s="398"/>
      <c r="J15" s="397">
        <f>SUMIF(77:77,I16,78:78)-SUMIF(77:77,C16,78:78)+100</f>
        <v>100</v>
      </c>
      <c r="K15" s="568"/>
      <c r="L15" s="2942"/>
      <c r="M15" s="2936"/>
      <c r="N15" s="2936"/>
      <c r="O15" s="2936"/>
      <c r="P15" s="3345" t="s">
        <v>2373</v>
      </c>
      <c r="Q15" s="1534" t="str">
        <f t="shared" si="6"/>
        <v>办公集聚程度</v>
      </c>
      <c r="R15" s="711" t="s">
        <v>17</v>
      </c>
      <c r="S15" s="712">
        <f t="shared" si="0"/>
        <v>100</v>
      </c>
      <c r="T15" s="711" t="s">
        <v>17</v>
      </c>
      <c r="U15" s="712">
        <f t="shared" si="1"/>
        <v>100</v>
      </c>
      <c r="V15" s="711" t="s">
        <v>17</v>
      </c>
      <c r="W15" s="712">
        <f t="shared" si="2"/>
        <v>100</v>
      </c>
      <c r="X15" s="1537"/>
      <c r="Y15" s="3338" t="s">
        <v>2373</v>
      </c>
      <c r="Z15" s="1538" t="str">
        <f t="shared" si="7"/>
        <v>办公集聚程度</v>
      </c>
      <c r="AA15" s="1535">
        <f t="shared" si="3"/>
        <v>1</v>
      </c>
      <c r="AB15" s="1535">
        <f t="shared" si="4"/>
        <v>1</v>
      </c>
      <c r="AC15" s="2144">
        <f t="shared" si="5"/>
        <v>1</v>
      </c>
    </row>
    <row r="16" spans="1:29" ht="15">
      <c r="A16" s="384"/>
      <c r="B16" s="583"/>
      <c r="C16" s="2086"/>
      <c r="D16" s="404"/>
      <c r="E16" s="403"/>
      <c r="F16" s="404"/>
      <c r="G16" s="2086"/>
      <c r="H16" s="406"/>
      <c r="I16" s="403"/>
      <c r="J16" s="404"/>
      <c r="K16" s="569"/>
      <c r="L16" s="2942"/>
      <c r="M16" s="2936"/>
      <c r="N16" s="2936"/>
      <c r="O16" s="2936"/>
      <c r="P16" s="3346"/>
      <c r="Q16" s="1534"/>
      <c r="R16" s="711"/>
      <c r="S16" s="712"/>
      <c r="T16" s="711"/>
      <c r="U16" s="712"/>
      <c r="V16" s="711"/>
      <c r="W16" s="712"/>
      <c r="X16" s="1537"/>
      <c r="Y16" s="3339"/>
      <c r="Z16" s="1538"/>
      <c r="AA16" s="1535">
        <v>1</v>
      </c>
      <c r="AB16" s="1535">
        <v>1</v>
      </c>
      <c r="AC16" s="2144">
        <v>1</v>
      </c>
    </row>
    <row r="17" spans="1:29" ht="71.25">
      <c r="A17" s="384"/>
      <c r="B17" s="584" t="s">
        <v>1943</v>
      </c>
      <c r="C17" s="2145" t="str">
        <f>估价对象房地状况!C6</f>
        <v>较好</v>
      </c>
      <c r="D17" s="406">
        <v>100</v>
      </c>
      <c r="E17" s="410"/>
      <c r="F17" s="406">
        <f>SUMIF(79:79,E18,80:80)-SUMIF(79:79,C18,80:80)+100</f>
        <v>100</v>
      </c>
      <c r="G17" s="408"/>
      <c r="H17" s="411">
        <f>SUMIF(79:79,G18,80:80)-SUMIF(79:79,C18,80:80)+100</f>
        <v>100</v>
      </c>
      <c r="I17" s="408"/>
      <c r="J17" s="411">
        <f>SUMIF(79:79,I18,80:80)-SUMIF(79:79,C18,80:80)+100</f>
        <v>100</v>
      </c>
      <c r="K17" s="568"/>
      <c r="L17" s="2942"/>
      <c r="M17" s="2936"/>
      <c r="N17" s="2936"/>
      <c r="O17" s="2936"/>
      <c r="P17" s="3346"/>
      <c r="Q17" s="1534" t="str">
        <f>B17</f>
        <v>交通便捷度</v>
      </c>
      <c r="R17" s="711" t="s">
        <v>17</v>
      </c>
      <c r="S17" s="712">
        <f>F17</f>
        <v>100</v>
      </c>
      <c r="T17" s="711" t="s">
        <v>17</v>
      </c>
      <c r="U17" s="712">
        <f>H17</f>
        <v>100</v>
      </c>
      <c r="V17" s="711" t="s">
        <v>17</v>
      </c>
      <c r="W17" s="712">
        <f>J17</f>
        <v>100</v>
      </c>
      <c r="X17" s="1537"/>
      <c r="Y17" s="3339"/>
      <c r="Z17" s="1538" t="str">
        <f>Q17</f>
        <v>交通便捷度</v>
      </c>
      <c r="AA17" s="1535">
        <f t="shared" si="3"/>
        <v>1</v>
      </c>
      <c r="AB17" s="1535">
        <f t="shared" si="4"/>
        <v>1</v>
      </c>
      <c r="AC17" s="2144">
        <f t="shared" si="5"/>
        <v>1</v>
      </c>
    </row>
    <row r="18" spans="1:29" ht="15">
      <c r="A18" s="384"/>
      <c r="B18" s="585"/>
      <c r="C18" s="2146"/>
      <c r="D18" s="406"/>
      <c r="E18" s="2084"/>
      <c r="F18" s="406"/>
      <c r="G18" s="2085"/>
      <c r="H18" s="404"/>
      <c r="I18" s="2085"/>
      <c r="J18" s="404"/>
      <c r="K18" s="569"/>
      <c r="L18" s="2942"/>
      <c r="M18" s="2936"/>
      <c r="N18" s="2936"/>
      <c r="O18" s="2936"/>
      <c r="P18" s="3346"/>
      <c r="Q18" s="1534"/>
      <c r="R18" s="711"/>
      <c r="S18" s="712"/>
      <c r="T18" s="711"/>
      <c r="U18" s="712"/>
      <c r="V18" s="711"/>
      <c r="W18" s="712"/>
      <c r="X18" s="1537"/>
      <c r="Y18" s="3339"/>
      <c r="Z18" s="1538"/>
      <c r="AA18" s="1535">
        <v>1</v>
      </c>
      <c r="AB18" s="1535">
        <v>1</v>
      </c>
      <c r="AC18" s="2144">
        <v>1</v>
      </c>
    </row>
    <row r="19" spans="1:29" ht="42.75">
      <c r="A19" s="384"/>
      <c r="B19" s="584" t="s">
        <v>2501</v>
      </c>
      <c r="C19" s="2145" t="str">
        <f>估价对象房地状况!C7</f>
        <v>较好</v>
      </c>
      <c r="D19" s="411">
        <v>100</v>
      </c>
      <c r="E19" s="415"/>
      <c r="F19" s="411">
        <f>SUMIF(81:81,E20,82:82)-SUMIF(81:81,C20,82:82)+100</f>
        <v>100</v>
      </c>
      <c r="G19" s="413"/>
      <c r="H19" s="406">
        <f>SUMIF(81:81,G20,82:82)-SUMIF(81:81,C20,82:82)+100</f>
        <v>100</v>
      </c>
      <c r="I19" s="413"/>
      <c r="J19" s="406">
        <f>SUMIF(81:81,I20,82:82)-SUMIF(81:81,C20,82:82)+100</f>
        <v>100</v>
      </c>
      <c r="K19" s="568"/>
      <c r="L19" s="2942"/>
      <c r="M19" s="2936"/>
      <c r="N19" s="2936"/>
      <c r="O19" s="2936"/>
      <c r="P19" s="3346"/>
      <c r="Q19" s="1534" t="str">
        <f>B19</f>
        <v>公共配套设施</v>
      </c>
      <c r="R19" s="711" t="s">
        <v>17</v>
      </c>
      <c r="S19" s="712">
        <f>F19</f>
        <v>100</v>
      </c>
      <c r="T19" s="711" t="s">
        <v>17</v>
      </c>
      <c r="U19" s="712">
        <f>H19</f>
        <v>100</v>
      </c>
      <c r="V19" s="711" t="s">
        <v>17</v>
      </c>
      <c r="W19" s="712">
        <f>J19</f>
        <v>100</v>
      </c>
      <c r="X19" s="1537"/>
      <c r="Y19" s="3339"/>
      <c r="Z19" s="1538" t="str">
        <f>Q19</f>
        <v>公共配套设施</v>
      </c>
      <c r="AA19" s="1535">
        <f t="shared" si="3"/>
        <v>1</v>
      </c>
      <c r="AB19" s="1535">
        <f t="shared" si="4"/>
        <v>1</v>
      </c>
      <c r="AC19" s="2144">
        <f t="shared" si="5"/>
        <v>1</v>
      </c>
    </row>
    <row r="20" spans="1:29" ht="15">
      <c r="A20" s="384"/>
      <c r="B20" s="585"/>
      <c r="C20" s="2086"/>
      <c r="D20" s="404"/>
      <c r="E20" s="2079"/>
      <c r="F20" s="404"/>
      <c r="G20" s="2080"/>
      <c r="H20" s="404"/>
      <c r="I20" s="2080"/>
      <c r="J20" s="404"/>
      <c r="K20" s="569"/>
      <c r="L20" s="2942"/>
      <c r="M20" s="2936"/>
      <c r="N20" s="2936"/>
      <c r="O20" s="2936"/>
      <c r="P20" s="3346"/>
      <c r="Q20" s="1534"/>
      <c r="R20" s="711"/>
      <c r="S20" s="712"/>
      <c r="T20" s="711"/>
      <c r="U20" s="712"/>
      <c r="V20" s="711"/>
      <c r="W20" s="712"/>
      <c r="X20" s="1537"/>
      <c r="Y20" s="3339"/>
      <c r="Z20" s="1538"/>
      <c r="AA20" s="1535">
        <v>1</v>
      </c>
      <c r="AB20" s="1535">
        <v>1</v>
      </c>
      <c r="AC20" s="2144">
        <v>1</v>
      </c>
    </row>
    <row r="21" spans="1:29" ht="28.5">
      <c r="A21" s="384"/>
      <c r="B21" s="586" t="s">
        <v>2502</v>
      </c>
      <c r="C21" s="2145" t="str">
        <f>估价对象房地状况!C8</f>
        <v>六通</v>
      </c>
      <c r="D21" s="406">
        <v>100</v>
      </c>
      <c r="E21" s="415"/>
      <c r="F21" s="411">
        <f>SUMIF(83:83,E22,84:84)-SUMIF(83:83,C22,84:84)+100</f>
        <v>100</v>
      </c>
      <c r="G21" s="413"/>
      <c r="H21" s="406">
        <f>SUMIF(83:83,G22,84:84)-SUMIF(83:83,C22,84:84)+100</f>
        <v>100</v>
      </c>
      <c r="I21" s="413"/>
      <c r="J21" s="406">
        <f>SUMIF(83:83,I22,84:84)-SUMIF(83:83,C22,84:84)+100</f>
        <v>100</v>
      </c>
      <c r="K21" s="568"/>
      <c r="L21" s="2942"/>
      <c r="M21" s="2936"/>
      <c r="N21" s="2936"/>
      <c r="O21" s="2936"/>
      <c r="P21" s="3346"/>
      <c r="Q21" s="1534" t="str">
        <f>B21</f>
        <v>基础设施水平</v>
      </c>
      <c r="R21" s="711" t="s">
        <v>17</v>
      </c>
      <c r="S21" s="712">
        <f>F21</f>
        <v>100</v>
      </c>
      <c r="T21" s="711" t="s">
        <v>17</v>
      </c>
      <c r="U21" s="712">
        <f>H21</f>
        <v>100</v>
      </c>
      <c r="V21" s="711" t="s">
        <v>17</v>
      </c>
      <c r="W21" s="712">
        <f>J21</f>
        <v>100</v>
      </c>
      <c r="X21" s="1537"/>
      <c r="Y21" s="3339"/>
      <c r="Z21" s="1538" t="str">
        <f>Q21</f>
        <v>基础设施水平</v>
      </c>
      <c r="AA21" s="1535">
        <f t="shared" ref="AA21" si="8">D21/F21</f>
        <v>1</v>
      </c>
      <c r="AB21" s="1535">
        <f t="shared" ref="AB21" si="9">D21/H21</f>
        <v>1</v>
      </c>
      <c r="AC21" s="2144">
        <f t="shared" ref="AC21" si="10">D21/J21</f>
        <v>1</v>
      </c>
    </row>
    <row r="22" spans="1:29" ht="15">
      <c r="A22" s="384"/>
      <c r="B22" s="586"/>
      <c r="C22" s="2146"/>
      <c r="D22" s="404"/>
      <c r="E22" s="403"/>
      <c r="F22" s="404"/>
      <c r="G22" s="2086"/>
      <c r="H22" s="404"/>
      <c r="I22" s="2086"/>
      <c r="J22" s="404"/>
      <c r="K22" s="1289"/>
      <c r="L22" s="2942"/>
      <c r="M22" s="2936"/>
      <c r="N22" s="2936"/>
      <c r="O22" s="2936"/>
      <c r="P22" s="3346"/>
      <c r="Q22" s="1534"/>
      <c r="R22" s="711"/>
      <c r="S22" s="712"/>
      <c r="T22" s="711"/>
      <c r="U22" s="712"/>
      <c r="V22" s="711"/>
      <c r="W22" s="712"/>
      <c r="X22" s="1537"/>
      <c r="Y22" s="3339"/>
      <c r="Z22" s="1538"/>
      <c r="AA22" s="1535">
        <v>1</v>
      </c>
      <c r="AB22" s="1535">
        <v>1</v>
      </c>
      <c r="AC22" s="2144">
        <v>1</v>
      </c>
    </row>
    <row r="23" spans="1:29" ht="42.75">
      <c r="A23" s="384"/>
      <c r="B23" s="584" t="s">
        <v>2503</v>
      </c>
      <c r="C23" s="2145" t="str">
        <f>估价对象房地状况!C9</f>
        <v>较好</v>
      </c>
      <c r="D23" s="406">
        <v>100</v>
      </c>
      <c r="E23" s="410"/>
      <c r="F23" s="406">
        <f>SUMIF(85:85,E24,86:86)-SUMIF(85:85,C24,86:86)+100</f>
        <v>100</v>
      </c>
      <c r="G23" s="408"/>
      <c r="H23" s="406">
        <f>SUMIF(85:85,G24,86:86)-SUMIF(85:85,C24,86:86)+100</f>
        <v>100</v>
      </c>
      <c r="I23" s="408"/>
      <c r="J23" s="406">
        <f>SUMIF(85:85,I24,86:86)-SUMIF(85:85,C24,86:86)+100</f>
        <v>100</v>
      </c>
      <c r="K23" s="568"/>
      <c r="L23" s="2942"/>
      <c r="M23" s="2936"/>
      <c r="N23" s="2936"/>
      <c r="O23" s="2936"/>
      <c r="P23" s="3346"/>
      <c r="Q23" s="1534" t="str">
        <f>B23</f>
        <v>环境质量</v>
      </c>
      <c r="R23" s="711" t="s">
        <v>17</v>
      </c>
      <c r="S23" s="712">
        <f>F23</f>
        <v>100</v>
      </c>
      <c r="T23" s="711" t="s">
        <v>17</v>
      </c>
      <c r="U23" s="712">
        <f>H23</f>
        <v>100</v>
      </c>
      <c r="V23" s="711" t="s">
        <v>17</v>
      </c>
      <c r="W23" s="712">
        <f>J23</f>
        <v>100</v>
      </c>
      <c r="X23" s="1537"/>
      <c r="Y23" s="3339"/>
      <c r="Z23" s="1538" t="str">
        <f>Q23</f>
        <v>环境质量</v>
      </c>
      <c r="AA23" s="1535">
        <f t="shared" si="3"/>
        <v>1</v>
      </c>
      <c r="AB23" s="1535">
        <f t="shared" si="4"/>
        <v>1</v>
      </c>
      <c r="AC23" s="2144">
        <f t="shared" si="5"/>
        <v>1</v>
      </c>
    </row>
    <row r="24" spans="1:29" ht="15">
      <c r="A24" s="384"/>
      <c r="B24" s="586"/>
      <c r="C24" s="2086"/>
      <c r="D24" s="404"/>
      <c r="E24" s="2079"/>
      <c r="F24" s="404"/>
      <c r="G24" s="2080"/>
      <c r="H24" s="404"/>
      <c r="I24" s="2080"/>
      <c r="J24" s="404"/>
      <c r="K24" s="569"/>
      <c r="L24" s="2942"/>
      <c r="M24" s="2936"/>
      <c r="N24" s="2936"/>
      <c r="O24" s="2936"/>
      <c r="P24" s="3346"/>
      <c r="Q24" s="1534"/>
      <c r="R24" s="711"/>
      <c r="S24" s="712"/>
      <c r="T24" s="711"/>
      <c r="U24" s="712"/>
      <c r="V24" s="711"/>
      <c r="W24" s="712"/>
      <c r="X24" s="1537"/>
      <c r="Y24" s="3339"/>
      <c r="Z24" s="1538"/>
      <c r="AA24" s="1535">
        <v>1</v>
      </c>
      <c r="AB24" s="1535">
        <v>1</v>
      </c>
      <c r="AC24" s="2144">
        <v>1</v>
      </c>
    </row>
    <row r="25" spans="1:29" ht="27">
      <c r="A25" s="361"/>
      <c r="B25" s="584" t="s">
        <v>2504</v>
      </c>
      <c r="C25" s="2090"/>
      <c r="D25" s="391">
        <v>100</v>
      </c>
      <c r="E25" s="390"/>
      <c r="F25" s="391">
        <f>SUMIF(87:87,E26,88:88)-SUMIF(87:87,C26,88:88)+100</f>
        <v>100</v>
      </c>
      <c r="G25" s="2090"/>
      <c r="H25" s="391">
        <f>SUMIF(87:87,G26,88:88)-SUMIF(87:87,C26,88:88)+100</f>
        <v>100</v>
      </c>
      <c r="I25" s="390"/>
      <c r="J25" s="391">
        <f>SUMIF(87:87,I26,88:88)-SUMIF(87:87,C26,88:88)+100</f>
        <v>100</v>
      </c>
      <c r="K25" s="568"/>
      <c r="L25" s="2942"/>
      <c r="M25" s="2936"/>
      <c r="N25" s="2936"/>
      <c r="O25" s="2936"/>
      <c r="P25" s="3346"/>
      <c r="Q25" s="1534" t="str">
        <f>B25</f>
        <v>毗邻道路的类型与等级</v>
      </c>
      <c r="R25" s="711" t="s">
        <v>17</v>
      </c>
      <c r="S25" s="712">
        <f>F25</f>
        <v>100</v>
      </c>
      <c r="T25" s="711" t="s">
        <v>17</v>
      </c>
      <c r="U25" s="712">
        <f>H25</f>
        <v>100</v>
      </c>
      <c r="V25" s="711" t="s">
        <v>17</v>
      </c>
      <c r="W25" s="712">
        <f>J25</f>
        <v>100</v>
      </c>
      <c r="X25" s="1537"/>
      <c r="Y25" s="3339"/>
      <c r="Z25" s="1538" t="str">
        <f>Q25</f>
        <v>毗邻道路的类型与等级</v>
      </c>
      <c r="AA25" s="1535">
        <f t="shared" si="3"/>
        <v>1</v>
      </c>
      <c r="AB25" s="1535">
        <f t="shared" si="4"/>
        <v>1</v>
      </c>
      <c r="AC25" s="2144">
        <f t="shared" si="5"/>
        <v>1</v>
      </c>
    </row>
    <row r="26" spans="1:29" ht="15">
      <c r="A26" s="361"/>
      <c r="B26" s="585"/>
      <c r="C26" s="587"/>
      <c r="D26" s="391"/>
      <c r="E26" s="570"/>
      <c r="F26" s="391"/>
      <c r="G26" s="587"/>
      <c r="H26" s="391"/>
      <c r="I26" s="570"/>
      <c r="J26" s="391"/>
      <c r="K26" s="569"/>
      <c r="L26" s="2942"/>
      <c r="M26" s="2936"/>
      <c r="N26" s="2936"/>
      <c r="O26" s="2936"/>
      <c r="P26" s="3346"/>
      <c r="Q26" s="1534"/>
      <c r="R26" s="711"/>
      <c r="S26" s="712"/>
      <c r="T26" s="711"/>
      <c r="U26" s="712"/>
      <c r="V26" s="711"/>
      <c r="W26" s="712"/>
      <c r="X26" s="1537"/>
      <c r="Y26" s="3339"/>
      <c r="Z26" s="1538"/>
      <c r="AA26" s="1535">
        <v>1</v>
      </c>
      <c r="AB26" s="1535">
        <v>1</v>
      </c>
      <c r="AC26" s="2144">
        <v>1</v>
      </c>
    </row>
    <row r="27" spans="1:29" ht="15">
      <c r="A27" s="384"/>
      <c r="B27" s="585" t="s">
        <v>2472</v>
      </c>
      <c r="C27" s="587"/>
      <c r="D27" s="391">
        <v>100</v>
      </c>
      <c r="E27" s="570"/>
      <c r="F27" s="391">
        <f>SUMIF(89:89,E27,90:90)-SUMIF(89:89,C27,90:90)+100</f>
        <v>100</v>
      </c>
      <c r="G27" s="587"/>
      <c r="H27" s="391">
        <f>SUMIF(89:89,G27,90:90)-SUMIF(89:89,C27,90:90)+100</f>
        <v>100</v>
      </c>
      <c r="I27" s="570"/>
      <c r="J27" s="391">
        <f>SUMIF(89:89,I27,90:90)-SUMIF(89:89,C27,90:90)+100</f>
        <v>100</v>
      </c>
      <c r="K27" s="566"/>
      <c r="L27" s="2942"/>
      <c r="M27" s="2936"/>
      <c r="N27" s="2936"/>
      <c r="O27" s="2936"/>
      <c r="P27" s="3346"/>
      <c r="Q27" s="1534" t="str">
        <f t="shared" ref="Q27:Q47" si="11">B27</f>
        <v>楼层</v>
      </c>
      <c r="R27" s="711" t="s">
        <v>17</v>
      </c>
      <c r="S27" s="712">
        <f>F27</f>
        <v>100</v>
      </c>
      <c r="T27" s="711" t="s">
        <v>17</v>
      </c>
      <c r="U27" s="712">
        <f>H27</f>
        <v>100</v>
      </c>
      <c r="V27" s="711" t="s">
        <v>17</v>
      </c>
      <c r="W27" s="712">
        <f>J27</f>
        <v>100</v>
      </c>
      <c r="X27" s="1537"/>
      <c r="Y27" s="3339"/>
      <c r="Z27" s="1538" t="str">
        <f>Q27</f>
        <v>楼层</v>
      </c>
      <c r="AA27" s="1535">
        <f t="shared" si="3"/>
        <v>1</v>
      </c>
      <c r="AB27" s="1535">
        <f t="shared" si="4"/>
        <v>1</v>
      </c>
      <c r="AC27" s="2144">
        <f t="shared" si="5"/>
        <v>1</v>
      </c>
    </row>
    <row r="28" spans="1:29" s="112" customFormat="1" ht="15">
      <c r="A28" s="387"/>
      <c r="B28" s="584" t="s">
        <v>2505</v>
      </c>
      <c r="C28" s="2147"/>
      <c r="D28" s="418">
        <v>100</v>
      </c>
      <c r="E28" s="2138"/>
      <c r="F28" s="418">
        <f>SUMIF(91:91,E28,92:92)-SUMIF(91:91,C28,92:92)+100</f>
        <v>100</v>
      </c>
      <c r="G28" s="2147"/>
      <c r="H28" s="418">
        <f>SUMIF(91:91,G28,92:92)-SUMIF(91:91,C28,92:92)+100</f>
        <v>100</v>
      </c>
      <c r="I28" s="2138"/>
      <c r="J28" s="418">
        <f>SUMIF(91:91,I28,92:92)-SUMIF(91:91,C28,92:92)+100</f>
        <v>100</v>
      </c>
      <c r="K28" s="566"/>
      <c r="L28" s="2937"/>
      <c r="M28" s="2938"/>
      <c r="N28" s="2938"/>
      <c r="O28" s="2938"/>
      <c r="P28" s="3346"/>
      <c r="Q28" s="1525" t="str">
        <f t="shared" si="11"/>
        <v>朝向</v>
      </c>
      <c r="R28" s="707" t="s">
        <v>17</v>
      </c>
      <c r="S28" s="708">
        <f>F28</f>
        <v>100</v>
      </c>
      <c r="T28" s="707" t="s">
        <v>17</v>
      </c>
      <c r="U28" s="708">
        <f>H28</f>
        <v>100</v>
      </c>
      <c r="V28" s="707" t="s">
        <v>17</v>
      </c>
      <c r="W28" s="708">
        <f>J28</f>
        <v>100</v>
      </c>
      <c r="X28" s="709"/>
      <c r="Y28" s="3339"/>
      <c r="Z28" s="55" t="str">
        <f>Q28</f>
        <v>朝向</v>
      </c>
      <c r="AA28" s="1535">
        <f>D28/F28</f>
        <v>1</v>
      </c>
      <c r="AB28" s="1535">
        <f>D28/H28</f>
        <v>1</v>
      </c>
      <c r="AC28" s="2144">
        <f>D28/J28</f>
        <v>1</v>
      </c>
    </row>
    <row r="29" spans="1:29" ht="15">
      <c r="A29" s="384"/>
      <c r="B29" s="2148">
        <v>111</v>
      </c>
      <c r="C29" s="2090"/>
      <c r="D29" s="391">
        <v>100</v>
      </c>
      <c r="E29" s="388"/>
      <c r="F29" s="391">
        <f>SUMIF(93:93,E29,94:94)-SUMIF(93:93,C29,94:94)+100</f>
        <v>100</v>
      </c>
      <c r="G29" s="2142"/>
      <c r="H29" s="391">
        <f>SUMIF(93:93,G29,94:94)-SUMIF(93:93,C29,94:94)+100</f>
        <v>100</v>
      </c>
      <c r="I29" s="388"/>
      <c r="J29" s="391">
        <f>SUMIF(93:93,I29,94:94)-SUMIF(93:93,C29,94:94)+100</f>
        <v>100</v>
      </c>
      <c r="K29" s="567"/>
      <c r="L29" s="2942"/>
      <c r="M29" s="2936"/>
      <c r="N29" s="2936"/>
      <c r="O29" s="2936"/>
      <c r="P29" s="3346"/>
      <c r="Q29" s="1534">
        <f t="shared" si="11"/>
        <v>111</v>
      </c>
      <c r="R29" s="711" t="s">
        <v>17</v>
      </c>
      <c r="S29" s="712">
        <f t="shared" ref="S29:S47" si="12">F29</f>
        <v>100</v>
      </c>
      <c r="T29" s="711" t="s">
        <v>17</v>
      </c>
      <c r="U29" s="712">
        <f t="shared" ref="U29:U47" si="13">H29</f>
        <v>100</v>
      </c>
      <c r="V29" s="711" t="s">
        <v>17</v>
      </c>
      <c r="W29" s="712">
        <f t="shared" ref="W29:W47" si="14">J29</f>
        <v>100</v>
      </c>
      <c r="X29" s="1537"/>
      <c r="Y29" s="3339"/>
      <c r="Z29" s="1538">
        <f t="shared" ref="Z29:Z47" si="15">Q29</f>
        <v>111</v>
      </c>
      <c r="AA29" s="1535">
        <f t="shared" si="3"/>
        <v>1</v>
      </c>
      <c r="AB29" s="1535">
        <f t="shared" si="4"/>
        <v>1</v>
      </c>
      <c r="AC29" s="2144">
        <f t="shared" si="5"/>
        <v>1</v>
      </c>
    </row>
    <row r="30" spans="1:29" ht="15">
      <c r="A30" s="384"/>
      <c r="B30" s="2148">
        <v>111</v>
      </c>
      <c r="C30" s="2090"/>
      <c r="D30" s="391">
        <v>100</v>
      </c>
      <c r="E30" s="388"/>
      <c r="F30" s="391">
        <f>SUMIF(95:95,E30,96:96)-SUMIF(95:95,C30,96:96)+100</f>
        <v>100</v>
      </c>
      <c r="G30" s="2142"/>
      <c r="H30" s="391">
        <f>SUMIF(95:95,G30,96:96)-SUMIF(95:95,C30,96:96)+100</f>
        <v>100</v>
      </c>
      <c r="I30" s="388"/>
      <c r="J30" s="391">
        <f>SUMIF(95:95,I30,96:96)-SUMIF(95:95,C30,96:96)+100</f>
        <v>100</v>
      </c>
      <c r="K30" s="567"/>
      <c r="L30" s="2942"/>
      <c r="M30" s="2936"/>
      <c r="N30" s="2936"/>
      <c r="O30" s="2936"/>
      <c r="P30" s="3346"/>
      <c r="Q30" s="1534">
        <f t="shared" si="11"/>
        <v>111</v>
      </c>
      <c r="R30" s="711" t="s">
        <v>17</v>
      </c>
      <c r="S30" s="712">
        <f t="shared" si="12"/>
        <v>100</v>
      </c>
      <c r="T30" s="711" t="s">
        <v>17</v>
      </c>
      <c r="U30" s="712">
        <f t="shared" si="13"/>
        <v>100</v>
      </c>
      <c r="V30" s="711" t="s">
        <v>17</v>
      </c>
      <c r="W30" s="712">
        <f t="shared" si="14"/>
        <v>100</v>
      </c>
      <c r="X30" s="1537"/>
      <c r="Y30" s="3339"/>
      <c r="Z30" s="1538">
        <f t="shared" si="15"/>
        <v>111</v>
      </c>
      <c r="AA30" s="1535">
        <f t="shared" si="3"/>
        <v>1</v>
      </c>
      <c r="AB30" s="1535">
        <f t="shared" si="4"/>
        <v>1</v>
      </c>
      <c r="AC30" s="2144">
        <f t="shared" si="5"/>
        <v>1</v>
      </c>
    </row>
    <row r="31" spans="1:29" ht="15">
      <c r="A31" s="384"/>
      <c r="B31" s="2148">
        <v>111</v>
      </c>
      <c r="C31" s="2090"/>
      <c r="D31" s="391">
        <v>100</v>
      </c>
      <c r="E31" s="388"/>
      <c r="F31" s="391">
        <f>SUMIF(97:97,E31,98:98)-SUMIF(97:97,C31,98:98)+100</f>
        <v>100</v>
      </c>
      <c r="G31" s="2142"/>
      <c r="H31" s="391">
        <f>SUMIF(97:97,G31,98:98)-SUMIF(97:97,C31,98:98)+100</f>
        <v>100</v>
      </c>
      <c r="I31" s="388"/>
      <c r="J31" s="391">
        <f>SUMIF(97:97,I31,98:98)-SUMIF(97:97,C31,98:98)+100</f>
        <v>100</v>
      </c>
      <c r="K31" s="567"/>
      <c r="L31" s="2942"/>
      <c r="M31" s="2936"/>
      <c r="N31" s="2936"/>
      <c r="O31" s="2936"/>
      <c r="P31" s="3346"/>
      <c r="Q31" s="1534">
        <f t="shared" si="11"/>
        <v>111</v>
      </c>
      <c r="R31" s="711" t="s">
        <v>17</v>
      </c>
      <c r="S31" s="712">
        <f t="shared" si="12"/>
        <v>100</v>
      </c>
      <c r="T31" s="711" t="s">
        <v>17</v>
      </c>
      <c r="U31" s="712">
        <f t="shared" si="13"/>
        <v>100</v>
      </c>
      <c r="V31" s="711" t="s">
        <v>17</v>
      </c>
      <c r="W31" s="712">
        <f t="shared" si="14"/>
        <v>100</v>
      </c>
      <c r="X31" s="1537"/>
      <c r="Y31" s="3339"/>
      <c r="Z31" s="1538">
        <f t="shared" si="15"/>
        <v>111</v>
      </c>
      <c r="AA31" s="1535">
        <f t="shared" si="3"/>
        <v>1</v>
      </c>
      <c r="AB31" s="1535">
        <f t="shared" si="4"/>
        <v>1</v>
      </c>
      <c r="AC31" s="2144">
        <f t="shared" si="5"/>
        <v>1</v>
      </c>
    </row>
    <row r="32" spans="1:29" ht="15.75" thickBot="1">
      <c r="A32" s="392"/>
      <c r="B32" s="588">
        <v>111</v>
      </c>
      <c r="C32" s="2091"/>
      <c r="D32" s="394">
        <v>100</v>
      </c>
      <c r="E32" s="581"/>
      <c r="F32" s="394">
        <f>SUMIF(99:99,E32,100:100)-SUMIF(99:99,C32,100:100)+100</f>
        <v>100</v>
      </c>
      <c r="G32" s="2142"/>
      <c r="H32" s="394">
        <f>SUMIF(99:99,G32,100:100)-SUMIF(99:99,C32,100:100)+100</f>
        <v>100</v>
      </c>
      <c r="I32" s="388"/>
      <c r="J32" s="394">
        <f>SUMIF(99:99,I32,100:100)-SUMIF(99:99,C32,100:100)+100</f>
        <v>100</v>
      </c>
      <c r="K32" s="567"/>
      <c r="L32" s="2942"/>
      <c r="M32" s="2936"/>
      <c r="N32" s="2936"/>
      <c r="O32" s="2936"/>
      <c r="P32" s="3346"/>
      <c r="Q32" s="1534">
        <f t="shared" si="11"/>
        <v>111</v>
      </c>
      <c r="R32" s="711" t="s">
        <v>17</v>
      </c>
      <c r="S32" s="712">
        <f t="shared" si="12"/>
        <v>100</v>
      </c>
      <c r="T32" s="711" t="s">
        <v>17</v>
      </c>
      <c r="U32" s="712">
        <f t="shared" si="13"/>
        <v>100</v>
      </c>
      <c r="V32" s="711" t="s">
        <v>17</v>
      </c>
      <c r="W32" s="712">
        <f t="shared" si="14"/>
        <v>100</v>
      </c>
      <c r="X32" s="1537"/>
      <c r="Y32" s="3339"/>
      <c r="Z32" s="1538">
        <f t="shared" si="15"/>
        <v>111</v>
      </c>
      <c r="AA32" s="1535">
        <f t="shared" si="3"/>
        <v>1</v>
      </c>
      <c r="AB32" s="1535">
        <f t="shared" si="4"/>
        <v>1</v>
      </c>
      <c r="AC32" s="2144">
        <f t="shared" si="5"/>
        <v>1</v>
      </c>
    </row>
    <row r="33" spans="1:29" ht="15">
      <c r="A33" s="396" t="s">
        <v>2376</v>
      </c>
      <c r="B33" s="67" t="s">
        <v>2506</v>
      </c>
      <c r="C33" s="2149"/>
      <c r="D33" s="423">
        <v>100</v>
      </c>
      <c r="E33" s="2149"/>
      <c r="F33" s="417">
        <f>SUMIF(101:101,E33,102:102)-SUMIF(101:101,C33,102:102)+100</f>
        <v>100</v>
      </c>
      <c r="G33" s="2149"/>
      <c r="H33" s="391">
        <f>SUMIF(101:101,G33,102:102)-SUMIF(101:101,C33,102:102)+100</f>
        <v>100</v>
      </c>
      <c r="I33" s="2149"/>
      <c r="J33" s="423">
        <f>SUMIF(101:101,I33,102:102)-SUMIF(101:101,C33,102:102)+100</f>
        <v>100</v>
      </c>
      <c r="K33" s="566"/>
      <c r="L33" s="2942"/>
      <c r="M33" s="2936"/>
      <c r="N33" s="2936"/>
      <c r="O33" s="2936"/>
      <c r="P33" s="3340" t="s">
        <v>2378</v>
      </c>
      <c r="Q33" s="1534" t="str">
        <f t="shared" si="11"/>
        <v>建筑类型</v>
      </c>
      <c r="R33" s="711" t="s">
        <v>17</v>
      </c>
      <c r="S33" s="712">
        <f t="shared" si="12"/>
        <v>100</v>
      </c>
      <c r="T33" s="711" t="s">
        <v>17</v>
      </c>
      <c r="U33" s="712">
        <f t="shared" si="13"/>
        <v>100</v>
      </c>
      <c r="V33" s="711" t="s">
        <v>17</v>
      </c>
      <c r="W33" s="712">
        <f t="shared" si="14"/>
        <v>100</v>
      </c>
      <c r="X33" s="1537"/>
      <c r="Y33" s="3343" t="s">
        <v>2378</v>
      </c>
      <c r="Z33" s="1538" t="str">
        <f t="shared" si="15"/>
        <v>建筑类型</v>
      </c>
      <c r="AA33" s="1535">
        <f t="shared" si="3"/>
        <v>1</v>
      </c>
      <c r="AB33" s="1535">
        <f t="shared" si="4"/>
        <v>1</v>
      </c>
      <c r="AC33" s="2144">
        <f t="shared" si="5"/>
        <v>1</v>
      </c>
    </row>
    <row r="34" spans="1:29" s="427" customFormat="1" ht="15">
      <c r="A34" s="424"/>
      <c r="B34" s="378" t="s">
        <v>2379</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1"/>
      <c r="M34" s="2943"/>
      <c r="N34" s="2943"/>
      <c r="O34" s="2943"/>
      <c r="P34" s="3341"/>
      <c r="Q34" s="713" t="str">
        <f t="shared" si="11"/>
        <v>项目建筑规模</v>
      </c>
      <c r="R34" s="714" t="s">
        <v>17</v>
      </c>
      <c r="S34" s="715" t="e">
        <f t="shared" si="12"/>
        <v>#N/A</v>
      </c>
      <c r="T34" s="714" t="s">
        <v>17</v>
      </c>
      <c r="U34" s="715" t="e">
        <f t="shared" si="13"/>
        <v>#N/A</v>
      </c>
      <c r="V34" s="714" t="s">
        <v>17</v>
      </c>
      <c r="W34" s="715" t="e">
        <f t="shared" si="14"/>
        <v>#N/A</v>
      </c>
      <c r="X34" s="716"/>
      <c r="Y34" s="3343"/>
      <c r="Z34" s="717" t="str">
        <f t="shared" si="15"/>
        <v>项目建筑规模</v>
      </c>
      <c r="AA34" s="1535" t="e">
        <f t="shared" si="3"/>
        <v>#N/A</v>
      </c>
      <c r="AB34" s="1535" t="e">
        <f t="shared" si="4"/>
        <v>#N/A</v>
      </c>
      <c r="AC34" s="2144" t="e">
        <f t="shared" si="5"/>
        <v>#N/A</v>
      </c>
    </row>
    <row r="35" spans="1:29" ht="15">
      <c r="A35" s="428"/>
      <c r="B35" s="378" t="s">
        <v>2380</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2"/>
      <c r="M35" s="2936"/>
      <c r="N35" s="2936"/>
      <c r="O35" s="2936"/>
      <c r="P35" s="3341"/>
      <c r="Q35" s="1534" t="str">
        <f t="shared" si="11"/>
        <v>建筑结构</v>
      </c>
      <c r="R35" s="711" t="s">
        <v>17</v>
      </c>
      <c r="S35" s="712">
        <f t="shared" si="12"/>
        <v>100</v>
      </c>
      <c r="T35" s="711" t="s">
        <v>17</v>
      </c>
      <c r="U35" s="712">
        <f t="shared" si="13"/>
        <v>100</v>
      </c>
      <c r="V35" s="711" t="s">
        <v>17</v>
      </c>
      <c r="W35" s="712">
        <f t="shared" si="14"/>
        <v>100</v>
      </c>
      <c r="X35" s="1537"/>
      <c r="Y35" s="3343"/>
      <c r="Z35" s="1538" t="str">
        <f t="shared" si="15"/>
        <v>建筑结构</v>
      </c>
      <c r="AA35" s="1535">
        <f t="shared" si="3"/>
        <v>1</v>
      </c>
      <c r="AB35" s="1535">
        <f t="shared" si="4"/>
        <v>1</v>
      </c>
      <c r="AC35" s="2144">
        <f t="shared" si="5"/>
        <v>1</v>
      </c>
    </row>
    <row r="36" spans="1:29" ht="15">
      <c r="A36" s="428"/>
      <c r="B36" s="378" t="s">
        <v>2474</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2"/>
      <c r="M36" s="2936"/>
      <c r="N36" s="2936"/>
      <c r="O36" s="2936"/>
      <c r="P36" s="3341"/>
      <c r="Q36" s="1534" t="str">
        <f t="shared" si="11"/>
        <v>公共部分装修</v>
      </c>
      <c r="R36" s="711" t="s">
        <v>17</v>
      </c>
      <c r="S36" s="712">
        <f t="shared" si="12"/>
        <v>100</v>
      </c>
      <c r="T36" s="711" t="s">
        <v>17</v>
      </c>
      <c r="U36" s="712">
        <f t="shared" si="13"/>
        <v>100</v>
      </c>
      <c r="V36" s="711" t="s">
        <v>17</v>
      </c>
      <c r="W36" s="712">
        <f t="shared" si="14"/>
        <v>100</v>
      </c>
      <c r="X36" s="1537"/>
      <c r="Y36" s="3343"/>
      <c r="Z36" s="1538" t="str">
        <f t="shared" si="15"/>
        <v>公共部分装修</v>
      </c>
      <c r="AA36" s="1535">
        <f t="shared" si="3"/>
        <v>1</v>
      </c>
      <c r="AB36" s="1535">
        <f t="shared" si="4"/>
        <v>1</v>
      </c>
      <c r="AC36" s="2144">
        <f t="shared" si="5"/>
        <v>1</v>
      </c>
    </row>
    <row r="37" spans="1:29" ht="15">
      <c r="A37" s="428"/>
      <c r="B37" s="378" t="s">
        <v>2475</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2"/>
      <c r="M37" s="2936"/>
      <c r="N37" s="2936"/>
      <c r="O37" s="2936"/>
      <c r="P37" s="3341"/>
      <c r="Q37" s="1534" t="str">
        <f t="shared" si="11"/>
        <v>成新度</v>
      </c>
      <c r="R37" s="711" t="s">
        <v>17</v>
      </c>
      <c r="S37" s="712" t="e">
        <f t="shared" si="12"/>
        <v>#N/A</v>
      </c>
      <c r="T37" s="711" t="s">
        <v>17</v>
      </c>
      <c r="U37" s="712" t="e">
        <f t="shared" si="13"/>
        <v>#N/A</v>
      </c>
      <c r="V37" s="711" t="s">
        <v>17</v>
      </c>
      <c r="W37" s="712" t="e">
        <f t="shared" si="14"/>
        <v>#N/A</v>
      </c>
      <c r="X37" s="1537"/>
      <c r="Y37" s="3343"/>
      <c r="Z37" s="1538" t="str">
        <f t="shared" si="15"/>
        <v>成新度</v>
      </c>
      <c r="AA37" s="1535" t="e">
        <f t="shared" si="3"/>
        <v>#N/A</v>
      </c>
      <c r="AB37" s="1535" t="e">
        <f t="shared" si="4"/>
        <v>#N/A</v>
      </c>
      <c r="AC37" s="2144" t="e">
        <f t="shared" si="5"/>
        <v>#N/A</v>
      </c>
    </row>
    <row r="38" spans="1:29" s="112" customFormat="1" ht="15">
      <c r="A38" s="429"/>
      <c r="B38" s="378" t="s">
        <v>2507</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37"/>
      <c r="M38" s="2938"/>
      <c r="N38" s="2938"/>
      <c r="O38" s="2938"/>
      <c r="P38" s="3341"/>
      <c r="Q38" s="1525" t="str">
        <f t="shared" si="11"/>
        <v>写字楼等级</v>
      </c>
      <c r="R38" s="707" t="s">
        <v>17</v>
      </c>
      <c r="S38" s="708">
        <f t="shared" si="12"/>
        <v>100</v>
      </c>
      <c r="T38" s="707" t="s">
        <v>17</v>
      </c>
      <c r="U38" s="708">
        <f t="shared" si="13"/>
        <v>100</v>
      </c>
      <c r="V38" s="707" t="s">
        <v>17</v>
      </c>
      <c r="W38" s="708">
        <f t="shared" si="14"/>
        <v>100</v>
      </c>
      <c r="X38" s="709"/>
      <c r="Y38" s="3343"/>
      <c r="Z38" s="55" t="str">
        <f t="shared" si="15"/>
        <v>写字楼等级</v>
      </c>
      <c r="AA38" s="710">
        <f t="shared" si="3"/>
        <v>1</v>
      </c>
      <c r="AB38" s="710">
        <f t="shared" si="4"/>
        <v>1</v>
      </c>
      <c r="AC38" s="2141">
        <f t="shared" si="5"/>
        <v>1</v>
      </c>
    </row>
    <row r="39" spans="1:29" ht="15">
      <c r="A39" s="428"/>
      <c r="B39" s="378" t="s">
        <v>2508</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2"/>
      <c r="M39" s="2936"/>
      <c r="N39" s="2936"/>
      <c r="O39" s="2936"/>
      <c r="P39" s="3341" t="s">
        <v>2378</v>
      </c>
      <c r="Q39" s="1534" t="str">
        <f t="shared" si="11"/>
        <v>物业管理</v>
      </c>
      <c r="R39" s="711" t="s">
        <v>17</v>
      </c>
      <c r="S39" s="712">
        <f t="shared" si="12"/>
        <v>100</v>
      </c>
      <c r="T39" s="711" t="s">
        <v>17</v>
      </c>
      <c r="U39" s="712">
        <f t="shared" si="13"/>
        <v>100</v>
      </c>
      <c r="V39" s="711" t="s">
        <v>17</v>
      </c>
      <c r="W39" s="712">
        <f t="shared" si="14"/>
        <v>100</v>
      </c>
      <c r="X39" s="1537"/>
      <c r="Y39" s="3343" t="s">
        <v>2378</v>
      </c>
      <c r="Z39" s="1538" t="str">
        <f t="shared" si="15"/>
        <v>物业管理</v>
      </c>
      <c r="AA39" s="1535">
        <f t="shared" si="3"/>
        <v>1</v>
      </c>
      <c r="AB39" s="1535">
        <f t="shared" si="4"/>
        <v>1</v>
      </c>
      <c r="AC39" s="2144">
        <f t="shared" si="5"/>
        <v>1</v>
      </c>
    </row>
    <row r="40" spans="1:29" ht="15">
      <c r="A40" s="428"/>
      <c r="B40" s="378" t="s">
        <v>2476</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2"/>
      <c r="M40" s="2936"/>
      <c r="N40" s="2936"/>
      <c r="O40" s="2936"/>
      <c r="P40" s="3341"/>
      <c r="Q40" s="1534" t="str">
        <f t="shared" si="11"/>
        <v>市政基础设施</v>
      </c>
      <c r="R40" s="711" t="s">
        <v>17</v>
      </c>
      <c r="S40" s="712">
        <f t="shared" si="12"/>
        <v>100</v>
      </c>
      <c r="T40" s="711" t="s">
        <v>17</v>
      </c>
      <c r="U40" s="712">
        <f t="shared" si="13"/>
        <v>100</v>
      </c>
      <c r="V40" s="711" t="s">
        <v>17</v>
      </c>
      <c r="W40" s="712">
        <f t="shared" si="14"/>
        <v>100</v>
      </c>
      <c r="X40" s="1537"/>
      <c r="Y40" s="3343"/>
      <c r="Z40" s="1538" t="str">
        <f t="shared" si="15"/>
        <v>市政基础设施</v>
      </c>
      <c r="AA40" s="1535">
        <f t="shared" si="3"/>
        <v>1</v>
      </c>
      <c r="AB40" s="1535">
        <f t="shared" si="4"/>
        <v>1</v>
      </c>
      <c r="AC40" s="2144">
        <f t="shared" si="5"/>
        <v>1</v>
      </c>
    </row>
    <row r="41" spans="1:29" ht="15">
      <c r="A41" s="428"/>
      <c r="B41" s="378" t="s">
        <v>2478</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2"/>
      <c r="M41" s="2936"/>
      <c r="N41" s="2936"/>
      <c r="O41" s="2936"/>
      <c r="P41" s="3341"/>
      <c r="Q41" s="1534" t="str">
        <f t="shared" si="11"/>
        <v>层高</v>
      </c>
      <c r="R41" s="711" t="s">
        <v>17</v>
      </c>
      <c r="S41" s="712">
        <f t="shared" si="12"/>
        <v>100</v>
      </c>
      <c r="T41" s="711" t="s">
        <v>17</v>
      </c>
      <c r="U41" s="712">
        <f t="shared" si="13"/>
        <v>100</v>
      </c>
      <c r="V41" s="711" t="s">
        <v>17</v>
      </c>
      <c r="W41" s="712">
        <f t="shared" si="14"/>
        <v>100</v>
      </c>
      <c r="X41" s="1537"/>
      <c r="Y41" s="3343"/>
      <c r="Z41" s="1538" t="str">
        <f t="shared" si="15"/>
        <v>层高</v>
      </c>
      <c r="AA41" s="1535">
        <f t="shared" si="3"/>
        <v>1</v>
      </c>
      <c r="AB41" s="1535">
        <f t="shared" si="4"/>
        <v>1</v>
      </c>
      <c r="AC41" s="2144">
        <f t="shared" si="5"/>
        <v>1</v>
      </c>
    </row>
    <row r="42" spans="1:29" s="427" customFormat="1" ht="15">
      <c r="A42" s="424"/>
      <c r="B42" s="1536" t="s">
        <v>2509</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1"/>
      <c r="M42" s="2943"/>
      <c r="N42" s="2943"/>
      <c r="O42" s="2943"/>
      <c r="P42" s="3341"/>
      <c r="Q42" s="713" t="str">
        <f t="shared" si="11"/>
        <v>单套建筑面积</v>
      </c>
      <c r="R42" s="714" t="s">
        <v>17</v>
      </c>
      <c r="S42" s="715">
        <f t="shared" si="12"/>
        <v>100</v>
      </c>
      <c r="T42" s="714" t="s">
        <v>17</v>
      </c>
      <c r="U42" s="715">
        <f t="shared" si="13"/>
        <v>100</v>
      </c>
      <c r="V42" s="714" t="s">
        <v>17</v>
      </c>
      <c r="W42" s="715">
        <f t="shared" si="14"/>
        <v>100</v>
      </c>
      <c r="X42" s="716"/>
      <c r="Y42" s="3343"/>
      <c r="Z42" s="717" t="str">
        <f t="shared" si="15"/>
        <v>单套建筑面积</v>
      </c>
      <c r="AA42" s="1535">
        <f t="shared" si="3"/>
        <v>1</v>
      </c>
      <c r="AB42" s="1535">
        <f t="shared" si="4"/>
        <v>1</v>
      </c>
      <c r="AC42" s="2144">
        <f t="shared" si="5"/>
        <v>1</v>
      </c>
    </row>
    <row r="43" spans="1:29" ht="15">
      <c r="A43" s="428"/>
      <c r="B43" s="378" t="s">
        <v>2481</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2"/>
      <c r="M43" s="2936"/>
      <c r="N43" s="2936"/>
      <c r="O43" s="2936"/>
      <c r="P43" s="3341"/>
      <c r="Q43" s="1534" t="str">
        <f t="shared" si="11"/>
        <v>内部装修</v>
      </c>
      <c r="R43" s="711" t="s">
        <v>17</v>
      </c>
      <c r="S43" s="712">
        <f t="shared" si="12"/>
        <v>100</v>
      </c>
      <c r="T43" s="711" t="s">
        <v>17</v>
      </c>
      <c r="U43" s="712">
        <f t="shared" si="13"/>
        <v>100</v>
      </c>
      <c r="V43" s="711" t="s">
        <v>17</v>
      </c>
      <c r="W43" s="712">
        <f t="shared" si="14"/>
        <v>100</v>
      </c>
      <c r="X43" s="1537"/>
      <c r="Y43" s="3343"/>
      <c r="Z43" s="1538" t="str">
        <f t="shared" si="15"/>
        <v>内部装修</v>
      </c>
      <c r="AA43" s="1535">
        <f t="shared" si="3"/>
        <v>1</v>
      </c>
      <c r="AB43" s="1535">
        <f t="shared" si="4"/>
        <v>1</v>
      </c>
      <c r="AC43" s="2144">
        <f t="shared" si="5"/>
        <v>1</v>
      </c>
    </row>
    <row r="44" spans="1:29" ht="15">
      <c r="A44" s="428"/>
      <c r="B44" s="378" t="s">
        <v>2389</v>
      </c>
      <c r="C44" s="416"/>
      <c r="D44" s="391">
        <v>100</v>
      </c>
      <c r="E44" s="2088"/>
      <c r="F44" s="417">
        <f>SUMIF(125:125,E44,126:126)-SUMIF(125:125,C44,126:126)+100</f>
        <v>100</v>
      </c>
      <c r="G44" s="2088"/>
      <c r="H44" s="391">
        <f>SUMIF(125:125,G44,126:126)-SUMIF(125:125,C44,126:126)+100</f>
        <v>100</v>
      </c>
      <c r="I44" s="2088"/>
      <c r="J44" s="391">
        <f>SUMIF(125:125,I44,126:126)-SUMIF(125:125,C44,126:126)+100</f>
        <v>100</v>
      </c>
      <c r="K44" s="566"/>
      <c r="L44" s="2942"/>
      <c r="M44" s="2936"/>
      <c r="N44" s="2936"/>
      <c r="O44" s="2936"/>
      <c r="P44" s="3341"/>
      <c r="Q44" s="1534" t="str">
        <f t="shared" si="11"/>
        <v>内部装修维护情况</v>
      </c>
      <c r="R44" s="711" t="s">
        <v>17</v>
      </c>
      <c r="S44" s="712">
        <f t="shared" si="12"/>
        <v>100</v>
      </c>
      <c r="T44" s="711" t="s">
        <v>17</v>
      </c>
      <c r="U44" s="712">
        <f t="shared" si="13"/>
        <v>100</v>
      </c>
      <c r="V44" s="711" t="s">
        <v>17</v>
      </c>
      <c r="W44" s="712">
        <f t="shared" si="14"/>
        <v>100</v>
      </c>
      <c r="X44" s="1537"/>
      <c r="Y44" s="3343"/>
      <c r="Z44" s="1538" t="str">
        <f t="shared" si="15"/>
        <v>内部装修维护情况</v>
      </c>
      <c r="AA44" s="1535">
        <f t="shared" si="3"/>
        <v>1</v>
      </c>
      <c r="AB44" s="1535">
        <f t="shared" si="4"/>
        <v>1</v>
      </c>
      <c r="AC44" s="2144">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37"/>
      <c r="M45" s="2938"/>
      <c r="N45" s="2938"/>
      <c r="O45" s="2938"/>
      <c r="P45" s="3341"/>
      <c r="Q45" s="1525">
        <f t="shared" si="11"/>
        <v>111</v>
      </c>
      <c r="R45" s="707" t="s">
        <v>17</v>
      </c>
      <c r="S45" s="708">
        <f t="shared" si="12"/>
        <v>100</v>
      </c>
      <c r="T45" s="707" t="s">
        <v>17</v>
      </c>
      <c r="U45" s="708">
        <f t="shared" si="13"/>
        <v>100</v>
      </c>
      <c r="V45" s="707" t="s">
        <v>17</v>
      </c>
      <c r="W45" s="708">
        <f t="shared" si="14"/>
        <v>100</v>
      </c>
      <c r="X45" s="709"/>
      <c r="Y45" s="3343"/>
      <c r="Z45" s="55">
        <f t="shared" si="15"/>
        <v>111</v>
      </c>
      <c r="AA45" s="710">
        <f t="shared" si="3"/>
        <v>1</v>
      </c>
      <c r="AB45" s="710">
        <f t="shared" si="4"/>
        <v>1</v>
      </c>
      <c r="AC45" s="2141">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2"/>
      <c r="M46" s="2936"/>
      <c r="N46" s="2936"/>
      <c r="O46" s="2936"/>
      <c r="P46" s="3341"/>
      <c r="Q46" s="1534">
        <f t="shared" si="11"/>
        <v>111</v>
      </c>
      <c r="R46" s="711" t="s">
        <v>17</v>
      </c>
      <c r="S46" s="712">
        <f t="shared" si="12"/>
        <v>100</v>
      </c>
      <c r="T46" s="711" t="s">
        <v>17</v>
      </c>
      <c r="U46" s="712">
        <f t="shared" si="13"/>
        <v>100</v>
      </c>
      <c r="V46" s="711" t="s">
        <v>17</v>
      </c>
      <c r="W46" s="712">
        <f t="shared" si="14"/>
        <v>100</v>
      </c>
      <c r="X46" s="1537"/>
      <c r="Y46" s="3343"/>
      <c r="Z46" s="1538">
        <f t="shared" si="15"/>
        <v>111</v>
      </c>
      <c r="AA46" s="1535">
        <f t="shared" si="3"/>
        <v>1</v>
      </c>
      <c r="AB46" s="1535">
        <f t="shared" si="4"/>
        <v>1</v>
      </c>
      <c r="AC46" s="2144">
        <f t="shared" si="5"/>
        <v>1</v>
      </c>
    </row>
    <row r="47" spans="1:29" ht="15.75" thickBot="1">
      <c r="A47" s="434"/>
      <c r="B47" s="207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2"/>
      <c r="M47" s="2936"/>
      <c r="N47" s="2936"/>
      <c r="O47" s="2936"/>
      <c r="P47" s="3342"/>
      <c r="Q47" s="1534">
        <f t="shared" si="11"/>
        <v>111</v>
      </c>
      <c r="R47" s="711" t="s">
        <v>17</v>
      </c>
      <c r="S47" s="712">
        <f t="shared" si="12"/>
        <v>100</v>
      </c>
      <c r="T47" s="711" t="s">
        <v>17</v>
      </c>
      <c r="U47" s="712">
        <f t="shared" si="13"/>
        <v>100</v>
      </c>
      <c r="V47" s="711" t="s">
        <v>17</v>
      </c>
      <c r="W47" s="712">
        <f t="shared" si="14"/>
        <v>100</v>
      </c>
      <c r="X47" s="1537"/>
      <c r="Y47" s="3344"/>
      <c r="Z47" s="1538">
        <f t="shared" si="15"/>
        <v>111</v>
      </c>
      <c r="AA47" s="1535">
        <f t="shared" si="3"/>
        <v>1</v>
      </c>
      <c r="AB47" s="1535">
        <f t="shared" si="4"/>
        <v>1</v>
      </c>
      <c r="AC47" s="2144">
        <f t="shared" si="5"/>
        <v>1</v>
      </c>
    </row>
    <row r="48" spans="1:29" ht="15">
      <c r="A48" s="435" t="s">
        <v>2390</v>
      </c>
      <c r="B48" s="436"/>
      <c r="C48" s="1313" t="s">
        <v>1</v>
      </c>
      <c r="D48" s="1314"/>
      <c r="E48" s="1315"/>
      <c r="F48" s="1316"/>
      <c r="G48" s="1317"/>
      <c r="H48" s="1318"/>
      <c r="I48" s="1315"/>
      <c r="J48" s="441"/>
      <c r="K48" s="720"/>
      <c r="L48" s="2944"/>
      <c r="M48" s="2936"/>
      <c r="N48" s="2936"/>
      <c r="O48" s="2936"/>
      <c r="P48" s="3318" t="str">
        <f>A48</f>
        <v>成交单价（元/平方米）</v>
      </c>
      <c r="Q48" s="3336"/>
      <c r="R48" s="3337">
        <f>E48</f>
        <v>0</v>
      </c>
      <c r="S48" s="3337"/>
      <c r="T48" s="3337">
        <f>G48</f>
        <v>0</v>
      </c>
      <c r="U48" s="3337"/>
      <c r="V48" s="3337">
        <f>I48</f>
        <v>0</v>
      </c>
      <c r="W48" s="3337"/>
      <c r="X48" s="402"/>
      <c r="Y48" s="718"/>
      <c r="Z48" s="402"/>
      <c r="AA48" s="402"/>
      <c r="AB48" s="402"/>
      <c r="AC48" s="583"/>
    </row>
    <row r="49" spans="1:29" ht="15.75" thickBot="1">
      <c r="A49" s="442" t="s">
        <v>2482</v>
      </c>
      <c r="B49" s="443"/>
      <c r="C49" s="1319" t="e">
        <f>R50</f>
        <v>#DIV/0!</v>
      </c>
      <c r="D49" s="2534" t="s">
        <v>2871</v>
      </c>
      <c r="E49" s="1320" t="e">
        <f>R49</f>
        <v>#DIV/0!</v>
      </c>
      <c r="F49" s="2535"/>
      <c r="G49" s="1319" t="e">
        <f>T49</f>
        <v>#DIV/0!</v>
      </c>
      <c r="H49" s="2535"/>
      <c r="I49" s="1320" t="e">
        <f>V49</f>
        <v>#DIV/0!</v>
      </c>
      <c r="J49" s="2535"/>
      <c r="K49" s="2537">
        <f>F49+H49+J49</f>
        <v>0</v>
      </c>
      <c r="L49" s="2944"/>
      <c r="M49" s="2936"/>
      <c r="N49" s="2936"/>
      <c r="O49" s="2936"/>
      <c r="P49" s="3318" t="str">
        <f>A49</f>
        <v>比较价值（元/平方米）</v>
      </c>
      <c r="Q49" s="3336"/>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02"/>
      <c r="Y49" s="402"/>
      <c r="Z49" s="402"/>
      <c r="AA49" s="402"/>
      <c r="AB49" s="402"/>
      <c r="AC49" s="583"/>
    </row>
    <row r="50" spans="1:29" ht="15.75" thickBot="1">
      <c r="A50" s="446" t="s">
        <v>2483</v>
      </c>
      <c r="B50" s="447"/>
      <c r="C50" s="1322" t="e">
        <f>R50</f>
        <v>#DIV/0!</v>
      </c>
      <c r="D50" s="1322"/>
      <c r="E50" s="1322"/>
      <c r="F50" s="1322"/>
      <c r="G50" s="1322"/>
      <c r="H50" s="1322"/>
      <c r="I50" s="1322"/>
      <c r="J50" s="448"/>
      <c r="K50" s="721"/>
      <c r="L50" s="2944"/>
      <c r="M50" s="2936"/>
      <c r="N50" s="2936"/>
      <c r="O50" s="2936"/>
      <c r="P50" s="3359" t="str">
        <f>A50</f>
        <v>估价对象XX用房的比较价值（楼面单价，元/平方米）</v>
      </c>
      <c r="Q50" s="3360"/>
      <c r="R50" s="3361" t="e">
        <f>IF(F1="售价",ROUND(IF(D49="简单平均",AVERAGE(R49:V49),R49*F49+T49*H49+V49*J49),0),ROUND(IF(D49="简单平均",AVERAGE(R49:V49),R49*F49+T49*H49+V49*J49),1))</f>
        <v>#DIV/0!</v>
      </c>
      <c r="S50" s="3361"/>
      <c r="T50" s="3361"/>
      <c r="U50" s="3361"/>
      <c r="V50" s="3361"/>
      <c r="W50" s="3361"/>
      <c r="X50" s="2128"/>
      <c r="Y50" s="2128"/>
      <c r="Z50" s="2128"/>
      <c r="AA50" s="2128"/>
      <c r="AB50" s="2128"/>
      <c r="AC50" s="2129"/>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1" t="s">
        <v>2484</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1" t="s">
        <v>2485</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6" customFormat="1" ht="13.5" customHeight="1">
      <c r="A55" s="2948"/>
      <c r="B55" s="2948"/>
      <c r="C55" s="451" t="s">
        <v>2486</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6"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0" t="s">
        <v>2487</v>
      </c>
      <c r="B58" s="696"/>
      <c r="C58" s="701"/>
      <c r="D58" s="701"/>
      <c r="E58" s="701"/>
      <c r="F58" s="702"/>
      <c r="G58" s="702"/>
      <c r="H58" s="701"/>
      <c r="I58" s="701"/>
      <c r="J58" s="701"/>
      <c r="K58" s="703"/>
      <c r="L58" s="1070"/>
      <c r="M58" s="1068"/>
      <c r="N58" s="2989"/>
      <c r="O58" s="2989"/>
      <c r="P58" s="2978"/>
      <c r="Q58" s="2959"/>
      <c r="R58" s="2945"/>
      <c r="S58" s="2945"/>
      <c r="T58" s="2945"/>
      <c r="U58" s="2945"/>
      <c r="V58" s="2945"/>
      <c r="W58" s="2945"/>
      <c r="X58" s="2945"/>
      <c r="Y58" s="2945"/>
      <c r="Z58" s="2945"/>
      <c r="AA58" s="2945"/>
      <c r="AB58" s="2945"/>
      <c r="AC58" s="2945"/>
    </row>
    <row r="59" spans="1:29" s="462" customFormat="1" ht="15">
      <c r="A59" s="459" t="s">
        <v>2361</v>
      </c>
      <c r="B59" s="460"/>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79"/>
      <c r="Q59" s="2961"/>
      <c r="R59" s="2961"/>
      <c r="S59" s="2961"/>
      <c r="T59" s="2961"/>
      <c r="U59" s="2961"/>
      <c r="V59" s="2961"/>
      <c r="W59" s="2961"/>
      <c r="X59" s="2961"/>
      <c r="Y59" s="2961"/>
      <c r="Z59" s="2961"/>
      <c r="AA59" s="2961"/>
      <c r="AB59" s="2961"/>
      <c r="AC59" s="2961"/>
    </row>
    <row r="60" spans="1:29" s="112" customFormat="1" ht="15">
      <c r="A60" s="463"/>
      <c r="B60" s="464"/>
      <c r="C60" s="1342">
        <v>100</v>
      </c>
      <c r="D60" s="466"/>
      <c r="E60" s="466"/>
      <c r="F60" s="466"/>
      <c r="G60" s="466"/>
      <c r="H60" s="466"/>
      <c r="I60" s="466"/>
      <c r="J60" s="466"/>
      <c r="K60" s="466"/>
      <c r="L60" s="466"/>
      <c r="M60" s="467"/>
      <c r="N60" s="466"/>
      <c r="O60" s="467"/>
      <c r="P60" s="2980"/>
      <c r="Q60" s="2879"/>
      <c r="R60" s="2879"/>
      <c r="S60" s="2879"/>
      <c r="T60" s="2879"/>
      <c r="U60" s="2879"/>
      <c r="V60" s="2879"/>
      <c r="W60" s="2879"/>
      <c r="X60" s="2879"/>
      <c r="Y60" s="2879"/>
      <c r="Z60" s="2879"/>
      <c r="AA60" s="2879"/>
      <c r="AB60" s="2879"/>
      <c r="AC60" s="2879"/>
    </row>
    <row r="61" spans="1:29" s="112" customFormat="1" ht="15.75" thickBot="1">
      <c r="A61" s="469" t="s">
        <v>2398</v>
      </c>
      <c r="B61" s="470"/>
      <c r="C61" s="471"/>
      <c r="D61" s="472"/>
      <c r="E61" s="472"/>
      <c r="F61" s="472"/>
      <c r="G61" s="472"/>
      <c r="H61" s="472"/>
      <c r="I61" s="472"/>
      <c r="J61" s="472"/>
      <c r="K61" s="472"/>
      <c r="L61" s="472"/>
      <c r="M61" s="473"/>
      <c r="N61" s="472"/>
      <c r="O61" s="473"/>
      <c r="P61" s="2980"/>
      <c r="Q61" s="2959"/>
      <c r="R61" s="2879"/>
      <c r="S61" s="2879"/>
      <c r="T61" s="2879"/>
      <c r="U61" s="2879"/>
      <c r="V61" s="2879"/>
      <c r="W61" s="2879"/>
      <c r="X61" s="2879"/>
      <c r="Y61" s="2879"/>
      <c r="Z61" s="2879"/>
      <c r="AA61" s="2879"/>
      <c r="AB61" s="2879"/>
      <c r="AC61" s="2879"/>
    </row>
    <row r="62" spans="1:29" s="112" customFormat="1" ht="15">
      <c r="A62" s="475" t="s">
        <v>2363</v>
      </c>
      <c r="B62" s="464"/>
      <c r="C62" s="476" t="s">
        <v>2465</v>
      </c>
      <c r="D62" s="477"/>
      <c r="E62" s="477"/>
      <c r="F62" s="477"/>
      <c r="G62" s="477"/>
      <c r="H62" s="477"/>
      <c r="I62" s="477"/>
      <c r="J62" s="477"/>
      <c r="K62" s="477"/>
      <c r="L62" s="478"/>
      <c r="M62" s="479"/>
      <c r="N62" s="2972"/>
      <c r="O62" s="2972"/>
      <c r="P62" s="2981"/>
      <c r="Q62" s="2959"/>
      <c r="R62" s="2879"/>
      <c r="S62" s="2879"/>
      <c r="T62" s="2879"/>
      <c r="U62" s="2879"/>
      <c r="V62" s="2879"/>
      <c r="W62" s="2879"/>
      <c r="X62" s="2879"/>
      <c r="Y62" s="2879"/>
      <c r="Z62" s="2879"/>
      <c r="AA62" s="2879"/>
      <c r="AB62" s="2879"/>
      <c r="AC62" s="2879"/>
    </row>
    <row r="63" spans="1:29" s="112" customFormat="1" ht="15.75" thickBot="1">
      <c r="A63" s="475"/>
      <c r="B63" s="464"/>
      <c r="C63" s="465">
        <v>100</v>
      </c>
      <c r="D63" s="466"/>
      <c r="E63" s="466"/>
      <c r="F63" s="466"/>
      <c r="G63" s="466"/>
      <c r="H63" s="466"/>
      <c r="I63" s="466"/>
      <c r="J63" s="466"/>
      <c r="K63" s="466"/>
      <c r="L63" s="466"/>
      <c r="M63" s="468"/>
      <c r="N63" s="2972"/>
      <c r="O63" s="2972"/>
      <c r="P63" s="2980"/>
      <c r="Q63" s="2959"/>
      <c r="R63" s="2879"/>
      <c r="S63" s="2879"/>
      <c r="T63" s="2879"/>
      <c r="U63" s="2879"/>
      <c r="V63" s="2879"/>
      <c r="W63" s="2879"/>
      <c r="X63" s="2879"/>
      <c r="Y63" s="2879"/>
      <c r="Z63" s="2879"/>
      <c r="AA63" s="2879"/>
      <c r="AB63" s="2879"/>
      <c r="AC63" s="2879"/>
    </row>
    <row r="64" spans="1:29">
      <c r="A64" s="481" t="s">
        <v>2401</v>
      </c>
      <c r="B64" s="482" t="s">
        <v>2367</v>
      </c>
      <c r="C64" s="483">
        <f>C9</f>
        <v>0</v>
      </c>
      <c r="D64" s="484"/>
      <c r="E64" s="484"/>
      <c r="F64" s="484"/>
      <c r="G64" s="484"/>
      <c r="H64" s="484"/>
      <c r="I64" s="484"/>
      <c r="J64" s="484"/>
      <c r="K64" s="485"/>
      <c r="L64" s="486"/>
      <c r="M64" s="487"/>
      <c r="N64" s="2973"/>
      <c r="O64" s="2973"/>
      <c r="P64" s="2982"/>
      <c r="Q64" s="2959"/>
      <c r="R64" s="2945"/>
      <c r="S64" s="2945"/>
      <c r="T64" s="2945"/>
      <c r="U64" s="2945"/>
      <c r="V64" s="2945"/>
      <c r="W64" s="2945"/>
      <c r="X64" s="2945"/>
      <c r="Y64" s="2945"/>
      <c r="Z64" s="2945"/>
      <c r="AA64" s="2945"/>
      <c r="AB64" s="2945"/>
      <c r="AC64" s="2945"/>
    </row>
    <row r="65" spans="1:29" ht="15.75" thickBot="1">
      <c r="A65" s="488"/>
      <c r="B65" s="489"/>
      <c r="C65" s="490">
        <v>100</v>
      </c>
      <c r="D65" s="490"/>
      <c r="E65" s="490"/>
      <c r="F65" s="490"/>
      <c r="G65" s="490"/>
      <c r="H65" s="490"/>
      <c r="I65" s="490"/>
      <c r="J65" s="490"/>
      <c r="K65" s="490"/>
      <c r="L65" s="490"/>
      <c r="M65" s="491"/>
      <c r="N65" s="2974"/>
      <c r="O65" s="2974"/>
      <c r="P65" s="2982"/>
      <c r="Q65" s="2959"/>
      <c r="R65" s="2945"/>
      <c r="S65" s="2945"/>
      <c r="T65" s="2945"/>
      <c r="U65" s="2945"/>
      <c r="V65" s="2945"/>
      <c r="W65" s="2945"/>
      <c r="X65" s="2945"/>
      <c r="Y65" s="2945"/>
      <c r="Z65" s="2945"/>
      <c r="AA65" s="2945"/>
      <c r="AB65" s="2945"/>
      <c r="AC65" s="2945"/>
    </row>
    <row r="66" spans="1:29" ht="27.75" thickTop="1">
      <c r="A66" s="488"/>
      <c r="B66" s="492" t="s">
        <v>2370</v>
      </c>
      <c r="C66" s="493" t="s">
        <v>2402</v>
      </c>
      <c r="D66" s="493" t="s">
        <v>2403</v>
      </c>
      <c r="E66" s="493" t="s">
        <v>2404</v>
      </c>
      <c r="F66" s="493" t="s">
        <v>2405</v>
      </c>
      <c r="G66" s="493" t="s">
        <v>2406</v>
      </c>
      <c r="H66" s="493" t="s">
        <v>2407</v>
      </c>
      <c r="I66" s="493" t="s">
        <v>2408</v>
      </c>
      <c r="J66" s="493"/>
      <c r="K66" s="494"/>
      <c r="L66" s="495"/>
      <c r="M66" s="496"/>
      <c r="N66" s="2973"/>
      <c r="O66" s="2973"/>
      <c r="P66" s="2982"/>
      <c r="Q66" s="2959"/>
      <c r="R66" s="2945"/>
      <c r="S66" s="2945"/>
      <c r="T66" s="2945"/>
      <c r="U66" s="2945"/>
      <c r="V66" s="2945"/>
      <c r="W66" s="2945"/>
      <c r="X66" s="2945"/>
      <c r="Y66" s="2945"/>
      <c r="Z66" s="2945"/>
      <c r="AA66" s="2945"/>
      <c r="AB66" s="2945"/>
      <c r="AC66" s="2945"/>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74"/>
      <c r="O67" s="2974"/>
      <c r="P67" s="2982"/>
      <c r="Q67" s="2959"/>
      <c r="R67" s="2945"/>
      <c r="S67" s="2945"/>
      <c r="T67" s="2945"/>
      <c r="U67" s="2945"/>
      <c r="V67" s="2945"/>
      <c r="W67" s="2945"/>
      <c r="X67" s="2945"/>
      <c r="Y67" s="2945"/>
      <c r="Z67" s="2945"/>
      <c r="AA67" s="2945"/>
      <c r="AB67" s="2945"/>
      <c r="AC67" s="2945"/>
    </row>
    <row r="68" spans="1:29" ht="15.75" thickTop="1">
      <c r="A68" s="488"/>
      <c r="B68" s="500" t="s">
        <v>2371</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88"/>
      <c r="B69" s="502"/>
      <c r="C69" s="503"/>
      <c r="D69" s="503"/>
      <c r="E69" s="503"/>
      <c r="F69" s="503"/>
      <c r="G69" s="503"/>
      <c r="H69" s="503"/>
      <c r="I69" s="503"/>
      <c r="J69" s="503"/>
      <c r="K69" s="504"/>
      <c r="L69" s="505"/>
      <c r="M69" s="506"/>
      <c r="N69" s="2973"/>
      <c r="O69" s="2973"/>
      <c r="P69" s="2982"/>
      <c r="Q69" s="2959"/>
      <c r="R69" s="2945"/>
      <c r="S69" s="2945"/>
      <c r="T69" s="2945"/>
      <c r="U69" s="2945"/>
      <c r="V69" s="2945"/>
      <c r="W69" s="2945"/>
      <c r="X69" s="2945"/>
      <c r="Y69" s="2945"/>
      <c r="Z69" s="2945"/>
      <c r="AA69" s="2945"/>
      <c r="AB69" s="2945"/>
      <c r="AC69" s="2945"/>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74"/>
      <c r="O70" s="2974"/>
      <c r="P70" s="2982"/>
      <c r="Q70" s="2959"/>
      <c r="R70" s="2945"/>
      <c r="S70" s="2945"/>
      <c r="T70" s="2945"/>
      <c r="U70" s="2945"/>
      <c r="V70" s="2945"/>
      <c r="W70" s="2945"/>
      <c r="X70" s="2945"/>
      <c r="Y70" s="2945"/>
      <c r="Z70" s="2945"/>
      <c r="AA70" s="2945"/>
      <c r="AB70" s="2945"/>
      <c r="AC70" s="2945"/>
    </row>
    <row r="71" spans="1:29" s="427" customFormat="1" ht="15.75" thickTop="1">
      <c r="A71" s="507"/>
      <c r="B71" s="492">
        <f>B12</f>
        <v>111</v>
      </c>
      <c r="C71" s="508"/>
      <c r="D71" s="508"/>
      <c r="E71" s="508"/>
      <c r="F71" s="508"/>
      <c r="G71" s="508"/>
      <c r="H71" s="509"/>
      <c r="I71" s="509"/>
      <c r="J71" s="509"/>
      <c r="K71" s="509"/>
      <c r="L71" s="510"/>
      <c r="M71" s="511"/>
      <c r="N71" s="2975"/>
      <c r="O71" s="2975"/>
      <c r="P71" s="2983"/>
      <c r="Q71" s="2966"/>
      <c r="R71" s="2967"/>
      <c r="S71" s="2967"/>
      <c r="T71" s="2967"/>
      <c r="U71" s="2967"/>
      <c r="V71" s="2967"/>
      <c r="W71" s="2967"/>
      <c r="X71" s="2967"/>
      <c r="Y71" s="2967"/>
      <c r="Z71" s="2967"/>
      <c r="AA71" s="2967"/>
      <c r="AB71" s="2967"/>
      <c r="AC71" s="2967"/>
    </row>
    <row r="72" spans="1:29" s="427" customFormat="1" ht="15.75" thickBot="1">
      <c r="A72" s="507"/>
      <c r="B72" s="497"/>
      <c r="C72" s="514"/>
      <c r="D72" s="490"/>
      <c r="E72" s="490"/>
      <c r="F72" s="490"/>
      <c r="G72" s="490"/>
      <c r="H72" s="490"/>
      <c r="I72" s="490"/>
      <c r="J72" s="490"/>
      <c r="K72" s="490"/>
      <c r="L72" s="490"/>
      <c r="M72" s="491"/>
      <c r="N72" s="2974"/>
      <c r="O72" s="2974"/>
      <c r="P72" s="2983"/>
      <c r="Q72" s="2966"/>
      <c r="R72" s="2967"/>
      <c r="S72" s="2967"/>
      <c r="T72" s="2967"/>
      <c r="U72" s="2967"/>
      <c r="V72" s="2967"/>
      <c r="W72" s="2967"/>
      <c r="X72" s="2967"/>
      <c r="Y72" s="2967"/>
      <c r="Z72" s="2967"/>
      <c r="AA72" s="2967"/>
      <c r="AB72" s="2967"/>
      <c r="AC72" s="2967"/>
    </row>
    <row r="73" spans="1:29" s="427" customFormat="1" ht="15.75" thickTop="1">
      <c r="A73" s="507"/>
      <c r="B73" s="492">
        <f>B13</f>
        <v>111</v>
      </c>
      <c r="C73" s="508"/>
      <c r="D73" s="508"/>
      <c r="E73" s="508"/>
      <c r="F73" s="508"/>
      <c r="G73" s="508"/>
      <c r="H73" s="509"/>
      <c r="I73" s="509"/>
      <c r="J73" s="509"/>
      <c r="K73" s="509"/>
      <c r="L73" s="510"/>
      <c r="M73" s="511"/>
      <c r="N73" s="2975"/>
      <c r="O73" s="2975"/>
      <c r="P73" s="2984"/>
      <c r="Q73" s="2969"/>
      <c r="R73" s="2967"/>
      <c r="S73" s="2967"/>
      <c r="T73" s="2967"/>
      <c r="U73" s="2967"/>
      <c r="V73" s="2967"/>
      <c r="W73" s="2967"/>
      <c r="X73" s="2967"/>
      <c r="Y73" s="2967"/>
      <c r="Z73" s="2967"/>
      <c r="AA73" s="2967"/>
      <c r="AB73" s="2967"/>
      <c r="AC73" s="2967"/>
    </row>
    <row r="74" spans="1:29" s="427" customFormat="1" ht="15.75" thickBot="1">
      <c r="A74" s="507"/>
      <c r="B74" s="497"/>
      <c r="C74" s="514"/>
      <c r="D74" s="514"/>
      <c r="E74" s="514"/>
      <c r="F74" s="514"/>
      <c r="G74" s="514"/>
      <c r="H74" s="516"/>
      <c r="I74" s="516"/>
      <c r="J74" s="516"/>
      <c r="K74" s="516"/>
      <c r="L74" s="516"/>
      <c r="M74" s="517"/>
      <c r="N74" s="2975"/>
      <c r="O74" s="2975"/>
      <c r="P74" s="2983"/>
      <c r="Q74" s="2966"/>
      <c r="R74" s="2967"/>
      <c r="S74" s="2967"/>
      <c r="T74" s="2967"/>
      <c r="U74" s="2967"/>
      <c r="V74" s="2967"/>
      <c r="W74" s="2967"/>
      <c r="X74" s="2967"/>
      <c r="Y74" s="2967"/>
      <c r="Z74" s="2967"/>
      <c r="AA74" s="2967"/>
      <c r="AB74" s="2967"/>
      <c r="AC74" s="2967"/>
    </row>
    <row r="75" spans="1:29" s="427" customFormat="1" ht="15.75" thickTop="1">
      <c r="A75" s="507"/>
      <c r="B75" s="500">
        <f>B14</f>
        <v>111</v>
      </c>
      <c r="C75" s="477"/>
      <c r="D75" s="477"/>
      <c r="E75" s="477"/>
      <c r="F75" s="477"/>
      <c r="G75" s="477"/>
      <c r="H75" s="518"/>
      <c r="I75" s="518"/>
      <c r="J75" s="518"/>
      <c r="K75" s="518"/>
      <c r="L75" s="519"/>
      <c r="M75" s="520"/>
      <c r="N75" s="2975"/>
      <c r="O75" s="2975"/>
      <c r="P75" s="2985"/>
      <c r="Q75" s="2966"/>
      <c r="R75" s="2967"/>
      <c r="S75" s="2967"/>
      <c r="T75" s="2967"/>
      <c r="U75" s="2967"/>
      <c r="V75" s="2967"/>
      <c r="W75" s="2967"/>
      <c r="X75" s="2967"/>
      <c r="Y75" s="2967"/>
      <c r="Z75" s="2967"/>
      <c r="AA75" s="2967"/>
      <c r="AB75" s="2967"/>
      <c r="AC75" s="2967"/>
    </row>
    <row r="76" spans="1:29" s="427" customFormat="1" ht="15.75" thickBot="1">
      <c r="A76" s="522"/>
      <c r="B76" s="523"/>
      <c r="C76" s="524"/>
      <c r="D76" s="524"/>
      <c r="E76" s="524"/>
      <c r="F76" s="524"/>
      <c r="G76" s="524"/>
      <c r="H76" s="525"/>
      <c r="I76" s="525"/>
      <c r="J76" s="525"/>
      <c r="K76" s="525"/>
      <c r="L76" s="525"/>
      <c r="M76" s="526"/>
      <c r="N76" s="2975"/>
      <c r="O76" s="2975"/>
      <c r="P76" s="2983"/>
      <c r="Q76" s="2966"/>
      <c r="R76" s="2967"/>
      <c r="S76" s="2967"/>
      <c r="T76" s="2967"/>
      <c r="U76" s="2967"/>
      <c r="V76" s="2967"/>
      <c r="W76" s="2967"/>
      <c r="X76" s="2967"/>
      <c r="Y76" s="2967"/>
      <c r="Z76" s="2967"/>
      <c r="AA76" s="2967"/>
      <c r="AB76" s="2967"/>
      <c r="AC76" s="2967"/>
    </row>
    <row r="77" spans="1:29">
      <c r="A77" s="481" t="s">
        <v>2372</v>
      </c>
      <c r="B77" s="482" t="s">
        <v>2510</v>
      </c>
      <c r="C77" s="527" t="s">
        <v>2410</v>
      </c>
      <c r="D77" s="527" t="s">
        <v>2411</v>
      </c>
      <c r="E77" s="527" t="s">
        <v>2412</v>
      </c>
      <c r="F77" s="527" t="s">
        <v>2413</v>
      </c>
      <c r="G77" s="527" t="s">
        <v>2414</v>
      </c>
      <c r="H77" s="483"/>
      <c r="I77" s="483"/>
      <c r="J77" s="483"/>
      <c r="K77" s="528"/>
      <c r="L77" s="529"/>
      <c r="M77" s="530"/>
      <c r="N77" s="2973"/>
      <c r="O77" s="2973"/>
      <c r="P77" s="2986"/>
      <c r="Q77" s="2959"/>
      <c r="R77" s="2945"/>
      <c r="S77" s="2945"/>
      <c r="T77" s="2945"/>
      <c r="U77" s="2945"/>
      <c r="V77" s="2945"/>
      <c r="W77" s="2945"/>
      <c r="X77" s="2945"/>
      <c r="Y77" s="2945"/>
      <c r="Z77" s="2945"/>
      <c r="AA77" s="2945"/>
      <c r="AB77" s="2945"/>
      <c r="AC77" s="2945"/>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74"/>
      <c r="O78" s="2974"/>
      <c r="P78" s="2982"/>
      <c r="Q78" s="2959"/>
      <c r="R78" s="2945"/>
      <c r="S78" s="2945"/>
      <c r="T78" s="2945"/>
      <c r="U78" s="2945"/>
      <c r="V78" s="2945"/>
      <c r="W78" s="2945"/>
      <c r="X78" s="2945"/>
      <c r="Y78" s="2945"/>
      <c r="Z78" s="2945"/>
      <c r="AA78" s="2945"/>
      <c r="AB78" s="2945"/>
      <c r="AC78" s="2945"/>
    </row>
    <row r="79" spans="1:29" ht="15.75" thickTop="1">
      <c r="A79" s="488"/>
      <c r="B79" s="492" t="s">
        <v>2415</v>
      </c>
      <c r="C79" s="532" t="s">
        <v>2410</v>
      </c>
      <c r="D79" s="532" t="s">
        <v>2411</v>
      </c>
      <c r="E79" s="532" t="s">
        <v>2412</v>
      </c>
      <c r="F79" s="532" t="s">
        <v>2413</v>
      </c>
      <c r="G79" s="532" t="s">
        <v>2414</v>
      </c>
      <c r="H79" s="493"/>
      <c r="I79" s="493"/>
      <c r="J79" s="493"/>
      <c r="K79" s="494"/>
      <c r="L79" s="495"/>
      <c r="M79" s="496"/>
      <c r="N79" s="2973"/>
      <c r="O79" s="2973"/>
      <c r="P79" s="2982"/>
      <c r="Q79" s="2959"/>
      <c r="R79" s="2945"/>
      <c r="S79" s="2945"/>
      <c r="T79" s="2945"/>
      <c r="U79" s="2945"/>
      <c r="V79" s="2945"/>
      <c r="W79" s="2945"/>
      <c r="X79" s="2945"/>
      <c r="Y79" s="2945"/>
      <c r="Z79" s="2945"/>
      <c r="AA79" s="2945"/>
      <c r="AB79" s="2945"/>
      <c r="AC79" s="2945"/>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74"/>
      <c r="O80" s="2974"/>
      <c r="P80" s="2982"/>
      <c r="Q80" s="2959"/>
      <c r="R80" s="2945"/>
      <c r="S80" s="2945"/>
      <c r="T80" s="2945"/>
      <c r="U80" s="2945"/>
      <c r="V80" s="2945"/>
      <c r="W80" s="2945"/>
      <c r="X80" s="2945"/>
      <c r="Y80" s="2945"/>
      <c r="Z80" s="2945"/>
      <c r="AA80" s="2945"/>
      <c r="AB80" s="2945"/>
      <c r="AC80" s="2945"/>
    </row>
    <row r="81" spans="1:29" ht="15.75" thickTop="1">
      <c r="A81" s="488"/>
      <c r="B81" s="492" t="s">
        <v>2416</v>
      </c>
      <c r="C81" s="532" t="s">
        <v>2410</v>
      </c>
      <c r="D81" s="532" t="s">
        <v>2411</v>
      </c>
      <c r="E81" s="532" t="s">
        <v>2412</v>
      </c>
      <c r="F81" s="532" t="s">
        <v>2413</v>
      </c>
      <c r="G81" s="532" t="s">
        <v>2414</v>
      </c>
      <c r="H81" s="493"/>
      <c r="I81" s="493"/>
      <c r="J81" s="493"/>
      <c r="K81" s="494"/>
      <c r="L81" s="495"/>
      <c r="M81" s="496"/>
      <c r="N81" s="2973"/>
      <c r="O81" s="2973"/>
      <c r="P81" s="2982"/>
      <c r="Q81" s="2959"/>
      <c r="R81" s="2945"/>
      <c r="S81" s="2945"/>
      <c r="T81" s="2945"/>
      <c r="U81" s="2945"/>
      <c r="V81" s="2945"/>
      <c r="W81" s="2945"/>
      <c r="X81" s="2945"/>
      <c r="Y81" s="2945"/>
      <c r="Z81" s="2945"/>
      <c r="AA81" s="2945"/>
      <c r="AB81" s="2945"/>
      <c r="AC81" s="2945"/>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74"/>
      <c r="O82" s="2974"/>
      <c r="P82" s="2982"/>
      <c r="Q82" s="2959"/>
      <c r="R82" s="2945"/>
      <c r="S82" s="2945"/>
      <c r="T82" s="2945"/>
      <c r="U82" s="2945"/>
      <c r="V82" s="2945"/>
      <c r="W82" s="2945"/>
      <c r="X82" s="2945"/>
      <c r="Y82" s="2945"/>
      <c r="Z82" s="2945"/>
      <c r="AA82" s="2945"/>
      <c r="AB82" s="2945"/>
      <c r="AC82" s="2945"/>
    </row>
    <row r="83" spans="1:29" ht="15.75" thickTop="1">
      <c r="A83" s="488"/>
      <c r="B83" s="500" t="s">
        <v>2502</v>
      </c>
      <c r="C83" s="613" t="s">
        <v>2488</v>
      </c>
      <c r="D83" s="613" t="s">
        <v>2489</v>
      </c>
      <c r="E83" s="613" t="s">
        <v>2490</v>
      </c>
      <c r="F83" s="613" t="s">
        <v>2491</v>
      </c>
      <c r="G83" s="613" t="s">
        <v>2492</v>
      </c>
      <c r="H83" s="493"/>
      <c r="I83" s="493"/>
      <c r="J83" s="493"/>
      <c r="K83" s="493"/>
      <c r="L83" s="493"/>
      <c r="M83" s="1288"/>
      <c r="N83" s="2974"/>
      <c r="O83" s="2974"/>
      <c r="P83" s="2982"/>
      <c r="Q83" s="2959"/>
      <c r="R83" s="2945"/>
      <c r="S83" s="2945"/>
      <c r="T83" s="2945"/>
      <c r="U83" s="2945"/>
      <c r="V83" s="2945"/>
      <c r="W83" s="2945"/>
      <c r="X83" s="2945"/>
      <c r="Y83" s="2945"/>
      <c r="Z83" s="2945"/>
      <c r="AA83" s="2945"/>
      <c r="AB83" s="2945"/>
      <c r="AC83" s="2945"/>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74"/>
      <c r="O84" s="2974"/>
      <c r="P84" s="2982"/>
      <c r="Q84" s="2959"/>
      <c r="R84" s="2945"/>
      <c r="S84" s="2945"/>
      <c r="T84" s="2945"/>
      <c r="U84" s="2945"/>
      <c r="V84" s="2945"/>
      <c r="W84" s="2945"/>
      <c r="X84" s="2945"/>
      <c r="Y84" s="2945"/>
      <c r="Z84" s="2945"/>
      <c r="AA84" s="2945"/>
      <c r="AB84" s="2945"/>
      <c r="AC84" s="2945"/>
    </row>
    <row r="85" spans="1:29" ht="15.75" thickTop="1">
      <c r="A85" s="488"/>
      <c r="B85" s="492" t="s">
        <v>2511</v>
      </c>
      <c r="C85" s="532" t="s">
        <v>2410</v>
      </c>
      <c r="D85" s="532" t="s">
        <v>2411</v>
      </c>
      <c r="E85" s="532" t="s">
        <v>2412</v>
      </c>
      <c r="F85" s="532" t="s">
        <v>2413</v>
      </c>
      <c r="G85" s="532" t="s">
        <v>2414</v>
      </c>
      <c r="H85" s="493"/>
      <c r="I85" s="493"/>
      <c r="J85" s="493"/>
      <c r="K85" s="494"/>
      <c r="L85" s="495"/>
      <c r="M85" s="496"/>
      <c r="N85" s="2973"/>
      <c r="O85" s="2973"/>
      <c r="P85" s="2982"/>
      <c r="Q85" s="2959"/>
      <c r="R85" s="2945"/>
      <c r="S85" s="2945"/>
      <c r="T85" s="2945"/>
      <c r="U85" s="2945"/>
      <c r="V85" s="2945"/>
      <c r="W85" s="2945"/>
      <c r="X85" s="2945"/>
      <c r="Y85" s="2945"/>
      <c r="Z85" s="2945"/>
      <c r="AA85" s="2945"/>
      <c r="AB85" s="2945"/>
      <c r="AC85" s="2945"/>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74"/>
      <c r="O86" s="2974"/>
      <c r="P86" s="2982"/>
      <c r="Q86" s="2959"/>
      <c r="R86" s="2945"/>
      <c r="S86" s="2945"/>
      <c r="T86" s="2945"/>
      <c r="U86" s="2945"/>
      <c r="V86" s="2945"/>
      <c r="W86" s="2945"/>
      <c r="X86" s="2945"/>
      <c r="Y86" s="2945"/>
      <c r="Z86" s="2945"/>
      <c r="AA86" s="2945"/>
      <c r="AB86" s="2945"/>
      <c r="AC86" s="2945"/>
    </row>
    <row r="87" spans="1:29" s="112" customFormat="1" ht="27.75" thickTop="1">
      <c r="A87" s="533"/>
      <c r="B87" s="492" t="s">
        <v>2512</v>
      </c>
      <c r="C87" s="508"/>
      <c r="D87" s="508"/>
      <c r="E87" s="508"/>
      <c r="F87" s="508"/>
      <c r="G87" s="508"/>
      <c r="H87" s="508"/>
      <c r="I87" s="508"/>
      <c r="J87" s="508"/>
      <c r="K87" s="508"/>
      <c r="L87" s="534"/>
      <c r="M87" s="535"/>
      <c r="N87" s="2972"/>
      <c r="O87" s="2972"/>
      <c r="P87" s="2982"/>
      <c r="Q87" s="2959"/>
      <c r="R87" s="2879"/>
      <c r="S87" s="2879"/>
      <c r="T87" s="2879"/>
      <c r="U87" s="2879"/>
      <c r="V87" s="2879"/>
      <c r="W87" s="2879"/>
      <c r="X87" s="2879"/>
      <c r="Y87" s="2879"/>
      <c r="Z87" s="2879"/>
      <c r="AA87" s="2879"/>
      <c r="AB87" s="2879"/>
      <c r="AC87" s="2879"/>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74"/>
      <c r="O88" s="2974"/>
      <c r="P88" s="2982"/>
      <c r="Q88" s="2959"/>
      <c r="R88" s="2879"/>
      <c r="S88" s="2879"/>
      <c r="T88" s="2879"/>
      <c r="U88" s="2879"/>
      <c r="V88" s="2879"/>
      <c r="W88" s="2879"/>
      <c r="X88" s="2879"/>
      <c r="Y88" s="2879"/>
      <c r="Z88" s="2879"/>
      <c r="AA88" s="2879"/>
      <c r="AB88" s="2879"/>
      <c r="AC88" s="2879"/>
    </row>
    <row r="89" spans="1:29" s="112" customFormat="1" ht="15.75" thickTop="1">
      <c r="A89" s="533"/>
      <c r="B89" s="492" t="str">
        <f>B27</f>
        <v>楼层</v>
      </c>
      <c r="C89" s="508"/>
      <c r="D89" s="508"/>
      <c r="E89" s="508"/>
      <c r="F89" s="2109"/>
      <c r="G89" s="508"/>
      <c r="H89" s="508"/>
      <c r="I89" s="508"/>
      <c r="J89" s="508"/>
      <c r="K89" s="508"/>
      <c r="L89" s="508"/>
      <c r="M89" s="535"/>
      <c r="N89" s="2972"/>
      <c r="O89" s="2972"/>
      <c r="P89" s="2982"/>
      <c r="Q89" s="2959"/>
      <c r="R89" s="2879"/>
      <c r="S89" s="2879"/>
      <c r="T89" s="2879"/>
      <c r="U89" s="2879"/>
      <c r="V89" s="2879"/>
      <c r="W89" s="2879"/>
      <c r="X89" s="2879"/>
      <c r="Y89" s="2879"/>
      <c r="Z89" s="2879"/>
      <c r="AA89" s="2879"/>
      <c r="AB89" s="2879"/>
      <c r="AC89" s="2879"/>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74"/>
      <c r="O90" s="2974"/>
      <c r="P90" s="2982"/>
      <c r="Q90" s="2959"/>
      <c r="R90" s="2879"/>
      <c r="S90" s="2879"/>
      <c r="T90" s="2879"/>
      <c r="U90" s="2879"/>
      <c r="V90" s="2879"/>
      <c r="W90" s="2879"/>
      <c r="X90" s="2879"/>
      <c r="Y90" s="2879"/>
      <c r="Z90" s="2879"/>
      <c r="AA90" s="2879"/>
      <c r="AB90" s="2879"/>
      <c r="AC90" s="2879"/>
    </row>
    <row r="91" spans="1:29" s="427" customFormat="1" ht="15.75" thickTop="1">
      <c r="A91" s="507"/>
      <c r="B91" s="492" t="str">
        <f>B28</f>
        <v>朝向</v>
      </c>
      <c r="C91" s="508"/>
      <c r="D91" s="508"/>
      <c r="E91" s="508"/>
      <c r="F91" s="508"/>
      <c r="G91" s="508"/>
      <c r="H91" s="509"/>
      <c r="I91" s="509"/>
      <c r="J91" s="509"/>
      <c r="K91" s="509"/>
      <c r="L91" s="510"/>
      <c r="M91" s="511"/>
      <c r="N91" s="2975"/>
      <c r="O91" s="2975"/>
      <c r="P91" s="2983"/>
      <c r="Q91" s="2966"/>
      <c r="R91" s="2967"/>
      <c r="S91" s="2967"/>
      <c r="T91" s="2967"/>
      <c r="U91" s="2967"/>
      <c r="V91" s="2967"/>
      <c r="W91" s="2967"/>
      <c r="X91" s="2967"/>
      <c r="Y91" s="2967"/>
      <c r="Z91" s="2967"/>
      <c r="AA91" s="2967"/>
      <c r="AB91" s="2967"/>
      <c r="AC91" s="2967"/>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88"/>
      <c r="B93" s="492">
        <f>B29</f>
        <v>111</v>
      </c>
      <c r="C93" s="508"/>
      <c r="D93" s="508"/>
      <c r="E93" s="508"/>
      <c r="F93" s="508"/>
      <c r="G93" s="508"/>
      <c r="H93" s="508"/>
      <c r="I93" s="508"/>
      <c r="J93" s="508"/>
      <c r="K93" s="508"/>
      <c r="L93" s="534"/>
      <c r="M93" s="535"/>
      <c r="N93" s="2973"/>
      <c r="O93" s="2973"/>
      <c r="P93" s="2982"/>
      <c r="Q93" s="2959"/>
      <c r="R93" s="2945"/>
      <c r="S93" s="2945"/>
      <c r="T93" s="2945"/>
      <c r="U93" s="2945"/>
      <c r="V93" s="2945"/>
      <c r="W93" s="2945"/>
      <c r="X93" s="2945"/>
      <c r="Y93" s="2945"/>
      <c r="Z93" s="2945"/>
      <c r="AA93" s="2945"/>
      <c r="AB93" s="2945"/>
      <c r="AC93" s="2945"/>
    </row>
    <row r="94" spans="1:29" ht="15.75" thickBot="1">
      <c r="A94" s="488"/>
      <c r="B94" s="497"/>
      <c r="C94" s="514"/>
      <c r="D94" s="490"/>
      <c r="E94" s="490"/>
      <c r="F94" s="490"/>
      <c r="G94" s="490"/>
      <c r="H94" s="490"/>
      <c r="I94" s="490"/>
      <c r="J94" s="490"/>
      <c r="K94" s="490"/>
      <c r="L94" s="490"/>
      <c r="M94" s="491"/>
      <c r="N94" s="2974"/>
      <c r="O94" s="2974"/>
      <c r="P94" s="2982"/>
      <c r="Q94" s="2959"/>
      <c r="R94" s="2945"/>
      <c r="S94" s="2945"/>
      <c r="T94" s="2945"/>
      <c r="U94" s="2945"/>
      <c r="V94" s="2945"/>
      <c r="W94" s="2945"/>
      <c r="X94" s="2945"/>
      <c r="Y94" s="2945"/>
      <c r="Z94" s="2945"/>
      <c r="AA94" s="2945"/>
      <c r="AB94" s="2945"/>
      <c r="AC94" s="2945"/>
    </row>
    <row r="95" spans="1:29" ht="15.75" thickTop="1">
      <c r="A95" s="488"/>
      <c r="B95" s="492">
        <f>B30</f>
        <v>111</v>
      </c>
      <c r="C95" s="508"/>
      <c r="D95" s="508"/>
      <c r="E95" s="508"/>
      <c r="F95" s="508"/>
      <c r="G95" s="537"/>
      <c r="H95" s="537"/>
      <c r="I95" s="537"/>
      <c r="J95" s="537"/>
      <c r="K95" s="538"/>
      <c r="L95" s="539"/>
      <c r="M95" s="540"/>
      <c r="N95" s="2973"/>
      <c r="O95" s="2973"/>
      <c r="P95" s="2982"/>
      <c r="Q95" s="2959"/>
      <c r="R95" s="2945"/>
      <c r="S95" s="2945"/>
      <c r="T95" s="2945"/>
      <c r="U95" s="2945"/>
      <c r="V95" s="2945"/>
      <c r="W95" s="2945"/>
      <c r="X95" s="2945"/>
      <c r="Y95" s="2945"/>
      <c r="Z95" s="2945"/>
      <c r="AA95" s="2945"/>
      <c r="AB95" s="2945"/>
      <c r="AC95" s="2945"/>
    </row>
    <row r="96" spans="1:29" ht="15.75" thickBot="1">
      <c r="A96" s="488"/>
      <c r="B96" s="497"/>
      <c r="C96" s="514"/>
      <c r="D96" s="514"/>
      <c r="E96" s="514"/>
      <c r="F96" s="514"/>
      <c r="G96" s="490"/>
      <c r="H96" s="490"/>
      <c r="I96" s="490"/>
      <c r="J96" s="490"/>
      <c r="K96" s="490"/>
      <c r="L96" s="490"/>
      <c r="M96" s="491"/>
      <c r="N96" s="2974"/>
      <c r="O96" s="2974"/>
      <c r="P96" s="2982"/>
      <c r="Q96" s="2959"/>
      <c r="R96" s="2945"/>
      <c r="S96" s="2945"/>
      <c r="T96" s="2945"/>
      <c r="U96" s="2945"/>
      <c r="V96" s="2945"/>
      <c r="W96" s="2945"/>
      <c r="X96" s="2945"/>
      <c r="Y96" s="2945"/>
      <c r="Z96" s="2945"/>
      <c r="AA96" s="2945"/>
      <c r="AB96" s="2945"/>
      <c r="AC96" s="2945"/>
    </row>
    <row r="97" spans="1:29" ht="15.75" thickTop="1">
      <c r="A97" s="488"/>
      <c r="B97" s="492">
        <f>B31</f>
        <v>111</v>
      </c>
      <c r="C97" s="508"/>
      <c r="D97" s="508"/>
      <c r="E97" s="508"/>
      <c r="F97" s="508"/>
      <c r="G97" s="537"/>
      <c r="H97" s="537"/>
      <c r="I97" s="537"/>
      <c r="J97" s="537"/>
      <c r="K97" s="538"/>
      <c r="L97" s="539"/>
      <c r="M97" s="540"/>
      <c r="N97" s="2973"/>
      <c r="O97" s="2973"/>
      <c r="P97" s="2982"/>
      <c r="Q97" s="2959"/>
      <c r="R97" s="2945"/>
      <c r="S97" s="2945"/>
      <c r="T97" s="2945"/>
      <c r="U97" s="2945"/>
      <c r="V97" s="2945"/>
      <c r="W97" s="2945"/>
      <c r="X97" s="2945"/>
      <c r="Y97" s="2945"/>
      <c r="Z97" s="2945"/>
      <c r="AA97" s="2945"/>
      <c r="AB97" s="2945"/>
      <c r="AC97" s="2945"/>
    </row>
    <row r="98" spans="1:29" ht="15.75" thickBot="1">
      <c r="A98" s="488"/>
      <c r="B98" s="497"/>
      <c r="C98" s="514"/>
      <c r="D98" s="490"/>
      <c r="E98" s="490"/>
      <c r="F98" s="490"/>
      <c r="G98" s="490"/>
      <c r="H98" s="490"/>
      <c r="I98" s="490"/>
      <c r="J98" s="490"/>
      <c r="K98" s="490"/>
      <c r="L98" s="490"/>
      <c r="M98" s="491"/>
      <c r="N98" s="2974"/>
      <c r="O98" s="2974"/>
      <c r="P98" s="2982"/>
      <c r="Q98" s="2959"/>
      <c r="R98" s="2945"/>
      <c r="S98" s="2945"/>
      <c r="T98" s="2945"/>
      <c r="U98" s="2945"/>
      <c r="V98" s="2945"/>
      <c r="W98" s="2945"/>
      <c r="X98" s="2945"/>
      <c r="Y98" s="2945"/>
      <c r="Z98" s="2945"/>
      <c r="AA98" s="2945"/>
      <c r="AB98" s="2945"/>
      <c r="AC98" s="2945"/>
    </row>
    <row r="99" spans="1:29" ht="15.75" thickTop="1">
      <c r="A99" s="488"/>
      <c r="B99" s="500">
        <f>B32</f>
        <v>111</v>
      </c>
      <c r="C99" s="477"/>
      <c r="D99" s="477"/>
      <c r="E99" s="477"/>
      <c r="F99" s="477"/>
      <c r="G99" s="541"/>
      <c r="H99" s="541"/>
      <c r="I99" s="541"/>
      <c r="J99" s="541"/>
      <c r="K99" s="542"/>
      <c r="L99" s="543"/>
      <c r="M99" s="544"/>
      <c r="N99" s="2973"/>
      <c r="O99" s="2973"/>
      <c r="P99" s="2982"/>
      <c r="Q99" s="2959"/>
      <c r="R99" s="2945"/>
      <c r="S99" s="2945"/>
      <c r="T99" s="2945"/>
      <c r="U99" s="2945"/>
      <c r="V99" s="2945"/>
      <c r="W99" s="2945"/>
      <c r="X99" s="2945"/>
      <c r="Y99" s="2945"/>
      <c r="Z99" s="2945"/>
      <c r="AA99" s="2945"/>
      <c r="AB99" s="2945"/>
      <c r="AC99" s="2945"/>
    </row>
    <row r="100" spans="1:29" ht="15.75" thickBot="1">
      <c r="A100" s="2110"/>
      <c r="B100" s="523"/>
      <c r="C100" s="524"/>
      <c r="D100" s="524"/>
      <c r="E100" s="524"/>
      <c r="F100" s="524"/>
      <c r="G100" s="545"/>
      <c r="H100" s="545"/>
      <c r="I100" s="545"/>
      <c r="J100" s="545"/>
      <c r="K100" s="545"/>
      <c r="L100" s="545"/>
      <c r="M100" s="546"/>
      <c r="N100" s="2974"/>
      <c r="O100" s="2974"/>
      <c r="P100" s="2982"/>
      <c r="Q100" s="2959"/>
      <c r="R100" s="2945"/>
      <c r="S100" s="2945"/>
      <c r="T100" s="2945"/>
      <c r="U100" s="2945"/>
      <c r="V100" s="2945"/>
      <c r="W100" s="2945"/>
      <c r="X100" s="2945"/>
      <c r="Y100" s="2945"/>
      <c r="Z100" s="2945"/>
      <c r="AA100" s="2945"/>
      <c r="AB100" s="2945"/>
      <c r="AC100" s="2945"/>
    </row>
    <row r="101" spans="1:29">
      <c r="A101" s="481" t="s">
        <v>2376</v>
      </c>
      <c r="B101" s="482" t="s">
        <v>2425</v>
      </c>
      <c r="C101" s="484"/>
      <c r="D101" s="484"/>
      <c r="E101" s="484"/>
      <c r="F101" s="484"/>
      <c r="G101" s="484"/>
      <c r="H101" s="484"/>
      <c r="I101" s="484"/>
      <c r="J101" s="484"/>
      <c r="K101" s="485"/>
      <c r="L101" s="486"/>
      <c r="M101" s="487"/>
      <c r="N101" s="2973"/>
      <c r="O101" s="2973"/>
      <c r="P101" s="2982"/>
      <c r="Q101" s="2959"/>
      <c r="R101" s="2945"/>
      <c r="S101" s="2945"/>
      <c r="T101" s="2945"/>
      <c r="U101" s="2945"/>
      <c r="V101" s="2945"/>
      <c r="W101" s="2945"/>
      <c r="X101" s="2945"/>
      <c r="Y101" s="2945"/>
      <c r="Z101" s="2945"/>
      <c r="AA101" s="2945"/>
      <c r="AB101" s="2945"/>
      <c r="AC101" s="2945"/>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88"/>
      <c r="B103" s="492" t="s">
        <v>2426</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27" customFormat="1">
      <c r="A104" s="547"/>
      <c r="B104" s="548"/>
      <c r="C104" s="549"/>
      <c r="D104" s="549"/>
      <c r="E104" s="549"/>
      <c r="F104" s="549"/>
      <c r="G104" s="549"/>
      <c r="H104" s="549"/>
      <c r="I104" s="549"/>
      <c r="J104" s="550"/>
      <c r="K104" s="550"/>
      <c r="L104" s="551"/>
      <c r="M104" s="552"/>
      <c r="N104" s="2975"/>
      <c r="O104" s="2975"/>
      <c r="P104" s="2983"/>
      <c r="Q104" s="2966"/>
      <c r="R104" s="2967"/>
      <c r="S104" s="2967"/>
      <c r="T104" s="2967"/>
      <c r="U104" s="2967"/>
      <c r="V104" s="2967"/>
      <c r="W104" s="2967"/>
      <c r="X104" s="2967"/>
      <c r="Y104" s="2967"/>
      <c r="Z104" s="2967"/>
      <c r="AA104" s="2967"/>
      <c r="AB104" s="2967"/>
      <c r="AC104" s="2967"/>
    </row>
    <row r="105" spans="1:29" s="427" customFormat="1" ht="15.75" thickBot="1">
      <c r="A105" s="507"/>
      <c r="B105" s="497"/>
      <c r="C105" s="514"/>
      <c r="D105" s="490"/>
      <c r="E105" s="490"/>
      <c r="F105" s="490"/>
      <c r="G105" s="490"/>
      <c r="H105" s="490"/>
      <c r="I105" s="490"/>
      <c r="J105" s="490"/>
      <c r="K105" s="490"/>
      <c r="L105" s="490"/>
      <c r="M105" s="491"/>
      <c r="N105" s="2974"/>
      <c r="O105" s="2974"/>
      <c r="P105" s="2983"/>
      <c r="Q105" s="2966"/>
      <c r="R105" s="2967"/>
      <c r="S105" s="2967"/>
      <c r="T105" s="2967"/>
      <c r="U105" s="2967"/>
      <c r="V105" s="2967"/>
      <c r="W105" s="2967"/>
      <c r="X105" s="2967"/>
      <c r="Y105" s="2967"/>
      <c r="Z105" s="2967"/>
      <c r="AA105" s="2967"/>
      <c r="AB105" s="2967"/>
      <c r="AC105" s="2967"/>
    </row>
    <row r="106" spans="1:29" ht="15" thickTop="1">
      <c r="A106" s="553"/>
      <c r="B106" s="492" t="s">
        <v>2427</v>
      </c>
      <c r="C106" s="508"/>
      <c r="D106" s="508"/>
      <c r="E106" s="537"/>
      <c r="F106" s="537"/>
      <c r="G106" s="537"/>
      <c r="H106" s="537"/>
      <c r="I106" s="537"/>
      <c r="J106" s="537"/>
      <c r="K106" s="538"/>
      <c r="L106" s="539"/>
      <c r="M106" s="540"/>
      <c r="N106" s="2973"/>
      <c r="O106" s="2973"/>
      <c r="P106" s="2982"/>
      <c r="Q106" s="2959"/>
      <c r="R106" s="2945"/>
      <c r="S106" s="2945"/>
      <c r="T106" s="2945"/>
      <c r="U106" s="2945"/>
      <c r="V106" s="2945"/>
      <c r="W106" s="2945"/>
      <c r="X106" s="2945"/>
      <c r="Y106" s="2945"/>
      <c r="Z106" s="2945"/>
      <c r="AA106" s="2945"/>
      <c r="AB106" s="2945"/>
      <c r="AC106" s="2945"/>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3"/>
      <c r="B108" s="492" t="s">
        <v>2429</v>
      </c>
      <c r="C108" s="508"/>
      <c r="D108" s="508"/>
      <c r="E108" s="508"/>
      <c r="F108" s="537"/>
      <c r="G108" s="537"/>
      <c r="H108" s="537"/>
      <c r="I108" s="537"/>
      <c r="J108" s="537"/>
      <c r="K108" s="538"/>
      <c r="L108" s="539"/>
      <c r="M108" s="540"/>
      <c r="N108" s="2973"/>
      <c r="O108" s="2973"/>
      <c r="P108" s="2982"/>
      <c r="Q108" s="2959"/>
      <c r="R108" s="2945"/>
      <c r="S108" s="2945"/>
      <c r="T108" s="2945"/>
      <c r="U108" s="2945"/>
      <c r="V108" s="2945"/>
      <c r="W108" s="2945"/>
      <c r="X108" s="2945"/>
      <c r="Y108" s="2945"/>
      <c r="Z108" s="2945"/>
      <c r="AA108" s="2945"/>
      <c r="AB108" s="2945"/>
      <c r="AC108" s="2945"/>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3"/>
      <c r="B110" s="492" t="s">
        <v>1874</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3"/>
      <c r="O110" s="2973"/>
      <c r="P110" s="2982"/>
      <c r="Q110" s="2959"/>
      <c r="R110" s="2945"/>
      <c r="S110" s="2945"/>
      <c r="T110" s="2945"/>
      <c r="U110" s="2945"/>
      <c r="V110" s="2945"/>
      <c r="W110" s="2945"/>
      <c r="X110" s="2945"/>
      <c r="Y110" s="2945"/>
      <c r="Z110" s="2945"/>
      <c r="AA110" s="2945"/>
      <c r="AB110" s="2945"/>
      <c r="AC110" s="2945"/>
    </row>
    <row r="111" spans="1:29">
      <c r="A111" s="553"/>
      <c r="B111" s="500"/>
      <c r="C111" s="557">
        <v>0.5</v>
      </c>
      <c r="D111" s="557">
        <v>0.6</v>
      </c>
      <c r="E111" s="557">
        <v>0.7</v>
      </c>
      <c r="F111" s="557">
        <v>0.8</v>
      </c>
      <c r="G111" s="557">
        <v>0.9</v>
      </c>
      <c r="H111" s="557">
        <v>1.0001</v>
      </c>
      <c r="I111" s="576"/>
      <c r="J111" s="576"/>
      <c r="K111" s="577"/>
      <c r="L111" s="578"/>
      <c r="M111" s="579"/>
      <c r="N111" s="2973"/>
      <c r="O111" s="2973"/>
      <c r="P111" s="2982"/>
      <c r="Q111" s="2959"/>
      <c r="R111" s="2945"/>
      <c r="S111" s="2945"/>
      <c r="T111" s="2945"/>
      <c r="U111" s="2945"/>
      <c r="V111" s="2945"/>
      <c r="W111" s="2945"/>
      <c r="X111" s="2945"/>
      <c r="Y111" s="2945"/>
      <c r="Z111" s="2945"/>
      <c r="AA111" s="2945"/>
      <c r="AB111" s="2945"/>
      <c r="AC111" s="2945"/>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74"/>
      <c r="O112" s="2974"/>
      <c r="P112" s="2982"/>
      <c r="Q112" s="2959"/>
      <c r="R112" s="2945"/>
      <c r="S112" s="2945"/>
      <c r="T112" s="2945"/>
      <c r="U112" s="2945"/>
      <c r="V112" s="2945"/>
      <c r="W112" s="2945"/>
      <c r="X112" s="2945"/>
      <c r="Y112" s="2945"/>
      <c r="Z112" s="2945"/>
      <c r="AA112" s="2945"/>
      <c r="AB112" s="2945"/>
      <c r="AC112" s="2945"/>
    </row>
    <row r="113" spans="1:29" s="427" customFormat="1" ht="15" thickTop="1">
      <c r="A113" s="547"/>
      <c r="B113" s="492" t="s">
        <v>2513</v>
      </c>
      <c r="C113" s="508"/>
      <c r="D113" s="508"/>
      <c r="E113" s="508"/>
      <c r="F113" s="508"/>
      <c r="G113" s="508"/>
      <c r="H113" s="537"/>
      <c r="I113" s="537"/>
      <c r="J113" s="537"/>
      <c r="K113" s="538"/>
      <c r="L113" s="539"/>
      <c r="M113" s="540"/>
      <c r="N113" s="2975"/>
      <c r="O113" s="2975"/>
      <c r="P113" s="2983"/>
      <c r="Q113" s="2966"/>
      <c r="R113" s="2967"/>
      <c r="S113" s="2967"/>
      <c r="T113" s="2967"/>
      <c r="U113" s="2967"/>
      <c r="V113" s="2967"/>
      <c r="W113" s="2967"/>
      <c r="X113" s="2967"/>
      <c r="Y113" s="2967"/>
      <c r="Z113" s="2967"/>
      <c r="AA113" s="2967"/>
      <c r="AB113" s="2967"/>
      <c r="AC113" s="2967"/>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3"/>
      <c r="B115" s="492" t="s">
        <v>2430</v>
      </c>
      <c r="C115" s="508"/>
      <c r="D115" s="508"/>
      <c r="E115" s="537"/>
      <c r="F115" s="537"/>
      <c r="G115" s="537"/>
      <c r="H115" s="537"/>
      <c r="I115" s="537"/>
      <c r="J115" s="537"/>
      <c r="K115" s="538"/>
      <c r="L115" s="539"/>
      <c r="M115" s="540"/>
      <c r="N115" s="2973"/>
      <c r="O115" s="2973"/>
      <c r="P115" s="2982"/>
      <c r="Q115" s="2959"/>
      <c r="R115" s="2945"/>
      <c r="S115" s="2945"/>
      <c r="T115" s="2945"/>
      <c r="U115" s="2945"/>
      <c r="V115" s="2945"/>
      <c r="W115" s="2945"/>
      <c r="X115" s="2945"/>
      <c r="Y115" s="2945"/>
      <c r="Z115" s="2945"/>
      <c r="AA115" s="2945"/>
      <c r="AB115" s="2945"/>
      <c r="AC115" s="2945"/>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3"/>
      <c r="B117" s="492" t="s">
        <v>2431</v>
      </c>
      <c r="C117" s="508"/>
      <c r="D117" s="508"/>
      <c r="E117" s="508"/>
      <c r="F117" s="508"/>
      <c r="G117" s="508"/>
      <c r="H117" s="537"/>
      <c r="I117" s="537"/>
      <c r="J117" s="537"/>
      <c r="K117" s="538"/>
      <c r="L117" s="539"/>
      <c r="M117" s="540"/>
      <c r="N117" s="2973"/>
      <c r="O117" s="2973"/>
      <c r="P117" s="2982"/>
      <c r="Q117" s="2959"/>
      <c r="R117" s="2945"/>
      <c r="S117" s="2945"/>
      <c r="T117" s="2945"/>
      <c r="U117" s="2945"/>
      <c r="V117" s="2945"/>
      <c r="W117" s="2945"/>
      <c r="X117" s="2945"/>
      <c r="Y117" s="2945"/>
      <c r="Z117" s="2945"/>
      <c r="AA117" s="2945"/>
      <c r="AB117" s="2945"/>
      <c r="AC117" s="2945"/>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74"/>
      <c r="O118" s="2974"/>
      <c r="P118" s="2982"/>
      <c r="Q118" s="2959"/>
      <c r="R118" s="2945"/>
      <c r="S118" s="2945"/>
      <c r="T118" s="2945"/>
      <c r="U118" s="2945"/>
      <c r="V118" s="2945"/>
      <c r="W118" s="2945"/>
      <c r="X118" s="2945"/>
      <c r="Y118" s="2945"/>
      <c r="Z118" s="2945"/>
      <c r="AA118" s="2945"/>
      <c r="AB118" s="2945"/>
      <c r="AC118" s="2945"/>
    </row>
    <row r="119" spans="1:29" ht="15" thickTop="1">
      <c r="A119" s="553"/>
      <c r="B119" s="589" t="s">
        <v>2514</v>
      </c>
      <c r="C119" s="537"/>
      <c r="D119" s="537"/>
      <c r="E119" s="537"/>
      <c r="F119" s="537"/>
      <c r="G119" s="537"/>
      <c r="H119" s="537"/>
      <c r="I119" s="537"/>
      <c r="J119" s="537"/>
      <c r="K119" s="537"/>
      <c r="L119" s="2150"/>
      <c r="M119" s="2151"/>
      <c r="N119" s="2974"/>
      <c r="O119" s="2974"/>
      <c r="P119" s="2987"/>
      <c r="Q119" s="2988"/>
      <c r="R119" s="2945"/>
      <c r="S119" s="2945"/>
      <c r="T119" s="2945"/>
      <c r="U119" s="2945"/>
      <c r="V119" s="2945"/>
      <c r="W119" s="2945"/>
      <c r="X119" s="2945"/>
      <c r="Y119" s="2945"/>
      <c r="Z119" s="2945"/>
      <c r="AA119" s="2945"/>
      <c r="AB119" s="2945"/>
      <c r="AC119" s="2945"/>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74"/>
      <c r="O120" s="2974"/>
      <c r="P120" s="2982"/>
      <c r="Q120" s="2959"/>
      <c r="R120" s="2945"/>
      <c r="S120" s="2945"/>
      <c r="T120" s="2945"/>
      <c r="U120" s="2945"/>
      <c r="V120" s="2945"/>
      <c r="W120" s="2945"/>
      <c r="X120" s="2945"/>
      <c r="Y120" s="2945"/>
      <c r="Z120" s="2945"/>
      <c r="AA120" s="2945"/>
      <c r="AB120" s="2945"/>
      <c r="AC120" s="2945"/>
    </row>
    <row r="121" spans="1:29" s="427" customFormat="1" ht="15" thickTop="1">
      <c r="A121" s="547"/>
      <c r="B121" s="492" t="s">
        <v>2497</v>
      </c>
      <c r="C121" s="508"/>
      <c r="D121" s="508"/>
      <c r="E121" s="508"/>
      <c r="F121" s="537"/>
      <c r="G121" s="509"/>
      <c r="H121" s="509"/>
      <c r="I121" s="509"/>
      <c r="J121" s="509"/>
      <c r="K121" s="509"/>
      <c r="L121" s="510"/>
      <c r="M121" s="511"/>
      <c r="N121" s="2975"/>
      <c r="O121" s="2975"/>
      <c r="P121" s="2983"/>
      <c r="Q121" s="2966"/>
      <c r="R121" s="2967"/>
      <c r="S121" s="2967"/>
      <c r="T121" s="2967"/>
      <c r="U121" s="2967"/>
      <c r="V121" s="2967"/>
      <c r="W121" s="2967"/>
      <c r="X121" s="2967"/>
      <c r="Y121" s="2967"/>
      <c r="Z121" s="2967"/>
      <c r="AA121" s="2967"/>
      <c r="AB121" s="2967"/>
      <c r="AC121" s="2967"/>
    </row>
    <row r="122" spans="1:29" s="427" customFormat="1" ht="15.75" thickBot="1">
      <c r="A122" s="507"/>
      <c r="B122" s="489"/>
      <c r="C122" s="514"/>
      <c r="D122" s="514"/>
      <c r="E122" s="514"/>
      <c r="F122" s="514"/>
      <c r="G122" s="514"/>
      <c r="H122" s="514"/>
      <c r="I122" s="514"/>
      <c r="J122" s="514"/>
      <c r="K122" s="514"/>
      <c r="L122" s="514"/>
      <c r="M122" s="514"/>
      <c r="N122" s="2975"/>
      <c r="O122" s="2975"/>
      <c r="P122" s="2983"/>
      <c r="Q122" s="2966"/>
      <c r="R122" s="2967"/>
      <c r="S122" s="2967"/>
      <c r="T122" s="2967"/>
      <c r="U122" s="2967"/>
      <c r="V122" s="2967"/>
      <c r="W122" s="2967"/>
      <c r="X122" s="2967"/>
      <c r="Y122" s="2967"/>
      <c r="Z122" s="2967"/>
      <c r="AA122" s="2967"/>
      <c r="AB122" s="2967"/>
      <c r="AC122" s="2967"/>
    </row>
    <row r="123" spans="1:29" ht="15" thickTop="1">
      <c r="A123" s="553"/>
      <c r="B123" s="492" t="s">
        <v>2433</v>
      </c>
      <c r="C123" s="508"/>
      <c r="D123" s="508"/>
      <c r="E123" s="508"/>
      <c r="F123" s="537"/>
      <c r="G123" s="537"/>
      <c r="H123" s="537"/>
      <c r="I123" s="537"/>
      <c r="J123" s="537"/>
      <c r="K123" s="538"/>
      <c r="L123" s="539"/>
      <c r="M123" s="540"/>
      <c r="N123" s="2973"/>
      <c r="O123" s="2973"/>
      <c r="P123" s="2982"/>
      <c r="Q123" s="2959"/>
      <c r="R123" s="2945"/>
      <c r="S123" s="2945"/>
      <c r="T123" s="2945"/>
      <c r="U123" s="2945"/>
      <c r="V123" s="2945"/>
      <c r="W123" s="2945"/>
      <c r="X123" s="2945"/>
      <c r="Y123" s="2945"/>
      <c r="Z123" s="2945"/>
      <c r="AA123" s="2945"/>
      <c r="AB123" s="2945"/>
      <c r="AC123" s="2945"/>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3"/>
      <c r="B125" s="492" t="s">
        <v>2434</v>
      </c>
      <c r="C125" s="532" t="s">
        <v>2410</v>
      </c>
      <c r="D125" s="532" t="s">
        <v>2411</v>
      </c>
      <c r="E125" s="532" t="s">
        <v>2412</v>
      </c>
      <c r="F125" s="532" t="s">
        <v>2413</v>
      </c>
      <c r="G125" s="532" t="s">
        <v>2414</v>
      </c>
      <c r="H125" s="493"/>
      <c r="I125" s="493"/>
      <c r="J125" s="493"/>
      <c r="K125" s="494"/>
      <c r="L125" s="495"/>
      <c r="M125" s="496"/>
      <c r="N125" s="2973"/>
      <c r="O125" s="2973"/>
      <c r="P125" s="2983"/>
      <c r="Q125" s="2959"/>
      <c r="R125" s="2945"/>
      <c r="S125" s="2945"/>
      <c r="T125" s="2945"/>
      <c r="U125" s="2945"/>
      <c r="V125" s="2945"/>
      <c r="W125" s="2945"/>
      <c r="X125" s="2945"/>
      <c r="Y125" s="2945"/>
      <c r="Z125" s="2945"/>
      <c r="AA125" s="2945"/>
      <c r="AB125" s="2945"/>
      <c r="AC125" s="2945"/>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74"/>
      <c r="O126" s="2974"/>
      <c r="P126" s="2982"/>
      <c r="Q126" s="2959"/>
      <c r="R126" s="2945"/>
      <c r="S126" s="2945"/>
      <c r="T126" s="2945"/>
      <c r="U126" s="2945"/>
      <c r="V126" s="2945"/>
      <c r="W126" s="2945"/>
      <c r="X126" s="2945"/>
      <c r="Y126" s="2945"/>
      <c r="Z126" s="2945"/>
      <c r="AA126" s="2945"/>
      <c r="AB126" s="2945"/>
      <c r="AC126" s="2945"/>
    </row>
    <row r="127" spans="1:29" s="427" customFormat="1" ht="15" thickTop="1">
      <c r="A127" s="547"/>
      <c r="B127" s="492">
        <f>B45</f>
        <v>111</v>
      </c>
      <c r="C127" s="508"/>
      <c r="D127" s="508"/>
      <c r="E127" s="508"/>
      <c r="F127" s="508"/>
      <c r="G127" s="508"/>
      <c r="H127" s="509"/>
      <c r="I127" s="509"/>
      <c r="J127" s="509"/>
      <c r="K127" s="509"/>
      <c r="L127" s="510"/>
      <c r="M127" s="511"/>
      <c r="N127" s="2975"/>
      <c r="O127" s="2975"/>
      <c r="P127" s="2983"/>
      <c r="Q127" s="2966"/>
      <c r="R127" s="2967"/>
      <c r="S127" s="2967"/>
      <c r="T127" s="2967"/>
      <c r="U127" s="2967"/>
      <c r="V127" s="2967"/>
      <c r="W127" s="2967"/>
      <c r="X127" s="2967"/>
      <c r="Y127" s="2967"/>
      <c r="Z127" s="2967"/>
      <c r="AA127" s="2967"/>
      <c r="AB127" s="2967"/>
      <c r="AC127" s="2967"/>
    </row>
    <row r="128" spans="1:29" s="427" customFormat="1" ht="15.75" thickBot="1">
      <c r="A128" s="507"/>
      <c r="B128" s="497"/>
      <c r="C128" s="514"/>
      <c r="D128" s="490"/>
      <c r="E128" s="490"/>
      <c r="F128" s="490"/>
      <c r="G128" s="514"/>
      <c r="H128" s="516"/>
      <c r="I128" s="516"/>
      <c r="J128" s="516"/>
      <c r="K128" s="516"/>
      <c r="L128" s="516"/>
      <c r="M128" s="517"/>
      <c r="N128" s="2975"/>
      <c r="O128" s="2975"/>
      <c r="P128" s="2983"/>
      <c r="Q128" s="2966"/>
      <c r="R128" s="2967"/>
      <c r="S128" s="2967"/>
      <c r="T128" s="2967"/>
      <c r="U128" s="2967"/>
      <c r="V128" s="2967"/>
      <c r="W128" s="2967"/>
      <c r="X128" s="2967"/>
      <c r="Y128" s="2967"/>
      <c r="Z128" s="2967"/>
      <c r="AA128" s="2967"/>
      <c r="AB128" s="2967"/>
      <c r="AC128" s="2967"/>
    </row>
    <row r="129" spans="1:29" ht="15" thickTop="1">
      <c r="A129" s="553"/>
      <c r="B129" s="492">
        <f>B46</f>
        <v>111</v>
      </c>
      <c r="C129" s="508"/>
      <c r="D129" s="508"/>
      <c r="E129" s="508"/>
      <c r="F129" s="508"/>
      <c r="G129" s="537"/>
      <c r="H129" s="537"/>
      <c r="I129" s="537"/>
      <c r="J129" s="537"/>
      <c r="K129" s="538"/>
      <c r="L129" s="539"/>
      <c r="M129" s="540"/>
      <c r="N129" s="2973"/>
      <c r="O129" s="2973"/>
      <c r="P129" s="2982"/>
      <c r="Q129" s="2959"/>
      <c r="R129" s="2945"/>
      <c r="S129" s="2945"/>
      <c r="T129" s="2945"/>
      <c r="U129" s="2945"/>
      <c r="V129" s="2945"/>
      <c r="W129" s="2945"/>
      <c r="X129" s="2945"/>
      <c r="Y129" s="2945"/>
      <c r="Z129" s="2945"/>
      <c r="AA129" s="2945"/>
      <c r="AB129" s="2945"/>
      <c r="AC129" s="2945"/>
    </row>
    <row r="130" spans="1:29" ht="15.75" thickBot="1">
      <c r="A130" s="488"/>
      <c r="B130" s="497"/>
      <c r="C130" s="514"/>
      <c r="D130" s="514"/>
      <c r="E130" s="514"/>
      <c r="F130" s="514"/>
      <c r="G130" s="490"/>
      <c r="H130" s="490"/>
      <c r="I130" s="490"/>
      <c r="J130" s="490"/>
      <c r="K130" s="490"/>
      <c r="L130" s="490"/>
      <c r="M130" s="491"/>
      <c r="N130" s="2974"/>
      <c r="O130" s="2974"/>
      <c r="P130" s="2982"/>
      <c r="Q130" s="2959"/>
      <c r="R130" s="2945"/>
      <c r="S130" s="2945"/>
      <c r="T130" s="2945"/>
      <c r="U130" s="2945"/>
      <c r="V130" s="2945"/>
      <c r="W130" s="2945"/>
      <c r="X130" s="2945"/>
      <c r="Y130" s="2945"/>
      <c r="Z130" s="2945"/>
      <c r="AA130" s="2945"/>
      <c r="AB130" s="2945"/>
      <c r="AC130" s="2945"/>
    </row>
    <row r="131" spans="1:29" ht="15" thickTop="1">
      <c r="A131" s="553"/>
      <c r="B131" s="500">
        <f>B47</f>
        <v>111</v>
      </c>
      <c r="C131" s="477"/>
      <c r="D131" s="477"/>
      <c r="E131" s="477"/>
      <c r="F131" s="477"/>
      <c r="G131" s="541"/>
      <c r="H131" s="541"/>
      <c r="I131" s="541"/>
      <c r="J131" s="541"/>
      <c r="K131" s="477"/>
      <c r="L131" s="478"/>
      <c r="M131" s="544"/>
      <c r="N131" s="2973"/>
      <c r="O131" s="2973"/>
      <c r="P131" s="2982"/>
      <c r="Q131" s="2959"/>
      <c r="R131" s="2945"/>
      <c r="S131" s="2945"/>
      <c r="T131" s="2945"/>
      <c r="U131" s="2945"/>
      <c r="V131" s="2945"/>
      <c r="W131" s="2945"/>
      <c r="X131" s="2945"/>
      <c r="Y131" s="2945"/>
      <c r="Z131" s="2945"/>
      <c r="AA131" s="2945"/>
      <c r="AB131" s="2945"/>
      <c r="AC131" s="2945"/>
    </row>
    <row r="132" spans="1:29" ht="15.75" thickBot="1">
      <c r="A132" s="2110"/>
      <c r="B132" s="523"/>
      <c r="C132" s="524"/>
      <c r="D132" s="524"/>
      <c r="E132" s="524"/>
      <c r="F132" s="524"/>
      <c r="G132" s="545"/>
      <c r="H132" s="545"/>
      <c r="I132" s="545"/>
      <c r="J132" s="545"/>
      <c r="K132" s="545"/>
      <c r="L132" s="545"/>
      <c r="M132" s="546"/>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2341</v>
      </c>
      <c r="B1" s="2139" t="s">
        <v>2515</v>
      </c>
      <c r="C1" s="1389" t="s">
        <v>2343</v>
      </c>
      <c r="D1" s="1390"/>
      <c r="E1" s="1399"/>
      <c r="F1" s="2061"/>
      <c r="G1" s="1400" t="s">
        <v>2456</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2143</v>
      </c>
      <c r="B2" s="1323" t="e">
        <f ca="1">IF(C2="——",ROUND(C43*D3/10000,0),ROUND(C43*D3/10000,0)-D2)</f>
        <v>#DIV/0!</v>
      </c>
      <c r="C2" s="2063"/>
      <c r="D2" s="1035" t="e">
        <f ca="1">SUMIF(INDIRECT("'"&amp;F2&amp;"'"&amp;"!A:A"),"承租人权益价值",INDIRECT("'"&amp;F2&amp;"'"&amp;"!c:c"))</f>
        <v>#REF!</v>
      </c>
      <c r="E2" s="2064" t="s">
        <v>2144</v>
      </c>
      <c r="F2" s="2065"/>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2145</v>
      </c>
      <c r="B3" s="563" t="e">
        <f ca="1">IF(C2="——",C43,ROUND(B2*10000/D3,0))</f>
        <v>#DIV/0!</v>
      </c>
      <c r="C3" s="357" t="s">
        <v>2457</v>
      </c>
      <c r="D3" s="356">
        <f>IF(D1="",'数据-汇总表'!E3,SUMIF('数据-汇总表'!$C19:$C33,D1,'数据-汇总表'!$E19:$E33))</f>
        <v>96983.22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2458</v>
      </c>
      <c r="B4" s="359"/>
      <c r="C4" s="3319" t="s">
        <v>2459</v>
      </c>
      <c r="D4" s="3320"/>
      <c r="E4" s="3321" t="s">
        <v>2460</v>
      </c>
      <c r="F4" s="3322"/>
      <c r="G4" s="3319" t="s">
        <v>2461</v>
      </c>
      <c r="H4" s="3320"/>
      <c r="I4" s="3319" t="s">
        <v>2462</v>
      </c>
      <c r="J4" s="3320"/>
      <c r="K4" s="564" t="s">
        <v>2463</v>
      </c>
      <c r="L4" s="1041"/>
      <c r="M4" s="1042"/>
      <c r="N4" s="1042"/>
      <c r="O4" s="1042"/>
      <c r="P4" s="3323" t="s">
        <v>2464</v>
      </c>
      <c r="Q4" s="3324"/>
      <c r="R4" s="3306" t="s">
        <v>2460</v>
      </c>
      <c r="S4" s="3307"/>
      <c r="T4" s="3306" t="s">
        <v>2461</v>
      </c>
      <c r="U4" s="3307"/>
      <c r="V4" s="3331" t="s">
        <v>2462</v>
      </c>
      <c r="W4" s="3331"/>
      <c r="X4" s="1537"/>
      <c r="Y4" s="3306" t="s">
        <v>2464</v>
      </c>
      <c r="Z4" s="3307"/>
      <c r="AA4" s="3301" t="s">
        <v>2460</v>
      </c>
      <c r="AB4" s="3302" t="s">
        <v>2461</v>
      </c>
      <c r="AC4" s="3301" t="s">
        <v>2462</v>
      </c>
    </row>
    <row r="5" spans="1:29" ht="15">
      <c r="A5" s="361"/>
      <c r="B5" s="362"/>
      <c r="C5" s="3312" t="s">
        <v>2355</v>
      </c>
      <c r="D5" s="3313"/>
      <c r="E5" s="3310" t="s">
        <v>2356</v>
      </c>
      <c r="F5" s="3311"/>
      <c r="G5" s="3312" t="s">
        <v>2357</v>
      </c>
      <c r="H5" s="3313"/>
      <c r="I5" s="3312" t="s">
        <v>2358</v>
      </c>
      <c r="J5" s="3313"/>
      <c r="K5" s="564"/>
      <c r="L5" s="1041"/>
      <c r="M5" s="1042"/>
      <c r="N5" s="1042"/>
      <c r="O5" s="1042"/>
      <c r="P5" s="3325"/>
      <c r="Q5" s="3326"/>
      <c r="R5" s="3308"/>
      <c r="S5" s="3309"/>
      <c r="T5" s="3308"/>
      <c r="U5" s="3309"/>
      <c r="V5" s="3331"/>
      <c r="W5" s="3331"/>
      <c r="X5" s="1537"/>
      <c r="Y5" s="3308"/>
      <c r="Z5" s="3309"/>
      <c r="AA5" s="3302"/>
      <c r="AB5" s="3302"/>
      <c r="AC5" s="3302"/>
    </row>
    <row r="6" spans="1:29" ht="15.75" thickBot="1">
      <c r="A6" s="363"/>
      <c r="B6" s="364"/>
      <c r="C6" s="3314" t="s">
        <v>2359</v>
      </c>
      <c r="D6" s="3315"/>
      <c r="E6" s="3316" t="s">
        <v>2359</v>
      </c>
      <c r="F6" s="3317"/>
      <c r="G6" s="3314" t="s">
        <v>2359</v>
      </c>
      <c r="H6" s="3315"/>
      <c r="I6" s="3314" t="s">
        <v>2359</v>
      </c>
      <c r="J6" s="3315"/>
      <c r="K6" s="564" t="s">
        <v>2360</v>
      </c>
      <c r="L6" s="1041"/>
      <c r="M6" s="1042"/>
      <c r="N6" s="1042"/>
      <c r="O6" s="1042"/>
      <c r="P6" s="3327"/>
      <c r="Q6" s="3328"/>
      <c r="R6" s="3308"/>
      <c r="S6" s="3309"/>
      <c r="T6" s="3329"/>
      <c r="U6" s="3330"/>
      <c r="V6" s="3331"/>
      <c r="W6" s="3331"/>
      <c r="X6" s="1537"/>
      <c r="Y6" s="3329"/>
      <c r="Z6" s="3330"/>
      <c r="AA6" s="3303"/>
      <c r="AB6" s="3303"/>
      <c r="AC6" s="3303"/>
    </row>
    <row r="7" spans="1:29" s="112" customFormat="1" ht="15.75" thickBot="1">
      <c r="A7" s="365" t="s">
        <v>2361</v>
      </c>
      <c r="B7" s="366"/>
      <c r="C7" s="367">
        <f>'数据-取费表'!B2</f>
        <v>44362</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04" t="s">
        <v>2362</v>
      </c>
      <c r="Q7" s="3332"/>
      <c r="R7" s="707" t="s">
        <v>17</v>
      </c>
      <c r="S7" s="708">
        <f t="shared" ref="S7:S15" si="0">F7</f>
        <v>0</v>
      </c>
      <c r="T7" s="707" t="s">
        <v>17</v>
      </c>
      <c r="U7" s="708">
        <f t="shared" ref="U7:U15" si="1">H7</f>
        <v>0</v>
      </c>
      <c r="V7" s="707" t="s">
        <v>17</v>
      </c>
      <c r="W7" s="708">
        <f t="shared" ref="W7:W15" si="2">J7</f>
        <v>0</v>
      </c>
      <c r="X7" s="709"/>
      <c r="Y7" s="3304" t="s">
        <v>2362</v>
      </c>
      <c r="Z7" s="3305"/>
      <c r="AA7" s="710" t="e">
        <f>D7/F7</f>
        <v>#DIV/0!</v>
      </c>
      <c r="AB7" s="710" t="e">
        <f>D7/H7</f>
        <v>#DIV/0!</v>
      </c>
      <c r="AC7" s="710" t="e">
        <f>D7/J7</f>
        <v>#DIV/0!</v>
      </c>
    </row>
    <row r="8" spans="1:29" s="112" customFormat="1" ht="15.75" thickBot="1">
      <c r="A8" s="365" t="s">
        <v>2363</v>
      </c>
      <c r="B8" s="366"/>
      <c r="C8" s="371" t="s">
        <v>2364</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04" t="s">
        <v>2365</v>
      </c>
      <c r="Q8" s="3305"/>
      <c r="R8" s="707" t="s">
        <v>17</v>
      </c>
      <c r="S8" s="708">
        <f t="shared" si="0"/>
        <v>0</v>
      </c>
      <c r="T8" s="707" t="s">
        <v>17</v>
      </c>
      <c r="U8" s="708">
        <f t="shared" si="1"/>
        <v>0</v>
      </c>
      <c r="V8" s="707" t="s">
        <v>17</v>
      </c>
      <c r="W8" s="708">
        <f t="shared" si="2"/>
        <v>0</v>
      </c>
      <c r="X8" s="709"/>
      <c r="Y8" s="3304" t="s">
        <v>2365</v>
      </c>
      <c r="Z8" s="3305"/>
      <c r="AA8" s="710" t="e">
        <f t="shared" ref="AA8:AA40" si="3">D8/F8</f>
        <v>#DIV/0!</v>
      </c>
      <c r="AB8" s="710" t="e">
        <f t="shared" ref="AB8:AB40" si="4">D8/H8</f>
        <v>#DIV/0!</v>
      </c>
      <c r="AC8" s="710" t="e">
        <f t="shared" ref="AC8:AC40" si="5">D8/J8</f>
        <v>#DIV/0!</v>
      </c>
    </row>
    <row r="9" spans="1:29" s="112" customFormat="1">
      <c r="A9" s="372" t="s">
        <v>2366</v>
      </c>
      <c r="B9" s="67" t="s">
        <v>2367</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36" t="s">
        <v>2368</v>
      </c>
      <c r="Q9" s="1525" t="str">
        <f t="shared" ref="Q9:Q15" si="6">B9</f>
        <v>用途</v>
      </c>
      <c r="R9" s="707" t="s">
        <v>17</v>
      </c>
      <c r="S9" s="708">
        <f t="shared" si="0"/>
        <v>100</v>
      </c>
      <c r="T9" s="707" t="s">
        <v>17</v>
      </c>
      <c r="U9" s="708">
        <f t="shared" si="1"/>
        <v>100</v>
      </c>
      <c r="V9" s="707" t="s">
        <v>17</v>
      </c>
      <c r="W9" s="708">
        <f t="shared" si="2"/>
        <v>100</v>
      </c>
      <c r="X9" s="709"/>
      <c r="Y9" s="3245" t="s">
        <v>2369</v>
      </c>
      <c r="Z9" s="55" t="str">
        <f t="shared" ref="Z9:Z15" si="7">Q9</f>
        <v>用途</v>
      </c>
      <c r="AA9" s="710">
        <f t="shared" si="3"/>
        <v>1</v>
      </c>
      <c r="AB9" s="710">
        <f t="shared" si="4"/>
        <v>1</v>
      </c>
      <c r="AC9" s="710">
        <f t="shared" si="5"/>
        <v>1</v>
      </c>
    </row>
    <row r="10" spans="1:29" s="383" customFormat="1" ht="27">
      <c r="A10" s="377"/>
      <c r="B10" s="378" t="s">
        <v>2370</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36"/>
      <c r="Q10" s="1525" t="str">
        <f t="shared" si="6"/>
        <v>土地使用年限（年）</v>
      </c>
      <c r="R10" s="707" t="s">
        <v>17</v>
      </c>
      <c r="S10" s="708">
        <f t="shared" si="0"/>
        <v>100</v>
      </c>
      <c r="T10" s="707" t="s">
        <v>17</v>
      </c>
      <c r="U10" s="708">
        <f t="shared" si="1"/>
        <v>100</v>
      </c>
      <c r="V10" s="707" t="s">
        <v>17</v>
      </c>
      <c r="W10" s="708">
        <f t="shared" si="2"/>
        <v>100</v>
      </c>
      <c r="X10" s="709"/>
      <c r="Y10" s="3245"/>
      <c r="Z10" s="55" t="str">
        <f t="shared" si="7"/>
        <v>土地使用年限（年）</v>
      </c>
      <c r="AA10" s="710">
        <f t="shared" si="3"/>
        <v>1</v>
      </c>
      <c r="AB10" s="710">
        <f t="shared" si="4"/>
        <v>1</v>
      </c>
      <c r="AC10" s="710">
        <f t="shared" si="5"/>
        <v>1</v>
      </c>
    </row>
    <row r="11" spans="1:29" ht="15">
      <c r="A11" s="384"/>
      <c r="B11" s="378" t="s">
        <v>2371</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36"/>
      <c r="Q11" s="1525" t="str">
        <f t="shared" si="6"/>
        <v>容积率</v>
      </c>
      <c r="R11" s="707" t="s">
        <v>17</v>
      </c>
      <c r="S11" s="708" t="e">
        <f t="shared" si="0"/>
        <v>#N/A</v>
      </c>
      <c r="T11" s="707" t="s">
        <v>17</v>
      </c>
      <c r="U11" s="708" t="e">
        <f t="shared" si="1"/>
        <v>#N/A</v>
      </c>
      <c r="V11" s="707" t="s">
        <v>17</v>
      </c>
      <c r="W11" s="708" t="e">
        <f t="shared" si="2"/>
        <v>#N/A</v>
      </c>
      <c r="X11" s="709"/>
      <c r="Y11" s="3245"/>
      <c r="Z11" s="55" t="str">
        <f t="shared" si="7"/>
        <v>容积率</v>
      </c>
      <c r="AA11" s="710" t="e">
        <f t="shared" si="3"/>
        <v>#N/A</v>
      </c>
      <c r="AB11" s="710" t="e">
        <f t="shared" si="4"/>
        <v>#N/A</v>
      </c>
      <c r="AC11" s="710" t="e">
        <f t="shared" si="5"/>
        <v>#N/A</v>
      </c>
    </row>
    <row r="12" spans="1:29" s="112" customFormat="1" ht="15">
      <c r="A12" s="387"/>
      <c r="B12" s="2075">
        <v>111</v>
      </c>
      <c r="C12" s="388"/>
      <c r="D12" s="389">
        <v>100</v>
      </c>
      <c r="E12" s="390"/>
      <c r="F12" s="129">
        <f>SUMIF(64:64,E12,65:65)-SUMIF(64:64,C12,65:65)+100</f>
        <v>100</v>
      </c>
      <c r="G12" s="2152"/>
      <c r="H12" s="129">
        <f>SUMIF(64:64,G12,65:65)-SUMIF(64:64,C12,65:65)+100</f>
        <v>100</v>
      </c>
      <c r="I12" s="425"/>
      <c r="J12" s="129">
        <f>SUMIF(64:64,I12,65:65)-SUMIF(64:64,C12,65:65)+100</f>
        <v>100</v>
      </c>
      <c r="K12" s="567"/>
      <c r="L12" s="1043"/>
      <c r="M12" s="1044"/>
      <c r="N12" s="1044"/>
      <c r="O12" s="1045"/>
      <c r="P12" s="3336"/>
      <c r="Q12" s="1525">
        <f t="shared" si="6"/>
        <v>111</v>
      </c>
      <c r="R12" s="707" t="s">
        <v>17</v>
      </c>
      <c r="S12" s="708">
        <f t="shared" si="0"/>
        <v>100</v>
      </c>
      <c r="T12" s="707" t="s">
        <v>17</v>
      </c>
      <c r="U12" s="708">
        <f t="shared" si="1"/>
        <v>100</v>
      </c>
      <c r="V12" s="707" t="s">
        <v>17</v>
      </c>
      <c r="W12" s="708">
        <f t="shared" si="2"/>
        <v>100</v>
      </c>
      <c r="X12" s="709"/>
      <c r="Y12" s="3245"/>
      <c r="Z12" s="55">
        <f t="shared" si="7"/>
        <v>111</v>
      </c>
      <c r="AA12" s="710">
        <f>D12/F12</f>
        <v>1</v>
      </c>
      <c r="AB12" s="710">
        <f>D12/H12</f>
        <v>1</v>
      </c>
      <c r="AC12" s="710">
        <f>D12/J12</f>
        <v>1</v>
      </c>
    </row>
    <row r="13" spans="1:29" ht="15">
      <c r="A13" s="384"/>
      <c r="B13" s="2075">
        <v>111</v>
      </c>
      <c r="C13" s="390"/>
      <c r="D13" s="391">
        <v>100</v>
      </c>
      <c r="E13" s="390"/>
      <c r="F13" s="129">
        <f>SUMIF(66:66,E13,67:67)-SUMIF(66:66,C13,67:67)+100</f>
        <v>100</v>
      </c>
      <c r="G13" s="2152"/>
      <c r="H13" s="391">
        <f>SUMIF(66:66,G13,67:67)-SUMIF(66:66,C13,67:67)+100</f>
        <v>100</v>
      </c>
      <c r="I13" s="425"/>
      <c r="J13" s="391">
        <f>SUMIF(66:66,I13,67:67)-SUMIF(66:66,C13,67:67)+100</f>
        <v>100</v>
      </c>
      <c r="K13" s="567"/>
      <c r="L13" s="1051"/>
      <c r="M13" s="1042"/>
      <c r="N13" s="1042"/>
      <c r="O13" s="1050"/>
      <c r="P13" s="3336"/>
      <c r="Q13" s="1525">
        <f t="shared" si="6"/>
        <v>111</v>
      </c>
      <c r="R13" s="707" t="s">
        <v>17</v>
      </c>
      <c r="S13" s="708">
        <f t="shared" si="0"/>
        <v>100</v>
      </c>
      <c r="T13" s="707" t="s">
        <v>17</v>
      </c>
      <c r="U13" s="708">
        <f t="shared" si="1"/>
        <v>100</v>
      </c>
      <c r="V13" s="707" t="s">
        <v>17</v>
      </c>
      <c r="W13" s="708">
        <f t="shared" si="2"/>
        <v>100</v>
      </c>
      <c r="X13" s="709"/>
      <c r="Y13" s="3245"/>
      <c r="Z13" s="55">
        <f t="shared" si="7"/>
        <v>111</v>
      </c>
      <c r="AA13" s="710">
        <f t="shared" si="3"/>
        <v>1</v>
      </c>
      <c r="AB13" s="710">
        <f t="shared" si="4"/>
        <v>1</v>
      </c>
      <c r="AC13" s="710">
        <f t="shared" si="5"/>
        <v>1</v>
      </c>
    </row>
    <row r="14" spans="1:29" ht="15.75" thickBot="1">
      <c r="A14" s="392"/>
      <c r="B14" s="2077">
        <v>111</v>
      </c>
      <c r="C14" s="393"/>
      <c r="D14" s="394">
        <v>100</v>
      </c>
      <c r="E14" s="393"/>
      <c r="F14" s="394">
        <f>SUMIF(68:68,E14,69:69)-SUMIF(68:68,C14,69:69)+100</f>
        <v>100</v>
      </c>
      <c r="G14" s="2152"/>
      <c r="H14" s="394">
        <f>SUMIF(68:68,G14,69:69)-SUMIF(68:68,C14,69:69)+100</f>
        <v>100</v>
      </c>
      <c r="I14" s="425"/>
      <c r="J14" s="394">
        <f>SUMIF(68:68,I14,69:69)-SUMIF(68:68,C14,69:69)+100</f>
        <v>100</v>
      </c>
      <c r="K14" s="567"/>
      <c r="L14" s="1051"/>
      <c r="M14" s="1042"/>
      <c r="N14" s="1042"/>
      <c r="O14" s="1050"/>
      <c r="P14" s="3336"/>
      <c r="Q14" s="1525">
        <f t="shared" si="6"/>
        <v>111</v>
      </c>
      <c r="R14" s="707" t="s">
        <v>17</v>
      </c>
      <c r="S14" s="708">
        <f t="shared" si="0"/>
        <v>100</v>
      </c>
      <c r="T14" s="707" t="s">
        <v>17</v>
      </c>
      <c r="U14" s="708">
        <f t="shared" si="1"/>
        <v>100</v>
      </c>
      <c r="V14" s="707" t="s">
        <v>17</v>
      </c>
      <c r="W14" s="708">
        <f t="shared" si="2"/>
        <v>100</v>
      </c>
      <c r="X14" s="709"/>
      <c r="Y14" s="3245"/>
      <c r="Z14" s="55">
        <f t="shared" si="7"/>
        <v>111</v>
      </c>
      <c r="AA14" s="710">
        <f t="shared" si="3"/>
        <v>1</v>
      </c>
      <c r="AB14" s="710">
        <f t="shared" si="4"/>
        <v>1</v>
      </c>
      <c r="AC14" s="710">
        <f t="shared" si="5"/>
        <v>1</v>
      </c>
    </row>
    <row r="15" spans="1:29" ht="57">
      <c r="A15" s="396" t="s">
        <v>2372</v>
      </c>
      <c r="B15" s="65" t="s">
        <v>2516</v>
      </c>
      <c r="C15" s="215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38" t="s">
        <v>2373</v>
      </c>
      <c r="Q15" s="1534" t="str">
        <f t="shared" si="6"/>
        <v>产业集聚程度</v>
      </c>
      <c r="R15" s="711" t="s">
        <v>17</v>
      </c>
      <c r="S15" s="712">
        <f t="shared" si="0"/>
        <v>100</v>
      </c>
      <c r="T15" s="711" t="s">
        <v>17</v>
      </c>
      <c r="U15" s="712">
        <f t="shared" si="1"/>
        <v>100</v>
      </c>
      <c r="V15" s="711" t="s">
        <v>17</v>
      </c>
      <c r="W15" s="712">
        <f t="shared" si="2"/>
        <v>100</v>
      </c>
      <c r="X15" s="1537"/>
      <c r="Y15" s="3338" t="s">
        <v>2373</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39"/>
      <c r="Q16" s="1534"/>
      <c r="R16" s="711"/>
      <c r="S16" s="712"/>
      <c r="T16" s="711"/>
      <c r="U16" s="712"/>
      <c r="V16" s="711"/>
      <c r="W16" s="712"/>
      <c r="X16" s="1537"/>
      <c r="Y16" s="3339"/>
      <c r="Z16" s="1538"/>
      <c r="AA16" s="1535">
        <v>1</v>
      </c>
      <c r="AB16" s="1535">
        <v>1</v>
      </c>
      <c r="AC16" s="1535">
        <v>1</v>
      </c>
    </row>
    <row r="17" spans="1:29" ht="85.5">
      <c r="A17" s="384"/>
      <c r="B17" s="407" t="s">
        <v>1943</v>
      </c>
      <c r="C17" s="208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39"/>
      <c r="Q17" s="1534" t="str">
        <f>B17</f>
        <v>交通便捷度</v>
      </c>
      <c r="R17" s="711" t="s">
        <v>17</v>
      </c>
      <c r="S17" s="712">
        <f>F17</f>
        <v>100</v>
      </c>
      <c r="T17" s="711" t="s">
        <v>17</v>
      </c>
      <c r="U17" s="712">
        <f>H17</f>
        <v>100</v>
      </c>
      <c r="V17" s="711" t="s">
        <v>17</v>
      </c>
      <c r="W17" s="712">
        <f>J17</f>
        <v>100</v>
      </c>
      <c r="X17" s="1537"/>
      <c r="Y17" s="3339"/>
      <c r="Z17" s="1538" t="str">
        <f>Q17</f>
        <v>交通便捷度</v>
      </c>
      <c r="AA17" s="1535">
        <f t="shared" si="3"/>
        <v>1</v>
      </c>
      <c r="AB17" s="1535">
        <f t="shared" si="4"/>
        <v>1</v>
      </c>
      <c r="AC17" s="1535">
        <f t="shared" si="5"/>
        <v>1</v>
      </c>
    </row>
    <row r="18" spans="1:29" ht="15">
      <c r="A18" s="384"/>
      <c r="B18" s="412"/>
      <c r="C18" s="2083"/>
      <c r="D18" s="406"/>
      <c r="E18" s="2085"/>
      <c r="F18" s="409"/>
      <c r="G18" s="2084"/>
      <c r="H18" s="404"/>
      <c r="I18" s="2085"/>
      <c r="J18" s="404"/>
      <c r="K18" s="569"/>
      <c r="L18" s="1051"/>
      <c r="M18" s="1042"/>
      <c r="N18" s="1042"/>
      <c r="O18" s="1050"/>
      <c r="P18" s="3339"/>
      <c r="Q18" s="1534"/>
      <c r="R18" s="711"/>
      <c r="S18" s="712"/>
      <c r="T18" s="711"/>
      <c r="U18" s="712"/>
      <c r="V18" s="711"/>
      <c r="W18" s="712"/>
      <c r="X18" s="1537"/>
      <c r="Y18" s="3339"/>
      <c r="Z18" s="1538"/>
      <c r="AA18" s="1535">
        <v>1</v>
      </c>
      <c r="AB18" s="1535">
        <v>1</v>
      </c>
      <c r="AC18" s="1535">
        <v>1</v>
      </c>
    </row>
    <row r="19" spans="1:29" ht="42.75">
      <c r="A19" s="384"/>
      <c r="B19" s="407" t="s">
        <v>2501</v>
      </c>
      <c r="C19" s="208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39"/>
      <c r="Q19" s="1534" t="str">
        <f>B19</f>
        <v>公共配套设施</v>
      </c>
      <c r="R19" s="711" t="s">
        <v>17</v>
      </c>
      <c r="S19" s="712">
        <f>F19</f>
        <v>100</v>
      </c>
      <c r="T19" s="711" t="s">
        <v>17</v>
      </c>
      <c r="U19" s="712">
        <f>H19</f>
        <v>100</v>
      </c>
      <c r="V19" s="711" t="s">
        <v>17</v>
      </c>
      <c r="W19" s="712">
        <f>J19</f>
        <v>100</v>
      </c>
      <c r="X19" s="1537"/>
      <c r="Y19" s="3339"/>
      <c r="Z19" s="1538" t="str">
        <f>Q19</f>
        <v>公共配套设施</v>
      </c>
      <c r="AA19" s="1535">
        <f t="shared" si="3"/>
        <v>1</v>
      </c>
      <c r="AB19" s="1535">
        <f t="shared" si="4"/>
        <v>1</v>
      </c>
      <c r="AC19" s="1535">
        <f t="shared" si="5"/>
        <v>1</v>
      </c>
    </row>
    <row r="20" spans="1:29" ht="15">
      <c r="A20" s="384"/>
      <c r="B20" s="412"/>
      <c r="C20" s="403"/>
      <c r="D20" s="404"/>
      <c r="E20" s="2080"/>
      <c r="F20" s="405"/>
      <c r="G20" s="2079"/>
      <c r="H20" s="404"/>
      <c r="I20" s="2080"/>
      <c r="J20" s="404"/>
      <c r="K20" s="569"/>
      <c r="L20" s="1051"/>
      <c r="M20" s="1042"/>
      <c r="N20" s="1042"/>
      <c r="O20" s="1050"/>
      <c r="P20" s="3339"/>
      <c r="Q20" s="1534"/>
      <c r="R20" s="711"/>
      <c r="S20" s="712"/>
      <c r="T20" s="711"/>
      <c r="U20" s="712"/>
      <c r="V20" s="711"/>
      <c r="W20" s="712"/>
      <c r="X20" s="1537"/>
      <c r="Y20" s="3339"/>
      <c r="Z20" s="1538"/>
      <c r="AA20" s="1535">
        <v>1</v>
      </c>
      <c r="AB20" s="1535">
        <v>1</v>
      </c>
      <c r="AC20" s="1535">
        <v>1</v>
      </c>
    </row>
    <row r="21" spans="1:29" ht="28.5">
      <c r="A21" s="384"/>
      <c r="B21" s="1290" t="s">
        <v>2502</v>
      </c>
      <c r="C21" s="208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39"/>
      <c r="Q21" s="1534" t="str">
        <f>B21</f>
        <v>基础设施水平</v>
      </c>
      <c r="R21" s="711" t="s">
        <v>17</v>
      </c>
      <c r="S21" s="712">
        <f>F21</f>
        <v>100</v>
      </c>
      <c r="T21" s="711" t="s">
        <v>17</v>
      </c>
      <c r="U21" s="712">
        <f>H21</f>
        <v>100</v>
      </c>
      <c r="V21" s="711" t="s">
        <v>17</v>
      </c>
      <c r="W21" s="712">
        <f>J21</f>
        <v>100</v>
      </c>
      <c r="X21" s="1537"/>
      <c r="Y21" s="3339"/>
      <c r="Z21" s="1538" t="str">
        <f>Q21</f>
        <v>基础设施水平</v>
      </c>
      <c r="AA21" s="1535">
        <f t="shared" ref="AA21" si="8">D21/F21</f>
        <v>1</v>
      </c>
      <c r="AB21" s="1535">
        <f t="shared" ref="AB21" si="9">D21/H21</f>
        <v>1</v>
      </c>
      <c r="AC21" s="1535">
        <f t="shared" ref="AC21" si="10">D21/J21</f>
        <v>1</v>
      </c>
    </row>
    <row r="22" spans="1:29" ht="15">
      <c r="A22" s="384"/>
      <c r="B22" s="1290"/>
      <c r="C22" s="2083"/>
      <c r="D22" s="404"/>
      <c r="E22" s="403"/>
      <c r="F22" s="405"/>
      <c r="G22" s="403"/>
      <c r="H22" s="404"/>
      <c r="I22" s="403"/>
      <c r="J22" s="404"/>
      <c r="K22" s="1289"/>
      <c r="L22" s="1051"/>
      <c r="M22" s="1042"/>
      <c r="N22" s="1042"/>
      <c r="O22" s="1050"/>
      <c r="P22" s="3339"/>
      <c r="Q22" s="1534"/>
      <c r="R22" s="711"/>
      <c r="S22" s="712"/>
      <c r="T22" s="711"/>
      <c r="U22" s="712"/>
      <c r="V22" s="711"/>
      <c r="W22" s="712"/>
      <c r="X22" s="1537"/>
      <c r="Y22" s="3339"/>
      <c r="Z22" s="1538"/>
      <c r="AA22" s="1535">
        <v>1</v>
      </c>
      <c r="AB22" s="1535">
        <v>1</v>
      </c>
      <c r="AC22" s="1535">
        <v>1</v>
      </c>
    </row>
    <row r="23" spans="1:29" ht="71.25">
      <c r="A23" s="384"/>
      <c r="B23" s="407" t="s">
        <v>2503</v>
      </c>
      <c r="C23" s="208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39"/>
      <c r="Q23" s="1534" t="str">
        <f>B23</f>
        <v>环境质量</v>
      </c>
      <c r="R23" s="711" t="s">
        <v>17</v>
      </c>
      <c r="S23" s="712">
        <f>F23</f>
        <v>100</v>
      </c>
      <c r="T23" s="711" t="s">
        <v>17</v>
      </c>
      <c r="U23" s="712">
        <f>H23</f>
        <v>100</v>
      </c>
      <c r="V23" s="711" t="s">
        <v>17</v>
      </c>
      <c r="W23" s="712">
        <f>J23</f>
        <v>100</v>
      </c>
      <c r="X23" s="1537"/>
      <c r="Y23" s="3339"/>
      <c r="Z23" s="1538" t="str">
        <f>Q23</f>
        <v>环境质量</v>
      </c>
      <c r="AA23" s="1535">
        <f t="shared" si="3"/>
        <v>1</v>
      </c>
      <c r="AB23" s="1535">
        <f t="shared" si="4"/>
        <v>1</v>
      </c>
      <c r="AC23" s="1535">
        <f t="shared" si="5"/>
        <v>1</v>
      </c>
    </row>
    <row r="24" spans="1:29" ht="15">
      <c r="A24" s="384"/>
      <c r="B24" s="1290"/>
      <c r="C24" s="403"/>
      <c r="D24" s="404"/>
      <c r="E24" s="2080"/>
      <c r="F24" s="405"/>
      <c r="G24" s="2079"/>
      <c r="H24" s="404"/>
      <c r="I24" s="2080"/>
      <c r="J24" s="404"/>
      <c r="K24" s="569"/>
      <c r="L24" s="1051"/>
      <c r="M24" s="1042"/>
      <c r="N24" s="1042"/>
      <c r="O24" s="1050"/>
      <c r="P24" s="3339"/>
      <c r="Q24" s="1534"/>
      <c r="R24" s="711"/>
      <c r="S24" s="712"/>
      <c r="T24" s="711"/>
      <c r="U24" s="712"/>
      <c r="V24" s="711"/>
      <c r="W24" s="712"/>
      <c r="X24" s="1537"/>
      <c r="Y24" s="3339"/>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39"/>
      <c r="Q25" s="1534">
        <f>B25</f>
        <v>111</v>
      </c>
      <c r="R25" s="711" t="s">
        <v>17</v>
      </c>
      <c r="S25" s="712">
        <f>F25</f>
        <v>100</v>
      </c>
      <c r="T25" s="711" t="s">
        <v>17</v>
      </c>
      <c r="U25" s="712">
        <f>H25</f>
        <v>100</v>
      </c>
      <c r="V25" s="711" t="s">
        <v>17</v>
      </c>
      <c r="W25" s="712">
        <f>J25</f>
        <v>100</v>
      </c>
      <c r="X25" s="1537"/>
      <c r="Y25" s="3339"/>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39"/>
      <c r="Q26" s="1534">
        <f t="shared" ref="Q26:Q40" si="11">B26</f>
        <v>111</v>
      </c>
      <c r="R26" s="711" t="s">
        <v>17</v>
      </c>
      <c r="S26" s="712">
        <f>F26</f>
        <v>100</v>
      </c>
      <c r="T26" s="711" t="s">
        <v>17</v>
      </c>
      <c r="U26" s="712">
        <f>H26</f>
        <v>100</v>
      </c>
      <c r="V26" s="711" t="s">
        <v>17</v>
      </c>
      <c r="W26" s="712">
        <f>J26</f>
        <v>100</v>
      </c>
      <c r="X26" s="1537"/>
      <c r="Y26" s="3339"/>
      <c r="Z26" s="1538">
        <f>Q26</f>
        <v>111</v>
      </c>
      <c r="AA26" s="1535">
        <f t="shared" si="3"/>
        <v>1</v>
      </c>
      <c r="AB26" s="1535">
        <f t="shared" si="4"/>
        <v>1</v>
      </c>
      <c r="AC26" s="1535">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39"/>
      <c r="Q27" s="1525">
        <f t="shared" si="11"/>
        <v>111</v>
      </c>
      <c r="R27" s="707" t="s">
        <v>17</v>
      </c>
      <c r="S27" s="708">
        <f>F27</f>
        <v>100</v>
      </c>
      <c r="T27" s="707" t="s">
        <v>17</v>
      </c>
      <c r="U27" s="708">
        <f>H27</f>
        <v>100</v>
      </c>
      <c r="V27" s="707" t="s">
        <v>17</v>
      </c>
      <c r="W27" s="708">
        <f>J27</f>
        <v>100</v>
      </c>
      <c r="X27" s="709"/>
      <c r="Y27" s="3339"/>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39"/>
      <c r="Q28" s="1534">
        <f t="shared" si="11"/>
        <v>111</v>
      </c>
      <c r="R28" s="711" t="s">
        <v>17</v>
      </c>
      <c r="S28" s="712">
        <f t="shared" ref="S28:S40" si="12">F28</f>
        <v>100</v>
      </c>
      <c r="T28" s="711" t="s">
        <v>17</v>
      </c>
      <c r="U28" s="712">
        <f t="shared" ref="U28:U40" si="13">H28</f>
        <v>100</v>
      </c>
      <c r="V28" s="711" t="s">
        <v>17</v>
      </c>
      <c r="W28" s="712">
        <f t="shared" ref="W28:W40" si="14">J28</f>
        <v>100</v>
      </c>
      <c r="X28" s="1537"/>
      <c r="Y28" s="3339"/>
      <c r="Z28" s="1538">
        <f t="shared" ref="Z28:Z40" si="15">Q28</f>
        <v>111</v>
      </c>
      <c r="AA28" s="1535">
        <f t="shared" si="3"/>
        <v>1</v>
      </c>
      <c r="AB28" s="1535">
        <f t="shared" si="4"/>
        <v>1</v>
      </c>
      <c r="AC28" s="1535">
        <f t="shared" si="5"/>
        <v>1</v>
      </c>
    </row>
    <row r="29" spans="1:29" ht="28.5">
      <c r="A29" s="422" t="s">
        <v>2376</v>
      </c>
      <c r="B29" s="67" t="s">
        <v>2506</v>
      </c>
      <c r="C29" s="2149"/>
      <c r="D29" s="423">
        <v>100</v>
      </c>
      <c r="E29" s="2149"/>
      <c r="F29" s="417">
        <f>SUMIF(88:88,E29,89:89)-SUMIF(88:88,C29,89:89)+100</f>
        <v>100</v>
      </c>
      <c r="G29" s="2149"/>
      <c r="H29" s="391">
        <f>SUMIF(88:88,G29,89:89)-SUMIF(88:88,C29,89:89)+100</f>
        <v>100</v>
      </c>
      <c r="I29" s="2149"/>
      <c r="J29" s="423">
        <f>SUMIF(88:88,I29,89:89)-SUMIF(88:88,C29,89:89)+100</f>
        <v>100</v>
      </c>
      <c r="K29" s="566"/>
      <c r="L29" s="1051"/>
      <c r="M29" s="1042"/>
      <c r="N29" s="1042"/>
      <c r="O29" s="1050"/>
      <c r="P29" s="3362" t="s">
        <v>2378</v>
      </c>
      <c r="Q29" s="1534" t="str">
        <f t="shared" si="11"/>
        <v>建筑类型</v>
      </c>
      <c r="R29" s="711" t="s">
        <v>17</v>
      </c>
      <c r="S29" s="712">
        <f t="shared" si="12"/>
        <v>100</v>
      </c>
      <c r="T29" s="711" t="s">
        <v>17</v>
      </c>
      <c r="U29" s="712">
        <f t="shared" si="13"/>
        <v>100</v>
      </c>
      <c r="V29" s="711" t="s">
        <v>17</v>
      </c>
      <c r="W29" s="712">
        <f t="shared" si="14"/>
        <v>100</v>
      </c>
      <c r="X29" s="1537"/>
      <c r="Y29" s="3343" t="s">
        <v>2378</v>
      </c>
      <c r="Z29" s="1538" t="str">
        <f t="shared" si="15"/>
        <v>建筑类型</v>
      </c>
      <c r="AA29" s="1535">
        <f t="shared" si="3"/>
        <v>1</v>
      </c>
      <c r="AB29" s="1535">
        <f t="shared" si="4"/>
        <v>1</v>
      </c>
      <c r="AC29" s="1535">
        <f t="shared" si="5"/>
        <v>1</v>
      </c>
    </row>
    <row r="30" spans="1:29" s="427" customFormat="1" ht="15">
      <c r="A30" s="424"/>
      <c r="B30" s="378" t="s">
        <v>2379</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43"/>
      <c r="Q30" s="713" t="str">
        <f t="shared" si="11"/>
        <v>项目建筑规模</v>
      </c>
      <c r="R30" s="714" t="s">
        <v>17</v>
      </c>
      <c r="S30" s="715" t="e">
        <f t="shared" si="12"/>
        <v>#N/A</v>
      </c>
      <c r="T30" s="714" t="s">
        <v>17</v>
      </c>
      <c r="U30" s="715" t="e">
        <f t="shared" si="13"/>
        <v>#N/A</v>
      </c>
      <c r="V30" s="714" t="s">
        <v>17</v>
      </c>
      <c r="W30" s="715" t="e">
        <f t="shared" si="14"/>
        <v>#N/A</v>
      </c>
      <c r="X30" s="716"/>
      <c r="Y30" s="3343"/>
      <c r="Z30" s="717" t="str">
        <f t="shared" si="15"/>
        <v>项目建筑规模</v>
      </c>
      <c r="AA30" s="1535" t="e">
        <f t="shared" si="3"/>
        <v>#N/A</v>
      </c>
      <c r="AB30" s="1535" t="e">
        <f t="shared" si="4"/>
        <v>#N/A</v>
      </c>
      <c r="AC30" s="1535" t="e">
        <f t="shared" si="5"/>
        <v>#N/A</v>
      </c>
    </row>
    <row r="31" spans="1:29" ht="15">
      <c r="A31" s="428"/>
      <c r="B31" s="378" t="s">
        <v>2380</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43"/>
      <c r="Q31" s="1534" t="str">
        <f t="shared" si="11"/>
        <v>建筑结构</v>
      </c>
      <c r="R31" s="711" t="s">
        <v>17</v>
      </c>
      <c r="S31" s="712">
        <f t="shared" si="12"/>
        <v>100</v>
      </c>
      <c r="T31" s="711" t="s">
        <v>17</v>
      </c>
      <c r="U31" s="712">
        <f t="shared" si="13"/>
        <v>100</v>
      </c>
      <c r="V31" s="711" t="s">
        <v>17</v>
      </c>
      <c r="W31" s="712">
        <f t="shared" si="14"/>
        <v>100</v>
      </c>
      <c r="X31" s="1537"/>
      <c r="Y31" s="3343"/>
      <c r="Z31" s="1538" t="str">
        <f t="shared" si="15"/>
        <v>建筑结构</v>
      </c>
      <c r="AA31" s="1535">
        <f t="shared" si="3"/>
        <v>1</v>
      </c>
      <c r="AB31" s="1535">
        <f t="shared" si="4"/>
        <v>1</v>
      </c>
      <c r="AC31" s="1535">
        <f t="shared" si="5"/>
        <v>1</v>
      </c>
    </row>
    <row r="32" spans="1:29" ht="15">
      <c r="A32" s="428"/>
      <c r="B32" s="378" t="s">
        <v>2474</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43"/>
      <c r="Q32" s="1534" t="str">
        <f t="shared" si="11"/>
        <v>公共部分装修</v>
      </c>
      <c r="R32" s="711" t="s">
        <v>17</v>
      </c>
      <c r="S32" s="712">
        <f t="shared" si="12"/>
        <v>100</v>
      </c>
      <c r="T32" s="711" t="s">
        <v>17</v>
      </c>
      <c r="U32" s="712">
        <f t="shared" si="13"/>
        <v>100</v>
      </c>
      <c r="V32" s="711" t="s">
        <v>17</v>
      </c>
      <c r="W32" s="712">
        <f t="shared" si="14"/>
        <v>100</v>
      </c>
      <c r="X32" s="1537"/>
      <c r="Y32" s="3343"/>
      <c r="Z32" s="1538" t="str">
        <f t="shared" si="15"/>
        <v>公共部分装修</v>
      </c>
      <c r="AA32" s="1535">
        <f t="shared" si="3"/>
        <v>1</v>
      </c>
      <c r="AB32" s="1535">
        <f t="shared" si="4"/>
        <v>1</v>
      </c>
      <c r="AC32" s="1535">
        <f t="shared" si="5"/>
        <v>1</v>
      </c>
    </row>
    <row r="33" spans="1:29" ht="15">
      <c r="A33" s="428"/>
      <c r="B33" s="378" t="s">
        <v>2475</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43"/>
      <c r="Q33" s="1534" t="str">
        <f t="shared" si="11"/>
        <v>成新度</v>
      </c>
      <c r="R33" s="711" t="s">
        <v>17</v>
      </c>
      <c r="S33" s="712" t="e">
        <f t="shared" si="12"/>
        <v>#N/A</v>
      </c>
      <c r="T33" s="711" t="s">
        <v>17</v>
      </c>
      <c r="U33" s="712" t="e">
        <f t="shared" si="13"/>
        <v>#N/A</v>
      </c>
      <c r="V33" s="711" t="s">
        <v>17</v>
      </c>
      <c r="W33" s="712" t="e">
        <f t="shared" si="14"/>
        <v>#N/A</v>
      </c>
      <c r="X33" s="1537"/>
      <c r="Y33" s="3343"/>
      <c r="Z33" s="1538" t="str">
        <f t="shared" si="15"/>
        <v>成新度</v>
      </c>
      <c r="AA33" s="1535" t="e">
        <f t="shared" si="3"/>
        <v>#N/A</v>
      </c>
      <c r="AB33" s="1535" t="e">
        <f t="shared" si="4"/>
        <v>#N/A</v>
      </c>
      <c r="AC33" s="1535" t="e">
        <f t="shared" si="5"/>
        <v>#N/A</v>
      </c>
    </row>
    <row r="34" spans="1:29" s="112" customFormat="1" ht="15">
      <c r="A34" s="429"/>
      <c r="B34" s="378" t="s">
        <v>2508</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43"/>
      <c r="Q34" s="1525" t="str">
        <f t="shared" si="11"/>
        <v>物业管理</v>
      </c>
      <c r="R34" s="707" t="s">
        <v>17</v>
      </c>
      <c r="S34" s="708">
        <f t="shared" si="12"/>
        <v>100</v>
      </c>
      <c r="T34" s="707" t="s">
        <v>17</v>
      </c>
      <c r="U34" s="708">
        <f t="shared" si="13"/>
        <v>100</v>
      </c>
      <c r="V34" s="707" t="s">
        <v>17</v>
      </c>
      <c r="W34" s="708">
        <f t="shared" si="14"/>
        <v>100</v>
      </c>
      <c r="X34" s="709"/>
      <c r="Y34" s="3343"/>
      <c r="Z34" s="55" t="str">
        <f t="shared" si="15"/>
        <v>物业管理</v>
      </c>
      <c r="AA34" s="710">
        <f t="shared" si="3"/>
        <v>1</v>
      </c>
      <c r="AB34" s="710">
        <f t="shared" si="4"/>
        <v>1</v>
      </c>
      <c r="AC34" s="710">
        <f t="shared" si="5"/>
        <v>1</v>
      </c>
    </row>
    <row r="35" spans="1:29" ht="15">
      <c r="A35" s="428"/>
      <c r="B35" s="378" t="s">
        <v>2476</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43" t="s">
        <v>2378</v>
      </c>
      <c r="Q35" s="1534" t="str">
        <f t="shared" si="11"/>
        <v>市政基础设施</v>
      </c>
      <c r="R35" s="711" t="s">
        <v>17</v>
      </c>
      <c r="S35" s="712">
        <f t="shared" si="12"/>
        <v>100</v>
      </c>
      <c r="T35" s="711" t="s">
        <v>17</v>
      </c>
      <c r="U35" s="712">
        <f t="shared" si="13"/>
        <v>100</v>
      </c>
      <c r="V35" s="711" t="s">
        <v>17</v>
      </c>
      <c r="W35" s="712">
        <f t="shared" si="14"/>
        <v>100</v>
      </c>
      <c r="X35" s="1537"/>
      <c r="Y35" s="3343" t="s">
        <v>2378</v>
      </c>
      <c r="Z35" s="1538" t="str">
        <f t="shared" si="15"/>
        <v>市政基础设施</v>
      </c>
      <c r="AA35" s="1535">
        <f t="shared" si="3"/>
        <v>1</v>
      </c>
      <c r="AB35" s="1535">
        <f t="shared" si="4"/>
        <v>1</v>
      </c>
      <c r="AC35" s="1535">
        <f t="shared" si="5"/>
        <v>1</v>
      </c>
    </row>
    <row r="36" spans="1:29" ht="15">
      <c r="A36" s="428"/>
      <c r="B36" s="378" t="s">
        <v>2481</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43"/>
      <c r="Q36" s="1534" t="str">
        <f t="shared" si="11"/>
        <v>内部装修</v>
      </c>
      <c r="R36" s="711" t="s">
        <v>17</v>
      </c>
      <c r="S36" s="712">
        <f t="shared" si="12"/>
        <v>100</v>
      </c>
      <c r="T36" s="711" t="s">
        <v>17</v>
      </c>
      <c r="U36" s="712">
        <f t="shared" si="13"/>
        <v>100</v>
      </c>
      <c r="V36" s="711" t="s">
        <v>17</v>
      </c>
      <c r="W36" s="712">
        <f t="shared" si="14"/>
        <v>100</v>
      </c>
      <c r="X36" s="1537"/>
      <c r="Y36" s="3343"/>
      <c r="Z36" s="1538" t="str">
        <f t="shared" si="15"/>
        <v>内部装修</v>
      </c>
      <c r="AA36" s="1535">
        <f t="shared" si="3"/>
        <v>1</v>
      </c>
      <c r="AB36" s="1535">
        <f t="shared" si="4"/>
        <v>1</v>
      </c>
      <c r="AC36" s="1535">
        <f t="shared" si="5"/>
        <v>1</v>
      </c>
    </row>
    <row r="37" spans="1:29" ht="15">
      <c r="A37" s="428"/>
      <c r="B37" s="378" t="s">
        <v>2517</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43"/>
      <c r="Q37" s="1534" t="str">
        <f t="shared" si="11"/>
        <v>内部装修状况</v>
      </c>
      <c r="R37" s="711" t="s">
        <v>17</v>
      </c>
      <c r="S37" s="712">
        <f t="shared" si="12"/>
        <v>100</v>
      </c>
      <c r="T37" s="711" t="s">
        <v>17</v>
      </c>
      <c r="U37" s="712">
        <f t="shared" si="13"/>
        <v>100</v>
      </c>
      <c r="V37" s="711" t="s">
        <v>17</v>
      </c>
      <c r="W37" s="712">
        <f t="shared" si="14"/>
        <v>100</v>
      </c>
      <c r="X37" s="1537"/>
      <c r="Y37" s="3343"/>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43"/>
      <c r="Q38" s="713">
        <f t="shared" si="11"/>
        <v>111</v>
      </c>
      <c r="R38" s="714" t="s">
        <v>17</v>
      </c>
      <c r="S38" s="715">
        <f t="shared" si="12"/>
        <v>100</v>
      </c>
      <c r="T38" s="714" t="s">
        <v>17</v>
      </c>
      <c r="U38" s="715">
        <f t="shared" si="13"/>
        <v>100</v>
      </c>
      <c r="V38" s="714" t="s">
        <v>17</v>
      </c>
      <c r="W38" s="715">
        <f t="shared" si="14"/>
        <v>100</v>
      </c>
      <c r="X38" s="716"/>
      <c r="Y38" s="3343"/>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43"/>
      <c r="Q39" s="1534">
        <f t="shared" si="11"/>
        <v>111</v>
      </c>
      <c r="R39" s="711" t="s">
        <v>17</v>
      </c>
      <c r="S39" s="712">
        <f t="shared" si="12"/>
        <v>100</v>
      </c>
      <c r="T39" s="711" t="s">
        <v>17</v>
      </c>
      <c r="U39" s="712">
        <f t="shared" si="13"/>
        <v>100</v>
      </c>
      <c r="V39" s="711" t="s">
        <v>17</v>
      </c>
      <c r="W39" s="712">
        <f t="shared" si="14"/>
        <v>100</v>
      </c>
      <c r="X39" s="1537"/>
      <c r="Y39" s="3343"/>
      <c r="Z39" s="1538">
        <f t="shared" si="15"/>
        <v>111</v>
      </c>
      <c r="AA39" s="1535">
        <f t="shared" si="3"/>
        <v>1</v>
      </c>
      <c r="AB39" s="1535">
        <f t="shared" si="4"/>
        <v>1</v>
      </c>
      <c r="AC39" s="1535">
        <f t="shared" si="5"/>
        <v>1</v>
      </c>
    </row>
    <row r="40" spans="1:29" ht="15.75" thickBot="1">
      <c r="A40" s="434"/>
      <c r="B40" s="207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44"/>
      <c r="Q40" s="1534">
        <f t="shared" si="11"/>
        <v>111</v>
      </c>
      <c r="R40" s="711" t="s">
        <v>17</v>
      </c>
      <c r="S40" s="712">
        <f t="shared" si="12"/>
        <v>100</v>
      </c>
      <c r="T40" s="711" t="s">
        <v>17</v>
      </c>
      <c r="U40" s="712">
        <f t="shared" si="13"/>
        <v>100</v>
      </c>
      <c r="V40" s="711" t="s">
        <v>17</v>
      </c>
      <c r="W40" s="712">
        <f t="shared" si="14"/>
        <v>100</v>
      </c>
      <c r="X40" s="1537"/>
      <c r="Y40" s="3344"/>
      <c r="Z40" s="1538">
        <f t="shared" si="15"/>
        <v>111</v>
      </c>
      <c r="AA40" s="1535">
        <f t="shared" si="3"/>
        <v>1</v>
      </c>
      <c r="AB40" s="1535">
        <f t="shared" si="4"/>
        <v>1</v>
      </c>
      <c r="AC40" s="1535">
        <f t="shared" si="5"/>
        <v>1</v>
      </c>
    </row>
    <row r="41" spans="1:29" ht="15">
      <c r="A41" s="435" t="s">
        <v>2390</v>
      </c>
      <c r="B41" s="436"/>
      <c r="C41" s="1313" t="s">
        <v>1</v>
      </c>
      <c r="D41" s="1314"/>
      <c r="E41" s="1315"/>
      <c r="F41" s="1316"/>
      <c r="G41" s="1317"/>
      <c r="H41" s="1318"/>
      <c r="I41" s="1315"/>
      <c r="J41" s="1318"/>
      <c r="K41" s="720"/>
      <c r="L41" s="1054"/>
      <c r="M41" s="1055"/>
      <c r="N41" s="1042"/>
      <c r="O41" s="1055"/>
      <c r="P41" s="3336" t="str">
        <f>A41</f>
        <v>成交单价（元/平方米）</v>
      </c>
      <c r="Q41" s="3336"/>
      <c r="R41" s="3337">
        <f>E41</f>
        <v>0</v>
      </c>
      <c r="S41" s="3337"/>
      <c r="T41" s="3337">
        <f>G41</f>
        <v>0</v>
      </c>
      <c r="U41" s="3337"/>
      <c r="V41" s="3337">
        <f>I41</f>
        <v>0</v>
      </c>
      <c r="W41" s="3337"/>
      <c r="X41" s="696"/>
      <c r="Y41" s="718"/>
      <c r="Z41" s="696"/>
      <c r="AA41" s="696"/>
      <c r="AB41" s="696"/>
      <c r="AC41" s="696"/>
    </row>
    <row r="42" spans="1:29" ht="15.75" thickBot="1">
      <c r="A42" s="442" t="s">
        <v>2482</v>
      </c>
      <c r="B42" s="443"/>
      <c r="C42" s="1319" t="e">
        <f>R43</f>
        <v>#DIV/0!</v>
      </c>
      <c r="D42" s="2534" t="s">
        <v>2871</v>
      </c>
      <c r="E42" s="1320" t="e">
        <f>R42</f>
        <v>#DIV/0!</v>
      </c>
      <c r="F42" s="2535"/>
      <c r="G42" s="1319" t="e">
        <f>T42</f>
        <v>#DIV/0!</v>
      </c>
      <c r="H42" s="2535"/>
      <c r="I42" s="1320" t="e">
        <f>V42</f>
        <v>#DIV/0!</v>
      </c>
      <c r="J42" s="2535"/>
      <c r="K42" s="2537">
        <f>F42+H42+J42</f>
        <v>0</v>
      </c>
      <c r="L42" s="1054"/>
      <c r="M42" s="1055"/>
      <c r="N42" s="1042"/>
      <c r="O42" s="1055"/>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6"/>
      <c r="Y42" s="696"/>
      <c r="Z42" s="696"/>
      <c r="AA42" s="696"/>
      <c r="AB42" s="696"/>
      <c r="AC42" s="696"/>
    </row>
    <row r="43" spans="1:29" ht="15.75" thickBot="1">
      <c r="A43" s="446" t="s">
        <v>2483</v>
      </c>
      <c r="B43" s="447"/>
      <c r="C43" s="1322" t="e">
        <f>R43</f>
        <v>#DIV/0!</v>
      </c>
      <c r="D43" s="1322"/>
      <c r="E43" s="1322"/>
      <c r="F43" s="1322"/>
      <c r="G43" s="1322"/>
      <c r="H43" s="1322"/>
      <c r="I43" s="1322"/>
      <c r="J43" s="1322"/>
      <c r="K43" s="721"/>
      <c r="L43" s="1054"/>
      <c r="M43" s="1055"/>
      <c r="N43" s="1055"/>
      <c r="O43" s="1055"/>
      <c r="P43" s="3333" t="str">
        <f>A43</f>
        <v>估价对象XX用房的比较价值（楼面单价，元/平方米）</v>
      </c>
      <c r="Q43" s="3334"/>
      <c r="R43" s="3335" t="e">
        <f>IF(F1="售价",ROUND(IF(D42="简单平均",AVERAGE(R42:V42),R42*F42+T42*H42+V42*J42),0),ROUND(IF(D42="简单平均",AVERAGE(R42:V42),R42*F42+T42*H42+V42*J42),1))</f>
        <v>#DIV/0!</v>
      </c>
      <c r="S43" s="3335"/>
      <c r="T43" s="3335"/>
      <c r="U43" s="3335"/>
      <c r="V43" s="3335"/>
      <c r="W43" s="3335"/>
      <c r="X43" s="696"/>
      <c r="Y43" s="696"/>
      <c r="Z43" s="696"/>
      <c r="AA43" s="696"/>
      <c r="AB43" s="696"/>
      <c r="AC43" s="696"/>
    </row>
    <row r="44" spans="1:29">
      <c r="A44" s="2945"/>
      <c r="B44" s="2945"/>
      <c r="C44" s="2945"/>
      <c r="D44" s="2945"/>
      <c r="E44" s="2945"/>
      <c r="F44" s="2945"/>
      <c r="G44" s="2949"/>
      <c r="H44" s="2945"/>
      <c r="I44" s="2945"/>
      <c r="J44" s="2945"/>
      <c r="K44" s="2950"/>
      <c r="L44" s="1017"/>
      <c r="M44" s="1055"/>
      <c r="N44" s="1055"/>
      <c r="O44" s="1055"/>
    </row>
    <row r="45" spans="1:29">
      <c r="A45" s="2945"/>
      <c r="B45" s="2945"/>
      <c r="C45" s="2945"/>
      <c r="D45" s="2945"/>
      <c r="E45" s="2945"/>
      <c r="F45" s="2945"/>
      <c r="G45" s="2945"/>
      <c r="H45" s="2945"/>
      <c r="I45" s="2945"/>
      <c r="J45" s="2945"/>
      <c r="K45" s="2950"/>
      <c r="L45" s="1017"/>
      <c r="M45" s="1055"/>
      <c r="N45" s="1055"/>
      <c r="O45" s="1055"/>
    </row>
    <row r="46" spans="1:29" ht="13.5" customHeight="1">
      <c r="A46" s="2945"/>
      <c r="B46" s="2945"/>
      <c r="C46" s="451" t="s">
        <v>2484</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0"/>
      <c r="L46" s="1017"/>
      <c r="M46" s="1055"/>
      <c r="N46" s="1055"/>
      <c r="O46" s="1055"/>
    </row>
    <row r="47" spans="1:29" ht="13.5" customHeight="1">
      <c r="A47" s="2945"/>
      <c r="B47" s="2945"/>
      <c r="C47" s="451" t="s">
        <v>2485</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0"/>
      <c r="L47" s="1017"/>
      <c r="M47" s="1055"/>
      <c r="N47" s="1055"/>
      <c r="O47" s="1055"/>
    </row>
    <row r="48" spans="1:29" s="456" customFormat="1" ht="13.5" customHeight="1">
      <c r="A48" s="2948"/>
      <c r="B48" s="2948"/>
      <c r="C48" s="451" t="s">
        <v>2486</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3"/>
      <c r="L48" s="1058"/>
      <c r="M48" s="1056"/>
      <c r="N48" s="1056"/>
      <c r="O48" s="1056"/>
    </row>
    <row r="49" spans="1:17" s="456" customFormat="1">
      <c r="A49" s="2948"/>
      <c r="B49" s="2951"/>
      <c r="C49" s="2952"/>
      <c r="D49" s="2948"/>
      <c r="E49" s="2948"/>
      <c r="F49" s="2948"/>
      <c r="G49" s="2948"/>
      <c r="H49" s="2948"/>
      <c r="I49" s="2948"/>
      <c r="J49" s="2948"/>
      <c r="K49" s="2953"/>
      <c r="L49" s="1058"/>
      <c r="M49" s="1056"/>
      <c r="N49" s="1056"/>
      <c r="O49" s="1056"/>
    </row>
    <row r="50" spans="1:17">
      <c r="A50" s="2945"/>
      <c r="B50" s="2951"/>
      <c r="C50" s="2952"/>
      <c r="D50" s="2945"/>
      <c r="E50" s="2945"/>
      <c r="F50" s="2945"/>
      <c r="G50" s="2945"/>
      <c r="H50" s="2945"/>
      <c r="I50" s="2945"/>
      <c r="J50" s="2945"/>
      <c r="K50" s="2950"/>
      <c r="L50" s="1017"/>
      <c r="M50" s="1055"/>
      <c r="N50" s="1055"/>
      <c r="O50" s="1055"/>
    </row>
    <row r="51" spans="1:17" ht="21.75" thickBot="1">
      <c r="A51" s="700" t="s">
        <v>2487</v>
      </c>
      <c r="B51" s="696"/>
      <c r="C51" s="701"/>
      <c r="D51" s="701"/>
      <c r="E51" s="701"/>
      <c r="F51" s="702"/>
      <c r="G51" s="702"/>
      <c r="H51" s="701"/>
      <c r="I51" s="701"/>
      <c r="J51" s="701"/>
      <c r="K51" s="1069"/>
      <c r="L51" s="1070"/>
      <c r="M51" s="1068"/>
      <c r="N51" s="1068"/>
      <c r="O51" s="1068"/>
      <c r="P51" s="457"/>
      <c r="Q51" s="458"/>
    </row>
    <row r="52" spans="1:17" s="462" customFormat="1" ht="15">
      <c r="A52" s="459" t="s">
        <v>2361</v>
      </c>
      <c r="B52" s="460"/>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2398</v>
      </c>
      <c r="B54" s="470"/>
      <c r="C54" s="471"/>
      <c r="D54" s="472"/>
      <c r="E54" s="472"/>
      <c r="F54" s="472"/>
      <c r="G54" s="472"/>
      <c r="H54" s="472"/>
      <c r="I54" s="472"/>
      <c r="J54" s="472"/>
      <c r="K54" s="472"/>
      <c r="L54" s="472"/>
      <c r="M54" s="473"/>
      <c r="N54" s="2990"/>
      <c r="O54" s="2991"/>
      <c r="P54" s="458"/>
      <c r="Q54" s="458"/>
    </row>
    <row r="55" spans="1:17" s="112" customFormat="1" ht="15">
      <c r="A55" s="475" t="s">
        <v>2363</v>
      </c>
      <c r="B55" s="464"/>
      <c r="C55" s="476" t="s">
        <v>2465</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2401</v>
      </c>
      <c r="B57" s="482" t="s">
        <v>2367</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2370</v>
      </c>
      <c r="C59" s="493" t="s">
        <v>2402</v>
      </c>
      <c r="D59" s="493" t="s">
        <v>2403</v>
      </c>
      <c r="E59" s="493" t="s">
        <v>2404</v>
      </c>
      <c r="F59" s="493" t="s">
        <v>2405</v>
      </c>
      <c r="G59" s="493" t="s">
        <v>2406</v>
      </c>
      <c r="H59" s="493" t="s">
        <v>2407</v>
      </c>
      <c r="I59" s="493" t="s">
        <v>2408</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2371</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2372</v>
      </c>
      <c r="B70" s="482" t="s">
        <v>2518</v>
      </c>
      <c r="C70" s="527" t="s">
        <v>2410</v>
      </c>
      <c r="D70" s="527" t="s">
        <v>2411</v>
      </c>
      <c r="E70" s="527" t="s">
        <v>2412</v>
      </c>
      <c r="F70" s="527" t="s">
        <v>2413</v>
      </c>
      <c r="G70" s="527" t="s">
        <v>2414</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2415</v>
      </c>
      <c r="C72" s="532" t="s">
        <v>2410</v>
      </c>
      <c r="D72" s="532" t="s">
        <v>2411</v>
      </c>
      <c r="E72" s="532" t="s">
        <v>2412</v>
      </c>
      <c r="F72" s="532" t="s">
        <v>2413</v>
      </c>
      <c r="G72" s="532" t="s">
        <v>2414</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2416</v>
      </c>
      <c r="C74" s="532" t="s">
        <v>2410</v>
      </c>
      <c r="D74" s="532" t="s">
        <v>2411</v>
      </c>
      <c r="E74" s="532" t="s">
        <v>2412</v>
      </c>
      <c r="F74" s="532" t="s">
        <v>2413</v>
      </c>
      <c r="G74" s="532" t="s">
        <v>2414</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2502</v>
      </c>
      <c r="C76" s="613" t="s">
        <v>2488</v>
      </c>
      <c r="D76" s="613" t="s">
        <v>2489</v>
      </c>
      <c r="E76" s="613" t="s">
        <v>2490</v>
      </c>
      <c r="F76" s="613" t="s">
        <v>2491</v>
      </c>
      <c r="G76" s="613" t="s">
        <v>2492</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2511</v>
      </c>
      <c r="C78" s="532" t="s">
        <v>2410</v>
      </c>
      <c r="D78" s="532" t="s">
        <v>2411</v>
      </c>
      <c r="E78" s="532" t="s">
        <v>2412</v>
      </c>
      <c r="F78" s="532" t="s">
        <v>2413</v>
      </c>
      <c r="G78" s="532" t="s">
        <v>2414</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2" customFormat="1" ht="15.75" thickTop="1">
      <c r="A80" s="533"/>
      <c r="B80" s="492">
        <f>B25</f>
        <v>111</v>
      </c>
      <c r="C80" s="508"/>
      <c r="D80" s="508"/>
      <c r="E80" s="508"/>
      <c r="F80" s="508"/>
      <c r="G80" s="508"/>
      <c r="H80" s="508"/>
      <c r="I80" s="508"/>
      <c r="J80" s="508"/>
      <c r="K80" s="508"/>
      <c r="L80" s="534"/>
      <c r="M80" s="535"/>
      <c r="N80" s="1060"/>
      <c r="O80" s="1060"/>
      <c r="P80" s="45"/>
      <c r="Q80" s="458"/>
    </row>
    <row r="81" spans="1:17" s="112" customFormat="1" ht="15.75" thickBot="1">
      <c r="A81" s="533"/>
      <c r="B81" s="497"/>
      <c r="C81" s="514"/>
      <c r="D81" s="490"/>
      <c r="E81" s="490"/>
      <c r="F81" s="490"/>
      <c r="G81" s="490"/>
      <c r="H81" s="490"/>
      <c r="I81" s="490"/>
      <c r="J81" s="490"/>
      <c r="K81" s="490"/>
      <c r="L81" s="490"/>
      <c r="M81" s="491"/>
      <c r="N81" s="1062"/>
      <c r="O81" s="1062"/>
      <c r="P81" s="45"/>
      <c r="Q81" s="458"/>
    </row>
    <row r="82" spans="1:17" s="112" customFormat="1" ht="15.75" thickTop="1">
      <c r="A82" s="533"/>
      <c r="B82" s="492">
        <f>B26</f>
        <v>111</v>
      </c>
      <c r="C82" s="508"/>
      <c r="D82" s="508"/>
      <c r="E82" s="508"/>
      <c r="F82" s="508"/>
      <c r="G82" s="508"/>
      <c r="H82" s="508"/>
      <c r="I82" s="508"/>
      <c r="J82" s="508"/>
      <c r="K82" s="508"/>
      <c r="L82" s="534"/>
      <c r="M82" s="535"/>
      <c r="N82" s="1060"/>
      <c r="O82" s="1060"/>
      <c r="P82" s="45"/>
      <c r="Q82" s="458"/>
    </row>
    <row r="83" spans="1:17" s="112"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0"/>
      <c r="B87" s="523"/>
      <c r="C87" s="524"/>
      <c r="D87" s="524"/>
      <c r="E87" s="524"/>
      <c r="F87" s="524"/>
      <c r="G87" s="545"/>
      <c r="H87" s="545"/>
      <c r="I87" s="545"/>
      <c r="J87" s="545"/>
      <c r="K87" s="545"/>
      <c r="L87" s="545"/>
      <c r="M87" s="546"/>
      <c r="N87" s="1062"/>
      <c r="O87" s="1062"/>
      <c r="P87" s="45"/>
      <c r="Q87" s="458"/>
    </row>
    <row r="88" spans="1:17">
      <c r="A88" s="481" t="s">
        <v>2376</v>
      </c>
      <c r="B88" s="482" t="s">
        <v>2425</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2426</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2427</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2429</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1874</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2430</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2431</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2433</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2519</v>
      </c>
      <c r="C106" s="532" t="s">
        <v>2410</v>
      </c>
      <c r="D106" s="532" t="s">
        <v>2411</v>
      </c>
      <c r="E106" s="532" t="s">
        <v>2412</v>
      </c>
      <c r="F106" s="532" t="s">
        <v>2413</v>
      </c>
      <c r="G106" s="532" t="s">
        <v>2414</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0"/>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2520</v>
      </c>
      <c r="B1" s="1388"/>
      <c r="C1" s="1389" t="s">
        <v>2343</v>
      </c>
      <c r="D1" s="1390"/>
      <c r="E1" s="1391"/>
      <c r="F1" s="2061"/>
      <c r="G1" s="1392" t="s">
        <v>2456</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2143</v>
      </c>
      <c r="B2" s="1323" t="e">
        <f ca="1">IF(C2="——",IF(B37="元/平方米",ROUND(C39*D3/10000,0),ROUND(F3*C39/10000,0)),IF(B37="元/平方米",ROUND(C39*D3/10000,0),ROUND(F3*C39/10000,0))-D2)</f>
        <v>#DIV/0!</v>
      </c>
      <c r="C2" s="2063"/>
      <c r="D2" s="1035" t="e">
        <f ca="1">SUMIF(INDIRECT("'"&amp;F2&amp;"'"&amp;"!A:A"),"承租人权益价值",INDIRECT("'"&amp;F2&amp;"'"&amp;"!c:c"))</f>
        <v>#REF!</v>
      </c>
      <c r="E2" s="2064" t="s">
        <v>2144</v>
      </c>
      <c r="F2" s="2065"/>
      <c r="G2" s="1036"/>
      <c r="H2" s="1036"/>
      <c r="I2" s="1036"/>
      <c r="J2" s="1036"/>
      <c r="K2" s="1038"/>
      <c r="L2" s="2954"/>
      <c r="M2" s="2955"/>
      <c r="N2" s="2955"/>
      <c r="O2" s="2955"/>
      <c r="P2" s="1324"/>
      <c r="Q2" s="705"/>
      <c r="R2" s="705"/>
      <c r="S2" s="705"/>
      <c r="T2" s="705"/>
      <c r="U2" s="705"/>
      <c r="V2" s="705"/>
      <c r="W2" s="705"/>
      <c r="X2" s="705"/>
      <c r="Y2" s="705"/>
      <c r="Z2" s="705"/>
      <c r="AA2" s="705"/>
      <c r="AB2" s="705"/>
      <c r="AC2" s="706"/>
    </row>
    <row r="3" spans="1:29" s="355" customFormat="1" ht="28.5" customHeight="1" thickBot="1">
      <c r="A3" s="206" t="s">
        <v>2145</v>
      </c>
      <c r="B3" s="563" t="e">
        <f ca="1">IF(AND(C2="——",B37="元/平方米"),C39,ROUND(B2*10000/D3,0))</f>
        <v>#DIV/0!</v>
      </c>
      <c r="C3" s="357" t="s">
        <v>2457</v>
      </c>
      <c r="D3" s="356">
        <f>SUMIF('数据-汇总表'!$C19:$C33,D1,'数据-汇总表'!$E19:$E33)</f>
        <v>0</v>
      </c>
      <c r="E3" s="357" t="s">
        <v>2521</v>
      </c>
      <c r="F3" s="356">
        <f>SUMIF('数据-取费表'!A5:A15,D1,'数据-取费表'!AH5:AH15)</f>
        <v>0</v>
      </c>
      <c r="G3" s="1036"/>
      <c r="H3" s="1036"/>
      <c r="I3" s="1036"/>
      <c r="J3" s="1036"/>
      <c r="K3" s="1038"/>
      <c r="L3" s="2954"/>
      <c r="M3" s="2955"/>
      <c r="N3" s="2955"/>
      <c r="O3" s="2955"/>
      <c r="P3" s="1324"/>
      <c r="Q3" s="705"/>
      <c r="R3" s="705"/>
      <c r="S3" s="705"/>
      <c r="T3" s="705"/>
      <c r="U3" s="705"/>
      <c r="V3" s="705"/>
      <c r="W3" s="705"/>
      <c r="X3" s="705"/>
      <c r="Y3" s="705"/>
      <c r="Z3" s="705"/>
      <c r="AA3" s="705"/>
      <c r="AB3" s="722"/>
      <c r="AC3" s="719"/>
    </row>
    <row r="4" spans="1:29" ht="15">
      <c r="A4" s="358" t="s">
        <v>2458</v>
      </c>
      <c r="B4" s="359"/>
      <c r="C4" s="3319" t="s">
        <v>2459</v>
      </c>
      <c r="D4" s="3320"/>
      <c r="E4" s="3321" t="s">
        <v>2460</v>
      </c>
      <c r="F4" s="3322"/>
      <c r="G4" s="3319" t="s">
        <v>2461</v>
      </c>
      <c r="H4" s="3320"/>
      <c r="I4" s="3319" t="s">
        <v>2462</v>
      </c>
      <c r="J4" s="3320"/>
      <c r="K4" s="564" t="s">
        <v>2463</v>
      </c>
      <c r="L4" s="2935"/>
      <c r="M4" s="2936"/>
      <c r="N4" s="2936"/>
      <c r="O4" s="2936"/>
      <c r="P4" s="3323" t="s">
        <v>2464</v>
      </c>
      <c r="Q4" s="3324"/>
      <c r="R4" s="3306" t="s">
        <v>2460</v>
      </c>
      <c r="S4" s="3307"/>
      <c r="T4" s="3306" t="s">
        <v>2461</v>
      </c>
      <c r="U4" s="3307"/>
      <c r="V4" s="3331" t="s">
        <v>2462</v>
      </c>
      <c r="W4" s="3331"/>
      <c r="X4" s="1537"/>
      <c r="Y4" s="3306" t="s">
        <v>2464</v>
      </c>
      <c r="Z4" s="3307"/>
      <c r="AA4" s="3301" t="s">
        <v>2460</v>
      </c>
      <c r="AB4" s="3302" t="s">
        <v>2461</v>
      </c>
      <c r="AC4" s="3301" t="s">
        <v>2462</v>
      </c>
    </row>
    <row r="5" spans="1:29" ht="15">
      <c r="A5" s="361"/>
      <c r="B5" s="362"/>
      <c r="C5" s="3312" t="s">
        <v>2355</v>
      </c>
      <c r="D5" s="3313"/>
      <c r="E5" s="3310" t="s">
        <v>2356</v>
      </c>
      <c r="F5" s="3311"/>
      <c r="G5" s="3312" t="s">
        <v>2357</v>
      </c>
      <c r="H5" s="3313"/>
      <c r="I5" s="3312" t="s">
        <v>2358</v>
      </c>
      <c r="J5" s="3313"/>
      <c r="K5" s="564"/>
      <c r="L5" s="2935"/>
      <c r="M5" s="2936"/>
      <c r="N5" s="2936"/>
      <c r="O5" s="2936"/>
      <c r="P5" s="3325"/>
      <c r="Q5" s="3326"/>
      <c r="R5" s="3308"/>
      <c r="S5" s="3309"/>
      <c r="T5" s="3308"/>
      <c r="U5" s="3309"/>
      <c r="V5" s="3331"/>
      <c r="W5" s="3331"/>
      <c r="X5" s="1537"/>
      <c r="Y5" s="3308"/>
      <c r="Z5" s="3309"/>
      <c r="AA5" s="3302"/>
      <c r="AB5" s="3302"/>
      <c r="AC5" s="3302"/>
    </row>
    <row r="6" spans="1:29" ht="15.75" thickBot="1">
      <c r="A6" s="363"/>
      <c r="B6" s="364"/>
      <c r="C6" s="3314" t="s">
        <v>2359</v>
      </c>
      <c r="D6" s="3315"/>
      <c r="E6" s="3316" t="s">
        <v>2359</v>
      </c>
      <c r="F6" s="3317"/>
      <c r="G6" s="3314" t="s">
        <v>2359</v>
      </c>
      <c r="H6" s="3315"/>
      <c r="I6" s="3314" t="s">
        <v>2359</v>
      </c>
      <c r="J6" s="3315"/>
      <c r="K6" s="564" t="s">
        <v>2360</v>
      </c>
      <c r="L6" s="2935"/>
      <c r="M6" s="2936"/>
      <c r="N6" s="2936"/>
      <c r="O6" s="2936"/>
      <c r="P6" s="3327"/>
      <c r="Q6" s="3328"/>
      <c r="R6" s="3308"/>
      <c r="S6" s="3309"/>
      <c r="T6" s="3329"/>
      <c r="U6" s="3330"/>
      <c r="V6" s="3331"/>
      <c r="W6" s="3331"/>
      <c r="X6" s="1537"/>
      <c r="Y6" s="3329"/>
      <c r="Z6" s="3330"/>
      <c r="AA6" s="3303"/>
      <c r="AB6" s="3303"/>
      <c r="AC6" s="3303"/>
    </row>
    <row r="7" spans="1:29" s="112" customFormat="1" ht="15.75" thickBot="1">
      <c r="A7" s="365" t="s">
        <v>2361</v>
      </c>
      <c r="B7" s="366"/>
      <c r="C7" s="367">
        <f>'数据-取费表'!B2</f>
        <v>44362</v>
      </c>
      <c r="D7" s="368">
        <v>100</v>
      </c>
      <c r="E7" s="369"/>
      <c r="F7" s="370">
        <f>SUMIF(48:48,YEAR(E7)&amp;"-"&amp;MONTH(E7),49:49)</f>
        <v>0</v>
      </c>
      <c r="G7" s="369"/>
      <c r="H7" s="368">
        <f>SUMIF(48:48,YEAR(G7)&amp;"-"&amp;MONTH(G7),49:49)</f>
        <v>0</v>
      </c>
      <c r="I7" s="369"/>
      <c r="J7" s="368">
        <f>SUMIF(48:48,YEAR(I7)&amp;"-"&amp;MONTH(I7),49:49)</f>
        <v>0</v>
      </c>
      <c r="K7" s="565"/>
      <c r="L7" s="2937"/>
      <c r="M7" s="2938"/>
      <c r="N7" s="2938"/>
      <c r="O7" s="2938"/>
      <c r="P7" s="3304" t="s">
        <v>2362</v>
      </c>
      <c r="Q7" s="3332"/>
      <c r="R7" s="707" t="s">
        <v>17</v>
      </c>
      <c r="S7" s="708">
        <f t="shared" ref="S7:S14" si="0">F7</f>
        <v>0</v>
      </c>
      <c r="T7" s="707" t="s">
        <v>17</v>
      </c>
      <c r="U7" s="708">
        <f t="shared" ref="U7:U14" si="1">H7</f>
        <v>0</v>
      </c>
      <c r="V7" s="707" t="s">
        <v>17</v>
      </c>
      <c r="W7" s="708">
        <f t="shared" ref="W7:W14" si="2">J7</f>
        <v>0</v>
      </c>
      <c r="X7" s="709"/>
      <c r="Y7" s="3304" t="s">
        <v>2362</v>
      </c>
      <c r="Z7" s="3305"/>
      <c r="AA7" s="710" t="e">
        <f>D7/F7</f>
        <v>#DIV/0!</v>
      </c>
      <c r="AB7" s="710" t="e">
        <f>D7/H7</f>
        <v>#DIV/0!</v>
      </c>
      <c r="AC7" s="710" t="e">
        <f>D7/J7</f>
        <v>#DIV/0!</v>
      </c>
    </row>
    <row r="8" spans="1:29" s="112" customFormat="1" ht="15.75" thickBot="1">
      <c r="A8" s="365" t="s">
        <v>2363</v>
      </c>
      <c r="B8" s="366"/>
      <c r="C8" s="371" t="s">
        <v>2465</v>
      </c>
      <c r="D8" s="368">
        <v>100</v>
      </c>
      <c r="E8" s="371"/>
      <c r="F8" s="370">
        <f>SUMIF(51:51,E8,52:52)-SUMIF(51:51,C8,52:52)+100</f>
        <v>0</v>
      </c>
      <c r="G8" s="371"/>
      <c r="H8" s="368">
        <f>SUMIF(51:51,G8,52:52)-SUMIF(51:51,C8,52:52)+100</f>
        <v>0</v>
      </c>
      <c r="I8" s="371"/>
      <c r="J8" s="368">
        <f>SUMIF(51:51,I8,52:52)-SUMIF(51:51,C8,52:52)+100</f>
        <v>0</v>
      </c>
      <c r="K8" s="565"/>
      <c r="L8" s="2937"/>
      <c r="M8" s="2938"/>
      <c r="N8" s="2938"/>
      <c r="O8" s="2938"/>
      <c r="P8" s="3304" t="s">
        <v>2365</v>
      </c>
      <c r="Q8" s="3305"/>
      <c r="R8" s="707" t="s">
        <v>17</v>
      </c>
      <c r="S8" s="708">
        <f t="shared" si="0"/>
        <v>0</v>
      </c>
      <c r="T8" s="707" t="s">
        <v>17</v>
      </c>
      <c r="U8" s="708">
        <f t="shared" si="1"/>
        <v>0</v>
      </c>
      <c r="V8" s="707" t="s">
        <v>17</v>
      </c>
      <c r="W8" s="708">
        <f t="shared" si="2"/>
        <v>0</v>
      </c>
      <c r="X8" s="709"/>
      <c r="Y8" s="3304" t="s">
        <v>2365</v>
      </c>
      <c r="Z8" s="3305"/>
      <c r="AA8" s="710" t="e">
        <f t="shared" ref="AA8:AA36" si="3">D8/F8</f>
        <v>#DIV/0!</v>
      </c>
      <c r="AB8" s="710" t="e">
        <f t="shared" ref="AB8:AB36" si="4">D8/H8</f>
        <v>#DIV/0!</v>
      </c>
      <c r="AC8" s="710" t="e">
        <f t="shared" ref="AC8:AC36" si="5">D8/J8</f>
        <v>#DIV/0!</v>
      </c>
    </row>
    <row r="9" spans="1:29" s="112" customFormat="1">
      <c r="A9" s="64" t="s">
        <v>2366</v>
      </c>
      <c r="B9" s="593" t="s">
        <v>2367</v>
      </c>
      <c r="C9" s="373"/>
      <c r="D9" s="128">
        <v>100</v>
      </c>
      <c r="E9" s="376"/>
      <c r="F9" s="128">
        <f>SUMIF(53:53,E9,54:54)-SUMIF(53:53,C9,54:54)+100</f>
        <v>100</v>
      </c>
      <c r="G9" s="374"/>
      <c r="H9" s="128">
        <f>SUMIF(53:53,G9,54:54)-SUMIF(53:53,C9,54:54)+100</f>
        <v>100</v>
      </c>
      <c r="I9" s="374"/>
      <c r="J9" s="128">
        <f>SUMIF(53:53,I9,54:54)-SUMIF(53:53,C9,54:54)+100</f>
        <v>100</v>
      </c>
      <c r="K9" s="565"/>
      <c r="L9" s="2937"/>
      <c r="M9" s="2938"/>
      <c r="N9" s="2938"/>
      <c r="O9" s="2938"/>
      <c r="P9" s="3336" t="s">
        <v>2368</v>
      </c>
      <c r="Q9" s="1525" t="str">
        <f t="shared" ref="Q9:Q14" si="6">B9</f>
        <v>用途</v>
      </c>
      <c r="R9" s="707" t="s">
        <v>17</v>
      </c>
      <c r="S9" s="708">
        <f t="shared" si="0"/>
        <v>100</v>
      </c>
      <c r="T9" s="707" t="s">
        <v>17</v>
      </c>
      <c r="U9" s="708">
        <f t="shared" si="1"/>
        <v>100</v>
      </c>
      <c r="V9" s="707" t="s">
        <v>17</v>
      </c>
      <c r="W9" s="708">
        <f t="shared" si="2"/>
        <v>100</v>
      </c>
      <c r="X9" s="709"/>
      <c r="Y9" s="3245" t="s">
        <v>2369</v>
      </c>
      <c r="Z9" s="55" t="str">
        <f t="shared" ref="Z9:Z14" si="7">Q9</f>
        <v>用途</v>
      </c>
      <c r="AA9" s="710">
        <f t="shared" si="3"/>
        <v>1</v>
      </c>
      <c r="AB9" s="710">
        <f t="shared" si="4"/>
        <v>1</v>
      </c>
      <c r="AC9" s="710">
        <f t="shared" si="5"/>
        <v>1</v>
      </c>
    </row>
    <row r="10" spans="1:29" s="383" customFormat="1" ht="27">
      <c r="A10" s="594"/>
      <c r="B10" s="595" t="s">
        <v>2370</v>
      </c>
      <c r="C10" s="379"/>
      <c r="D10" s="129">
        <v>100</v>
      </c>
      <c r="E10" s="379"/>
      <c r="F10" s="129">
        <f>SUMIF(55:55,E10,56:56)-SUMIF(55:55,C10,56:56)+100</f>
        <v>100</v>
      </c>
      <c r="G10" s="380"/>
      <c r="H10" s="129">
        <f>SUMIF(55:55,G10,56:56)-SUMIF(55:55,C10,56:56)+100</f>
        <v>100</v>
      </c>
      <c r="I10" s="379"/>
      <c r="J10" s="129">
        <f>SUMIF(55:55,I10,56:56)-SUMIF(55:55,C10,56:56)+100</f>
        <v>100</v>
      </c>
      <c r="K10" s="566"/>
      <c r="L10" s="2939"/>
      <c r="M10" s="2940"/>
      <c r="N10" s="2940"/>
      <c r="O10" s="2940"/>
      <c r="P10" s="3336"/>
      <c r="Q10" s="1525" t="str">
        <f t="shared" si="6"/>
        <v>土地使用年限（年）</v>
      </c>
      <c r="R10" s="707" t="s">
        <v>17</v>
      </c>
      <c r="S10" s="708">
        <f t="shared" si="0"/>
        <v>100</v>
      </c>
      <c r="T10" s="707" t="s">
        <v>17</v>
      </c>
      <c r="U10" s="708">
        <f t="shared" si="1"/>
        <v>100</v>
      </c>
      <c r="V10" s="707" t="s">
        <v>17</v>
      </c>
      <c r="W10" s="708">
        <f t="shared" si="2"/>
        <v>100</v>
      </c>
      <c r="X10" s="709"/>
      <c r="Y10" s="3245"/>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1"/>
      <c r="M11" s="2936"/>
      <c r="N11" s="2936"/>
      <c r="O11" s="2936"/>
      <c r="P11" s="3336"/>
      <c r="Q11" s="1525">
        <f t="shared" si="6"/>
        <v>111</v>
      </c>
      <c r="R11" s="707" t="s">
        <v>17</v>
      </c>
      <c r="S11" s="708">
        <f t="shared" si="0"/>
        <v>100</v>
      </c>
      <c r="T11" s="707" t="s">
        <v>17</v>
      </c>
      <c r="U11" s="708">
        <f t="shared" si="1"/>
        <v>100</v>
      </c>
      <c r="V11" s="707" t="s">
        <v>17</v>
      </c>
      <c r="W11" s="708">
        <f t="shared" si="2"/>
        <v>100</v>
      </c>
      <c r="X11" s="709"/>
      <c r="Y11" s="3245"/>
      <c r="Z11" s="55">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37"/>
      <c r="M12" s="2938"/>
      <c r="N12" s="2938"/>
      <c r="O12" s="2938"/>
      <c r="P12" s="3336"/>
      <c r="Q12" s="1525">
        <f t="shared" si="6"/>
        <v>111</v>
      </c>
      <c r="R12" s="707" t="s">
        <v>17</v>
      </c>
      <c r="S12" s="708">
        <f t="shared" si="0"/>
        <v>100</v>
      </c>
      <c r="T12" s="707" t="s">
        <v>17</v>
      </c>
      <c r="U12" s="708">
        <f t="shared" si="1"/>
        <v>100</v>
      </c>
      <c r="V12" s="707" t="s">
        <v>17</v>
      </c>
      <c r="W12" s="708">
        <f t="shared" si="2"/>
        <v>100</v>
      </c>
      <c r="X12" s="709"/>
      <c r="Y12" s="3245"/>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2"/>
      <c r="M13" s="2936"/>
      <c r="N13" s="2936"/>
      <c r="O13" s="2936"/>
      <c r="P13" s="3336"/>
      <c r="Q13" s="1525">
        <f t="shared" si="6"/>
        <v>111</v>
      </c>
      <c r="R13" s="707" t="s">
        <v>17</v>
      </c>
      <c r="S13" s="708">
        <f t="shared" si="0"/>
        <v>100</v>
      </c>
      <c r="T13" s="707" t="s">
        <v>17</v>
      </c>
      <c r="U13" s="708">
        <f t="shared" si="1"/>
        <v>100</v>
      </c>
      <c r="V13" s="707" t="s">
        <v>17</v>
      </c>
      <c r="W13" s="708">
        <f t="shared" si="2"/>
        <v>100</v>
      </c>
      <c r="X13" s="709"/>
      <c r="Y13" s="3245"/>
      <c r="Z13" s="55">
        <f t="shared" si="7"/>
        <v>111</v>
      </c>
      <c r="AA13" s="710">
        <f t="shared" si="3"/>
        <v>1</v>
      </c>
      <c r="AB13" s="710">
        <f t="shared" si="4"/>
        <v>1</v>
      </c>
      <c r="AC13" s="710">
        <f t="shared" si="5"/>
        <v>1</v>
      </c>
    </row>
    <row r="14" spans="1:29" ht="85.5">
      <c r="A14" s="358" t="s">
        <v>2372</v>
      </c>
      <c r="B14" s="582" t="s">
        <v>2522</v>
      </c>
      <c r="C14" s="2153" t="str">
        <f>IF(B1="工业",估价对象房地状况!G4,估价对象房地状况!C6)</f>
        <v>较好</v>
      </c>
      <c r="D14" s="397">
        <v>100</v>
      </c>
      <c r="E14" s="398"/>
      <c r="F14" s="399">
        <f>SUMIF(63:63,E15,64:64)-SUMIF(63:63,C15,64:64)+100</f>
        <v>100</v>
      </c>
      <c r="G14" s="400"/>
      <c r="H14" s="397">
        <f>SUMIF(63:63,G15,64:64)-SUMIF(63:63,C15,64:64)+100</f>
        <v>100</v>
      </c>
      <c r="I14" s="398"/>
      <c r="J14" s="397">
        <f>SUMIF(63:63,I15,64:64)-SUMIF(63:63,C15,64:64)+100</f>
        <v>100</v>
      </c>
      <c r="K14" s="568"/>
      <c r="L14" s="2942"/>
      <c r="M14" s="2936"/>
      <c r="N14" s="2936"/>
      <c r="O14" s="2936"/>
      <c r="P14" s="3338" t="s">
        <v>2373</v>
      </c>
      <c r="Q14" s="1534" t="str">
        <f t="shared" si="6"/>
        <v>交通便捷度</v>
      </c>
      <c r="R14" s="711" t="s">
        <v>17</v>
      </c>
      <c r="S14" s="712">
        <f t="shared" si="0"/>
        <v>100</v>
      </c>
      <c r="T14" s="711" t="s">
        <v>17</v>
      </c>
      <c r="U14" s="712">
        <f t="shared" si="1"/>
        <v>100</v>
      </c>
      <c r="V14" s="711" t="s">
        <v>17</v>
      </c>
      <c r="W14" s="712">
        <f t="shared" si="2"/>
        <v>100</v>
      </c>
      <c r="X14" s="1537"/>
      <c r="Y14" s="3338" t="s">
        <v>2373</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2"/>
      <c r="M15" s="2936"/>
      <c r="N15" s="2936"/>
      <c r="O15" s="2936"/>
      <c r="P15" s="3339"/>
      <c r="Q15" s="1534"/>
      <c r="R15" s="711"/>
      <c r="S15" s="712"/>
      <c r="T15" s="711"/>
      <c r="U15" s="712"/>
      <c r="V15" s="711"/>
      <c r="W15" s="712"/>
      <c r="X15" s="1537"/>
      <c r="Y15" s="3339"/>
      <c r="Z15" s="1538"/>
      <c r="AA15" s="1535">
        <v>1</v>
      </c>
      <c r="AB15" s="1535">
        <v>1</v>
      </c>
      <c r="AC15" s="1535">
        <v>1</v>
      </c>
    </row>
    <row r="16" spans="1:29" ht="42.75">
      <c r="A16" s="361"/>
      <c r="B16" s="584" t="s">
        <v>2501</v>
      </c>
      <c r="C16" s="2082" t="str">
        <f>IF(B1="工业",估价对象房地状况!G5,估价对象房地状况!C7)</f>
        <v>较好</v>
      </c>
      <c r="D16" s="411">
        <v>100</v>
      </c>
      <c r="E16" s="413"/>
      <c r="F16" s="414">
        <f>SUMIF(65:65,E17,66:66)-SUMIF(65:65,C17,66:66)+100</f>
        <v>100</v>
      </c>
      <c r="G16" s="415"/>
      <c r="H16" s="411">
        <f>SUMIF(65:65,G17,66:66)-SUMIF(65:65,C17,66:66)+100</f>
        <v>100</v>
      </c>
      <c r="I16" s="413"/>
      <c r="J16" s="411">
        <f>SUMIF(65:65,I17,66:66)-SUMIF(65:65,C17,66:66)+100</f>
        <v>100</v>
      </c>
      <c r="K16" s="568"/>
      <c r="L16" s="2942"/>
      <c r="M16" s="2936"/>
      <c r="N16" s="2936"/>
      <c r="O16" s="2936"/>
      <c r="P16" s="3339"/>
      <c r="Q16" s="1534" t="str">
        <f>B16</f>
        <v>公共配套设施</v>
      </c>
      <c r="R16" s="711" t="s">
        <v>17</v>
      </c>
      <c r="S16" s="712">
        <f>F16</f>
        <v>100</v>
      </c>
      <c r="T16" s="711" t="s">
        <v>17</v>
      </c>
      <c r="U16" s="712">
        <f>H16</f>
        <v>100</v>
      </c>
      <c r="V16" s="711" t="s">
        <v>17</v>
      </c>
      <c r="W16" s="712">
        <f>J16</f>
        <v>100</v>
      </c>
      <c r="X16" s="1537"/>
      <c r="Y16" s="3339"/>
      <c r="Z16" s="1538" t="str">
        <f>Q16</f>
        <v>公共配套设施</v>
      </c>
      <c r="AA16" s="1535">
        <f t="shared" si="3"/>
        <v>1</v>
      </c>
      <c r="AB16" s="1535">
        <f t="shared" si="4"/>
        <v>1</v>
      </c>
      <c r="AC16" s="1535">
        <f t="shared" si="5"/>
        <v>1</v>
      </c>
    </row>
    <row r="17" spans="1:29" ht="15">
      <c r="A17" s="361"/>
      <c r="B17" s="585"/>
      <c r="C17" s="2083"/>
      <c r="D17" s="404"/>
      <c r="E17" s="403"/>
      <c r="F17" s="405"/>
      <c r="G17" s="403"/>
      <c r="H17" s="404"/>
      <c r="I17" s="403"/>
      <c r="J17" s="404"/>
      <c r="K17" s="569"/>
      <c r="L17" s="2942"/>
      <c r="M17" s="2936"/>
      <c r="N17" s="2936"/>
      <c r="O17" s="2936"/>
      <c r="P17" s="3339"/>
      <c r="Q17" s="1534"/>
      <c r="R17" s="711"/>
      <c r="S17" s="712"/>
      <c r="T17" s="711"/>
      <c r="U17" s="712"/>
      <c r="V17" s="711"/>
      <c r="W17" s="712"/>
      <c r="X17" s="1537"/>
      <c r="Y17" s="3339"/>
      <c r="Z17" s="1538"/>
      <c r="AA17" s="1535">
        <v>1</v>
      </c>
      <c r="AB17" s="1535">
        <v>1</v>
      </c>
      <c r="AC17" s="1535">
        <v>1</v>
      </c>
    </row>
    <row r="18" spans="1:29" ht="28.5">
      <c r="A18" s="361"/>
      <c r="B18" s="586" t="s">
        <v>2502</v>
      </c>
      <c r="C18" s="2082" t="str">
        <f>IF(B1="工业",估价对象房地状况!G6,估价对象房地状况!C8)</f>
        <v>六通</v>
      </c>
      <c r="D18" s="406">
        <v>100</v>
      </c>
      <c r="E18" s="408"/>
      <c r="F18" s="414">
        <f>SUMIF(67:67,E19,68:68)-SUMIF(67:67,C19,68:68)+100</f>
        <v>100</v>
      </c>
      <c r="G18" s="410"/>
      <c r="H18" s="411">
        <f>SUMIF(67:67,G19,68:68)-SUMIF(67:67,C19,68:68)+100</f>
        <v>100</v>
      </c>
      <c r="I18" s="408"/>
      <c r="J18" s="411">
        <f>SUMIF(67:67,I19,68:68)-SUMIF(67:67,C19,68:68)+100</f>
        <v>100</v>
      </c>
      <c r="K18" s="568"/>
      <c r="L18" s="2942"/>
      <c r="M18" s="2936"/>
      <c r="N18" s="2936"/>
      <c r="O18" s="2936"/>
      <c r="P18" s="3339"/>
      <c r="Q18" s="1534" t="str">
        <f>B18</f>
        <v>基础设施水平</v>
      </c>
      <c r="R18" s="711" t="s">
        <v>17</v>
      </c>
      <c r="S18" s="712">
        <f>F18</f>
        <v>100</v>
      </c>
      <c r="T18" s="711" t="s">
        <v>17</v>
      </c>
      <c r="U18" s="712">
        <f>H18</f>
        <v>100</v>
      </c>
      <c r="V18" s="711" t="s">
        <v>17</v>
      </c>
      <c r="W18" s="712">
        <f>J18</f>
        <v>100</v>
      </c>
      <c r="X18" s="1537"/>
      <c r="Y18" s="3339"/>
      <c r="Z18" s="1538" t="str">
        <f>Q18</f>
        <v>基础设施水平</v>
      </c>
      <c r="AA18" s="1535">
        <f t="shared" ref="AA18" si="8">D18/F18</f>
        <v>1</v>
      </c>
      <c r="AB18" s="1535">
        <f t="shared" ref="AB18" si="9">D18/H18</f>
        <v>1</v>
      </c>
      <c r="AC18" s="1535">
        <f t="shared" ref="AC18" si="10">D18/J18</f>
        <v>1</v>
      </c>
    </row>
    <row r="19" spans="1:29" ht="15">
      <c r="A19" s="361"/>
      <c r="B19" s="586"/>
      <c r="C19" s="2083"/>
      <c r="D19" s="406"/>
      <c r="E19" s="2083"/>
      <c r="F19" s="409"/>
      <c r="G19" s="2083"/>
      <c r="H19" s="404"/>
      <c r="I19" s="403"/>
      <c r="J19" s="404"/>
      <c r="K19" s="1289"/>
      <c r="L19" s="2942"/>
      <c r="M19" s="2936"/>
      <c r="N19" s="2936"/>
      <c r="O19" s="2936"/>
      <c r="P19" s="3339"/>
      <c r="Q19" s="1534"/>
      <c r="R19" s="711"/>
      <c r="S19" s="712"/>
      <c r="T19" s="711"/>
      <c r="U19" s="712"/>
      <c r="V19" s="711"/>
      <c r="W19" s="712"/>
      <c r="X19" s="1537"/>
      <c r="Y19" s="3339"/>
      <c r="Z19" s="1538"/>
      <c r="AA19" s="1535">
        <v>1</v>
      </c>
      <c r="AB19" s="1535">
        <v>1</v>
      </c>
      <c r="AC19" s="1535">
        <v>1</v>
      </c>
    </row>
    <row r="20" spans="1:29" ht="57">
      <c r="A20" s="361"/>
      <c r="B20" s="584" t="s">
        <v>2523</v>
      </c>
      <c r="C20" s="2082" t="str">
        <f>IF(B1="工业",估价对象房地状况!G7,估价对象房地状况!C9)</f>
        <v>较好</v>
      </c>
      <c r="D20" s="411">
        <v>100</v>
      </c>
      <c r="E20" s="413"/>
      <c r="F20" s="414">
        <f>SUMIF(69:69,E21,70:70)-SUMIF(69:69,C21,70:70)+100</f>
        <v>100</v>
      </c>
      <c r="G20" s="415"/>
      <c r="H20" s="406">
        <f>SUMIF(69:69,G21,70:70)-SUMIF(69:69,C21,70:70)+100</f>
        <v>100</v>
      </c>
      <c r="I20" s="408"/>
      <c r="J20" s="406">
        <f>SUMIF(69:69,I21,70:70)-SUMIF(69:69,C21,70:70)+100</f>
        <v>100</v>
      </c>
      <c r="K20" s="568"/>
      <c r="L20" s="2942"/>
      <c r="M20" s="2936"/>
      <c r="N20" s="2936"/>
      <c r="O20" s="2936"/>
      <c r="P20" s="3339"/>
      <c r="Q20" s="1534" t="str">
        <f>B20</f>
        <v>自然及人文环境</v>
      </c>
      <c r="R20" s="711" t="s">
        <v>17</v>
      </c>
      <c r="S20" s="712">
        <f>F20</f>
        <v>100</v>
      </c>
      <c r="T20" s="711" t="s">
        <v>17</v>
      </c>
      <c r="U20" s="712">
        <f>H20</f>
        <v>100</v>
      </c>
      <c r="V20" s="711" t="s">
        <v>17</v>
      </c>
      <c r="W20" s="712">
        <f>J20</f>
        <v>100</v>
      </c>
      <c r="X20" s="1537"/>
      <c r="Y20" s="3339"/>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2"/>
      <c r="M21" s="2936"/>
      <c r="N21" s="2936"/>
      <c r="O21" s="2936"/>
      <c r="P21" s="3339"/>
      <c r="Q21" s="1534"/>
      <c r="R21" s="711"/>
      <c r="S21" s="712"/>
      <c r="T21" s="711"/>
      <c r="U21" s="712"/>
      <c r="V21" s="711"/>
      <c r="W21" s="712"/>
      <c r="X21" s="1537"/>
      <c r="Y21" s="3339"/>
      <c r="Z21" s="1538"/>
      <c r="AA21" s="1535">
        <v>1</v>
      </c>
      <c r="AB21" s="1535">
        <v>1</v>
      </c>
      <c r="AC21" s="1535">
        <v>1</v>
      </c>
    </row>
    <row r="22" spans="1:29" ht="15">
      <c r="A22" s="361"/>
      <c r="B22" s="584" t="s">
        <v>2524</v>
      </c>
      <c r="C22" s="570"/>
      <c r="D22" s="406">
        <v>100</v>
      </c>
      <c r="E22" s="570"/>
      <c r="F22" s="417">
        <f>SUMIF(71:71,E22,72:72)-SUMIF(71:71,C22,72:72)+100</f>
        <v>100</v>
      </c>
      <c r="G22" s="570"/>
      <c r="H22" s="391">
        <f>SUMIF(71:71,G22,72:72)-SUMIF(71:71,C22,72:72)+100</f>
        <v>100</v>
      </c>
      <c r="I22" s="570"/>
      <c r="J22" s="391">
        <f>SUMIF(71:71,I22,72:72)-SUMIF(71:71,C22,72:72)+100</f>
        <v>100</v>
      </c>
      <c r="K22" s="566"/>
      <c r="L22" s="2942"/>
      <c r="M22" s="2936"/>
      <c r="N22" s="2936"/>
      <c r="O22" s="2936"/>
      <c r="P22" s="3339"/>
      <c r="Q22" s="1534" t="str">
        <f>B22</f>
        <v>楼层</v>
      </c>
      <c r="R22" s="711" t="s">
        <v>17</v>
      </c>
      <c r="S22" s="712">
        <f>F22</f>
        <v>100</v>
      </c>
      <c r="T22" s="711" t="s">
        <v>17</v>
      </c>
      <c r="U22" s="712">
        <f>H22</f>
        <v>100</v>
      </c>
      <c r="V22" s="711" t="s">
        <v>17</v>
      </c>
      <c r="W22" s="712">
        <f>J22</f>
        <v>100</v>
      </c>
      <c r="X22" s="1537"/>
      <c r="Y22" s="3339"/>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2"/>
      <c r="M23" s="2936"/>
      <c r="N23" s="2936"/>
      <c r="O23" s="2936"/>
      <c r="P23" s="3339"/>
      <c r="Q23" s="1534">
        <f>B23</f>
        <v>111</v>
      </c>
      <c r="R23" s="711" t="s">
        <v>17</v>
      </c>
      <c r="S23" s="712">
        <f>F23</f>
        <v>100</v>
      </c>
      <c r="T23" s="711" t="s">
        <v>17</v>
      </c>
      <c r="U23" s="712">
        <f>H23</f>
        <v>100</v>
      </c>
      <c r="V23" s="711" t="s">
        <v>17</v>
      </c>
      <c r="W23" s="712">
        <f>J23</f>
        <v>100</v>
      </c>
      <c r="X23" s="1537"/>
      <c r="Y23" s="3339"/>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2"/>
      <c r="M24" s="2936"/>
      <c r="N24" s="2936"/>
      <c r="O24" s="2936"/>
      <c r="P24" s="3339"/>
      <c r="Q24" s="1534">
        <f t="shared" ref="Q24:Q36" si="11">B24</f>
        <v>111</v>
      </c>
      <c r="R24" s="711" t="s">
        <v>17</v>
      </c>
      <c r="S24" s="712">
        <f>F24</f>
        <v>100</v>
      </c>
      <c r="T24" s="711" t="s">
        <v>17</v>
      </c>
      <c r="U24" s="712">
        <f>H24</f>
        <v>100</v>
      </c>
      <c r="V24" s="711" t="s">
        <v>17</v>
      </c>
      <c r="W24" s="712">
        <f>J24</f>
        <v>100</v>
      </c>
      <c r="X24" s="1537"/>
      <c r="Y24" s="3339"/>
      <c r="Z24" s="1538">
        <f>Q24</f>
        <v>111</v>
      </c>
      <c r="AA24" s="1535">
        <f t="shared" si="3"/>
        <v>1</v>
      </c>
      <c r="AB24" s="1535">
        <f t="shared" si="4"/>
        <v>1</v>
      </c>
      <c r="AC24" s="1535">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37"/>
      <c r="M25" s="2938"/>
      <c r="N25" s="2938"/>
      <c r="O25" s="2938"/>
      <c r="P25" s="3339"/>
      <c r="Q25" s="1525">
        <f t="shared" si="11"/>
        <v>111</v>
      </c>
      <c r="R25" s="707" t="s">
        <v>17</v>
      </c>
      <c r="S25" s="708">
        <f>F25</f>
        <v>100</v>
      </c>
      <c r="T25" s="707" t="s">
        <v>17</v>
      </c>
      <c r="U25" s="708">
        <f>H25</f>
        <v>100</v>
      </c>
      <c r="V25" s="707" t="s">
        <v>17</v>
      </c>
      <c r="W25" s="708">
        <f>J25</f>
        <v>100</v>
      </c>
      <c r="X25" s="709"/>
      <c r="Y25" s="3339"/>
      <c r="Z25" s="55">
        <f>Q25</f>
        <v>111</v>
      </c>
      <c r="AA25" s="1535">
        <f>D25/F25</f>
        <v>1</v>
      </c>
      <c r="AB25" s="1535">
        <f>D25/H25</f>
        <v>1</v>
      </c>
      <c r="AC25" s="1535">
        <f>D25/J25</f>
        <v>1</v>
      </c>
    </row>
    <row r="26" spans="1:29" ht="28.5">
      <c r="A26" s="605" t="s">
        <v>2376</v>
      </c>
      <c r="B26" s="66" t="s">
        <v>2525</v>
      </c>
      <c r="C26" s="2154">
        <f>B1</f>
        <v>0</v>
      </c>
      <c r="D26" s="404">
        <v>100</v>
      </c>
      <c r="E26" s="403"/>
      <c r="F26" s="405">
        <f>SUMIF(79:79,E26,80:80)-SUMIF(79:79,C26,80:80)+100</f>
        <v>100</v>
      </c>
      <c r="G26" s="403"/>
      <c r="H26" s="404">
        <f>SUMIF(79:79,G26,80:80)-SUMIF(79:79,C26,80:80)+100</f>
        <v>100</v>
      </c>
      <c r="I26" s="403"/>
      <c r="J26" s="404">
        <f>SUMIF(79:79,I26,80:80)-SUMIF(79:79,C26,80:80)+100</f>
        <v>100</v>
      </c>
      <c r="K26" s="566"/>
      <c r="L26" s="2942"/>
      <c r="M26" s="2936"/>
      <c r="N26" s="2936"/>
      <c r="O26" s="2936"/>
      <c r="P26" s="3362" t="s">
        <v>2378</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43" t="s">
        <v>2378</v>
      </c>
      <c r="Z26" s="1538" t="str">
        <f t="shared" ref="Z26:Z36" si="15">Q26</f>
        <v>配套类型</v>
      </c>
      <c r="AA26" s="1535">
        <f t="shared" si="3"/>
        <v>1</v>
      </c>
      <c r="AB26" s="1535">
        <f t="shared" si="4"/>
        <v>1</v>
      </c>
      <c r="AC26" s="1535">
        <f t="shared" si="5"/>
        <v>1</v>
      </c>
    </row>
    <row r="27" spans="1:29" s="427" customFormat="1" ht="15">
      <c r="A27" s="606"/>
      <c r="B27" s="607" t="s">
        <v>2526</v>
      </c>
      <c r="C27" s="608"/>
      <c r="D27" s="129">
        <v>100</v>
      </c>
      <c r="E27" s="608"/>
      <c r="F27" s="417">
        <f>SUMIF(81:81,E27,82:82)-SUMIF(81:81,C27,82:82)+100</f>
        <v>100</v>
      </c>
      <c r="G27" s="608"/>
      <c r="H27" s="391">
        <f>SUMIF(81:81,G27,82:82)-SUMIF(81:81,C27,82:82)+100</f>
        <v>100</v>
      </c>
      <c r="I27" s="608"/>
      <c r="J27" s="391">
        <f>SUMIF(81:81,I27,82:82)-SUMIF(81:81,C27,82:82)+100</f>
        <v>100</v>
      </c>
      <c r="K27" s="567"/>
      <c r="L27" s="2941"/>
      <c r="M27" s="2943"/>
      <c r="N27" s="2943"/>
      <c r="O27" s="2943"/>
      <c r="P27" s="3343"/>
      <c r="Q27" s="713" t="str">
        <f t="shared" si="11"/>
        <v>项目停车位配比</v>
      </c>
      <c r="R27" s="714" t="s">
        <v>17</v>
      </c>
      <c r="S27" s="715">
        <f t="shared" si="12"/>
        <v>100</v>
      </c>
      <c r="T27" s="714" t="s">
        <v>17</v>
      </c>
      <c r="U27" s="715">
        <f t="shared" si="13"/>
        <v>100</v>
      </c>
      <c r="V27" s="714" t="s">
        <v>17</v>
      </c>
      <c r="W27" s="715">
        <f t="shared" si="14"/>
        <v>100</v>
      </c>
      <c r="X27" s="716"/>
      <c r="Y27" s="3343"/>
      <c r="Z27" s="717" t="str">
        <f t="shared" si="15"/>
        <v>项目停车位配比</v>
      </c>
      <c r="AA27" s="1535">
        <f t="shared" si="3"/>
        <v>1</v>
      </c>
      <c r="AB27" s="1535">
        <f t="shared" si="4"/>
        <v>1</v>
      </c>
      <c r="AC27" s="1535">
        <f t="shared" si="5"/>
        <v>1</v>
      </c>
    </row>
    <row r="28" spans="1:29" ht="15">
      <c r="A28" s="609"/>
      <c r="B28" s="607" t="s">
        <v>2527</v>
      </c>
      <c r="C28" s="416"/>
      <c r="D28" s="391">
        <v>100</v>
      </c>
      <c r="E28" s="416"/>
      <c r="F28" s="417">
        <f>SUMIF(83:83,E28,84:84)-SUMIF(83:83,C28,84:84)+100</f>
        <v>100</v>
      </c>
      <c r="G28" s="416"/>
      <c r="H28" s="391">
        <f>SUMIF(83:83,G28,84:84)-SUMIF(83:83,C28,84:84)+100</f>
        <v>100</v>
      </c>
      <c r="I28" s="416"/>
      <c r="J28" s="391">
        <f>SUMIF(83:83,I28,84:84)-SUMIF(83:83,C28,84:84)+100</f>
        <v>100</v>
      </c>
      <c r="K28" s="566"/>
      <c r="L28" s="2942"/>
      <c r="M28" s="2936"/>
      <c r="N28" s="2936"/>
      <c r="O28" s="2936"/>
      <c r="P28" s="3343"/>
      <c r="Q28" s="1534" t="str">
        <f t="shared" si="11"/>
        <v>公共部分装修</v>
      </c>
      <c r="R28" s="711" t="s">
        <v>17</v>
      </c>
      <c r="S28" s="712">
        <f t="shared" si="12"/>
        <v>100</v>
      </c>
      <c r="T28" s="711" t="s">
        <v>17</v>
      </c>
      <c r="U28" s="712">
        <f t="shared" si="13"/>
        <v>100</v>
      </c>
      <c r="V28" s="711" t="s">
        <v>17</v>
      </c>
      <c r="W28" s="712">
        <f t="shared" si="14"/>
        <v>100</v>
      </c>
      <c r="X28" s="1537"/>
      <c r="Y28" s="3343"/>
      <c r="Z28" s="1538" t="str">
        <f t="shared" si="15"/>
        <v>公共部分装修</v>
      </c>
      <c r="AA28" s="1535">
        <f t="shared" si="3"/>
        <v>1</v>
      </c>
      <c r="AB28" s="1535">
        <f t="shared" si="4"/>
        <v>1</v>
      </c>
      <c r="AC28" s="1535">
        <f t="shared" si="5"/>
        <v>1</v>
      </c>
    </row>
    <row r="29" spans="1:29" ht="15">
      <c r="A29" s="609"/>
      <c r="B29" s="607" t="s">
        <v>2528</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2"/>
      <c r="M29" s="2936"/>
      <c r="N29" s="2936"/>
      <c r="O29" s="2936"/>
      <c r="P29" s="3343"/>
      <c r="Q29" s="1534" t="str">
        <f t="shared" si="11"/>
        <v>成新率</v>
      </c>
      <c r="R29" s="711" t="s">
        <v>17</v>
      </c>
      <c r="S29" s="712" t="e">
        <f t="shared" si="12"/>
        <v>#N/A</v>
      </c>
      <c r="T29" s="711" t="s">
        <v>17</v>
      </c>
      <c r="U29" s="712" t="e">
        <f t="shared" si="13"/>
        <v>#N/A</v>
      </c>
      <c r="V29" s="711" t="s">
        <v>17</v>
      </c>
      <c r="W29" s="712" t="e">
        <f t="shared" si="14"/>
        <v>#N/A</v>
      </c>
      <c r="X29" s="1537"/>
      <c r="Y29" s="3343"/>
      <c r="Z29" s="1538" t="str">
        <f t="shared" si="15"/>
        <v>成新率</v>
      </c>
      <c r="AA29" s="1535" t="e">
        <f t="shared" si="3"/>
        <v>#N/A</v>
      </c>
      <c r="AB29" s="1535" t="e">
        <f t="shared" si="4"/>
        <v>#N/A</v>
      </c>
      <c r="AC29" s="1535" t="e">
        <f t="shared" si="5"/>
        <v>#N/A</v>
      </c>
    </row>
    <row r="30" spans="1:29" ht="15">
      <c r="A30" s="609"/>
      <c r="B30" s="607" t="s">
        <v>2529</v>
      </c>
      <c r="C30" s="610"/>
      <c r="D30" s="391">
        <v>100</v>
      </c>
      <c r="E30" s="610"/>
      <c r="F30" s="417">
        <f>SUMIF(88:88,E30,89:89)-SUMIF(88:88,C30,89:89)+100</f>
        <v>100</v>
      </c>
      <c r="G30" s="610"/>
      <c r="H30" s="391">
        <f>SUMIF(88:88,E30,89:89)-SUMIF(88:88,C30,89:89)+100</f>
        <v>100</v>
      </c>
      <c r="I30" s="610"/>
      <c r="J30" s="391">
        <f>SUMIF(88:88,E30,89:89)-SUMIF(88:88,C30,89:89)+100</f>
        <v>100</v>
      </c>
      <c r="K30" s="566"/>
      <c r="L30" s="2942"/>
      <c r="M30" s="2936"/>
      <c r="N30" s="2936"/>
      <c r="O30" s="2936"/>
      <c r="P30" s="3343"/>
      <c r="Q30" s="1534" t="str">
        <f t="shared" si="11"/>
        <v>物业等级</v>
      </c>
      <c r="R30" s="711" t="s">
        <v>17</v>
      </c>
      <c r="S30" s="712">
        <f t="shared" si="12"/>
        <v>100</v>
      </c>
      <c r="T30" s="711" t="s">
        <v>17</v>
      </c>
      <c r="U30" s="712">
        <f t="shared" si="13"/>
        <v>100</v>
      </c>
      <c r="V30" s="711" t="s">
        <v>17</v>
      </c>
      <c r="W30" s="712">
        <f t="shared" si="14"/>
        <v>100</v>
      </c>
      <c r="X30" s="1537"/>
      <c r="Y30" s="3343"/>
      <c r="Z30" s="1538" t="str">
        <f t="shared" si="15"/>
        <v>物业等级</v>
      </c>
      <c r="AA30" s="1535">
        <f t="shared" si="3"/>
        <v>1</v>
      </c>
      <c r="AB30" s="1535">
        <f t="shared" si="4"/>
        <v>1</v>
      </c>
      <c r="AC30" s="1535">
        <f t="shared" si="5"/>
        <v>1</v>
      </c>
    </row>
    <row r="31" spans="1:29" s="112" customFormat="1" ht="15">
      <c r="A31" s="611"/>
      <c r="B31" s="607" t="s">
        <v>2530</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37"/>
      <c r="M31" s="2938"/>
      <c r="N31" s="2938"/>
      <c r="O31" s="2938"/>
      <c r="P31" s="3343"/>
      <c r="Q31" s="1525" t="str">
        <f t="shared" si="11"/>
        <v>停车位面积</v>
      </c>
      <c r="R31" s="707" t="s">
        <v>17</v>
      </c>
      <c r="S31" s="708" t="e">
        <f t="shared" si="12"/>
        <v>#N/A</v>
      </c>
      <c r="T31" s="707" t="s">
        <v>17</v>
      </c>
      <c r="U31" s="708" t="e">
        <f t="shared" si="13"/>
        <v>#N/A</v>
      </c>
      <c r="V31" s="707" t="s">
        <v>17</v>
      </c>
      <c r="W31" s="708" t="e">
        <f t="shared" si="14"/>
        <v>#N/A</v>
      </c>
      <c r="X31" s="709"/>
      <c r="Y31" s="3343"/>
      <c r="Z31" s="55" t="str">
        <f t="shared" si="15"/>
        <v>停车位面积</v>
      </c>
      <c r="AA31" s="710" t="e">
        <f t="shared" si="3"/>
        <v>#N/A</v>
      </c>
      <c r="AB31" s="710" t="e">
        <f t="shared" si="4"/>
        <v>#N/A</v>
      </c>
      <c r="AC31" s="710" t="e">
        <f t="shared" si="5"/>
        <v>#N/A</v>
      </c>
    </row>
    <row r="32" spans="1:29" ht="15">
      <c r="A32" s="609"/>
      <c r="B32" s="607" t="s">
        <v>2531</v>
      </c>
      <c r="C32" s="416"/>
      <c r="D32" s="391">
        <v>100</v>
      </c>
      <c r="E32" s="416"/>
      <c r="F32" s="417">
        <f>SUMIF(93:93,E32,94:94)-SUMIF(93:93,C32,94:94)+100</f>
        <v>100</v>
      </c>
      <c r="G32" s="416"/>
      <c r="H32" s="391">
        <f>SUMIF(93:93,G32,94:94)-SUMIF(93:93,C32,94:94)+100</f>
        <v>100</v>
      </c>
      <c r="I32" s="416"/>
      <c r="J32" s="391">
        <f>SUMIF(93:93,I32,94:94)-SUMIF(93:93,C32,94:94)+100</f>
        <v>100</v>
      </c>
      <c r="K32" s="566"/>
      <c r="L32" s="2942"/>
      <c r="M32" s="2936"/>
      <c r="N32" s="2936"/>
      <c r="O32" s="2936"/>
      <c r="P32" s="3343" t="s">
        <v>2378</v>
      </c>
      <c r="Q32" s="1534" t="str">
        <f t="shared" si="11"/>
        <v>车位类型</v>
      </c>
      <c r="R32" s="711" t="s">
        <v>17</v>
      </c>
      <c r="S32" s="712">
        <f t="shared" si="12"/>
        <v>100</v>
      </c>
      <c r="T32" s="711" t="s">
        <v>17</v>
      </c>
      <c r="U32" s="712">
        <f t="shared" si="13"/>
        <v>100</v>
      </c>
      <c r="V32" s="711" t="s">
        <v>17</v>
      </c>
      <c r="W32" s="712">
        <f t="shared" si="14"/>
        <v>100</v>
      </c>
      <c r="X32" s="1537"/>
      <c r="Y32" s="3343" t="s">
        <v>2378</v>
      </c>
      <c r="Z32" s="1538" t="str">
        <f t="shared" si="15"/>
        <v>车位类型</v>
      </c>
      <c r="AA32" s="1535">
        <f t="shared" si="3"/>
        <v>1</v>
      </c>
      <c r="AB32" s="1535">
        <f t="shared" si="4"/>
        <v>1</v>
      </c>
      <c r="AC32" s="1535">
        <f t="shared" si="5"/>
        <v>1</v>
      </c>
    </row>
    <row r="33" spans="1:29" ht="15">
      <c r="A33" s="609"/>
      <c r="B33" s="607" t="s">
        <v>2532</v>
      </c>
      <c r="C33" s="416"/>
      <c r="D33" s="391">
        <v>100</v>
      </c>
      <c r="E33" s="416"/>
      <c r="F33" s="417">
        <f>SUMIF(95:95,E33,96:96)-SUMIF(95:95,C33,96:96)+100</f>
        <v>100</v>
      </c>
      <c r="G33" s="416"/>
      <c r="H33" s="391">
        <f>SUMIF(95:95,G33,96:96)-SUMIF(95:95,C33,96:96)+100</f>
        <v>100</v>
      </c>
      <c r="I33" s="416"/>
      <c r="J33" s="391">
        <f>SUMIF(95:95,I33,96:96)-SUMIF(95:95,C33,96:96)+100</f>
        <v>100</v>
      </c>
      <c r="K33" s="566"/>
      <c r="L33" s="2942"/>
      <c r="M33" s="2936"/>
      <c r="N33" s="2936"/>
      <c r="O33" s="2936"/>
      <c r="P33" s="3343"/>
      <c r="Q33" s="1534" t="str">
        <f t="shared" si="11"/>
        <v>是否直接入户</v>
      </c>
      <c r="R33" s="711" t="s">
        <v>17</v>
      </c>
      <c r="S33" s="712">
        <f t="shared" si="12"/>
        <v>100</v>
      </c>
      <c r="T33" s="711" t="s">
        <v>17</v>
      </c>
      <c r="U33" s="712">
        <f t="shared" si="13"/>
        <v>100</v>
      </c>
      <c r="V33" s="711" t="s">
        <v>17</v>
      </c>
      <c r="W33" s="712">
        <f t="shared" si="14"/>
        <v>100</v>
      </c>
      <c r="X33" s="1537"/>
      <c r="Y33" s="3343"/>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2"/>
      <c r="M34" s="2936"/>
      <c r="N34" s="2936"/>
      <c r="O34" s="2936"/>
      <c r="P34" s="3343"/>
      <c r="Q34" s="1534">
        <f t="shared" si="11"/>
        <v>111</v>
      </c>
      <c r="R34" s="711" t="s">
        <v>17</v>
      </c>
      <c r="S34" s="712">
        <f t="shared" si="12"/>
        <v>100</v>
      </c>
      <c r="T34" s="711" t="s">
        <v>17</v>
      </c>
      <c r="U34" s="712">
        <f t="shared" si="13"/>
        <v>100</v>
      </c>
      <c r="V34" s="711" t="s">
        <v>17</v>
      </c>
      <c r="W34" s="712">
        <f t="shared" si="14"/>
        <v>100</v>
      </c>
      <c r="X34" s="1537"/>
      <c r="Y34" s="3343"/>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1"/>
      <c r="M35" s="2943"/>
      <c r="N35" s="2943"/>
      <c r="O35" s="2943"/>
      <c r="P35" s="3343"/>
      <c r="Q35" s="713">
        <f t="shared" si="11"/>
        <v>111</v>
      </c>
      <c r="R35" s="714" t="s">
        <v>17</v>
      </c>
      <c r="S35" s="715">
        <f t="shared" si="12"/>
        <v>100</v>
      </c>
      <c r="T35" s="714" t="s">
        <v>17</v>
      </c>
      <c r="U35" s="715">
        <f t="shared" si="13"/>
        <v>100</v>
      </c>
      <c r="V35" s="714" t="s">
        <v>17</v>
      </c>
      <c r="W35" s="715">
        <f t="shared" si="14"/>
        <v>100</v>
      </c>
      <c r="X35" s="716"/>
      <c r="Y35" s="3343"/>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2"/>
      <c r="M36" s="2936"/>
      <c r="N36" s="2936"/>
      <c r="O36" s="2936"/>
      <c r="P36" s="3343"/>
      <c r="Q36" s="1534">
        <f t="shared" si="11"/>
        <v>111</v>
      </c>
      <c r="R36" s="711" t="s">
        <v>17</v>
      </c>
      <c r="S36" s="712">
        <f t="shared" si="12"/>
        <v>100</v>
      </c>
      <c r="T36" s="711" t="s">
        <v>17</v>
      </c>
      <c r="U36" s="712">
        <f t="shared" si="13"/>
        <v>100</v>
      </c>
      <c r="V36" s="711" t="s">
        <v>17</v>
      </c>
      <c r="W36" s="712">
        <f t="shared" si="14"/>
        <v>100</v>
      </c>
      <c r="X36" s="1537"/>
      <c r="Y36" s="3343"/>
      <c r="Z36" s="1538">
        <f t="shared" si="15"/>
        <v>111</v>
      </c>
      <c r="AA36" s="1535">
        <f t="shared" si="3"/>
        <v>1</v>
      </c>
      <c r="AB36" s="1535">
        <f t="shared" si="4"/>
        <v>1</v>
      </c>
      <c r="AC36" s="1535">
        <f t="shared" si="5"/>
        <v>1</v>
      </c>
    </row>
    <row r="37" spans="1:29" ht="15">
      <c r="A37" s="435" t="s">
        <v>2533</v>
      </c>
      <c r="B37" s="2155" t="s">
        <v>2534</v>
      </c>
      <c r="C37" s="1313" t="s">
        <v>1</v>
      </c>
      <c r="D37" s="1314"/>
      <c r="E37" s="1315"/>
      <c r="F37" s="1316"/>
      <c r="G37" s="1317"/>
      <c r="H37" s="1318"/>
      <c r="I37" s="1315"/>
      <c r="J37" s="1318"/>
      <c r="K37" s="573"/>
      <c r="L37" s="2944"/>
      <c r="M37" s="2945"/>
      <c r="N37" s="2936"/>
      <c r="O37" s="2945"/>
      <c r="P37" s="3336" t="str">
        <f>A37</f>
        <v>成交单价</v>
      </c>
      <c r="Q37" s="3336"/>
      <c r="R37" s="3337">
        <f>E37</f>
        <v>0</v>
      </c>
      <c r="S37" s="3337"/>
      <c r="T37" s="3337">
        <f>G37</f>
        <v>0</v>
      </c>
      <c r="U37" s="3337"/>
      <c r="V37" s="3337">
        <f>I37</f>
        <v>0</v>
      </c>
      <c r="W37" s="3337"/>
      <c r="X37" s="696"/>
      <c r="Y37" s="718"/>
      <c r="Z37" s="696"/>
      <c r="AA37" s="696"/>
      <c r="AB37" s="696"/>
      <c r="AC37" s="696"/>
    </row>
    <row r="38" spans="1:29" ht="15.75" thickBot="1">
      <c r="A38" s="442" t="s">
        <v>2535</v>
      </c>
      <c r="B38" s="443" t="str">
        <f>B37</f>
        <v>元/车位</v>
      </c>
      <c r="C38" s="1319" t="e">
        <f>R39</f>
        <v>#DIV/0!</v>
      </c>
      <c r="D38" s="2534" t="s">
        <v>2871</v>
      </c>
      <c r="E38" s="1320" t="e">
        <f>R38</f>
        <v>#DIV/0!</v>
      </c>
      <c r="F38" s="2535"/>
      <c r="G38" s="1319" t="e">
        <f>T38</f>
        <v>#DIV/0!</v>
      </c>
      <c r="H38" s="2535"/>
      <c r="I38" s="1320" t="e">
        <f>V38</f>
        <v>#DIV/0!</v>
      </c>
      <c r="J38" s="2535"/>
      <c r="K38" s="2537">
        <f>F38+H38+J38</f>
        <v>0</v>
      </c>
      <c r="L38" s="2944"/>
      <c r="M38" s="2945"/>
      <c r="N38" s="2945"/>
      <c r="O38" s="2945"/>
      <c r="P38" s="3336" t="str">
        <f>A38</f>
        <v>比较价值（元/平方米）</v>
      </c>
      <c r="Q38" s="3336"/>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6"/>
      <c r="Y38" s="696"/>
      <c r="Z38" s="696"/>
      <c r="AA38" s="696"/>
      <c r="AB38" s="696"/>
      <c r="AC38" s="696"/>
    </row>
    <row r="39" spans="1:29" ht="15.75" thickBot="1">
      <c r="A39" s="446" t="s">
        <v>2536</v>
      </c>
      <c r="B39" s="447"/>
      <c r="C39" s="1322" t="e">
        <f>R39</f>
        <v>#DIV/0!</v>
      </c>
      <c r="D39" s="1322"/>
      <c r="E39" s="1322"/>
      <c r="F39" s="1322"/>
      <c r="G39" s="1322"/>
      <c r="H39" s="1322"/>
      <c r="I39" s="1322"/>
      <c r="J39" s="1322"/>
      <c r="K39" s="574"/>
      <c r="L39" s="2944"/>
      <c r="M39" s="2945"/>
      <c r="N39" s="2945"/>
      <c r="O39" s="2945"/>
      <c r="P39" s="3333" t="str">
        <f>A39</f>
        <v>估价对象XX用房的比较价值（楼面单价，元/平方米）</v>
      </c>
      <c r="Q39" s="3334"/>
      <c r="R39" s="3363" t="e">
        <f>IF(F1="售价",ROUND(IF(D38="简单平均",AVERAGE(R38:W38),R38*F38+T38*H38+V38*J38),0),ROUND(IF(D38="简单平均",AVERAGE(R38:V38),R38*F38+T38*H38+V38*J38),1))</f>
        <v>#DIV/0!</v>
      </c>
      <c r="S39" s="3363"/>
      <c r="T39" s="3363"/>
      <c r="U39" s="3363"/>
      <c r="V39" s="3363"/>
      <c r="W39" s="3363"/>
      <c r="X39" s="696"/>
      <c r="Y39" s="696"/>
      <c r="Z39" s="696"/>
      <c r="AA39" s="696"/>
      <c r="AB39" s="696"/>
      <c r="AC39" s="696"/>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1" t="s">
        <v>2537</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1" t="s">
        <v>2538</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6" customFormat="1" ht="13.5" customHeight="1">
      <c r="A44" s="2948"/>
      <c r="B44" s="2948"/>
      <c r="C44" s="451" t="s">
        <v>2539</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6"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5" t="s">
        <v>2540</v>
      </c>
      <c r="B47" s="1055"/>
      <c r="C47" s="1068"/>
      <c r="D47" s="1068"/>
      <c r="E47" s="1068"/>
      <c r="F47" s="1326"/>
      <c r="G47" s="1326"/>
      <c r="H47" s="1068"/>
      <c r="I47" s="1068"/>
      <c r="J47" s="1068"/>
      <c r="K47" s="1069"/>
      <c r="L47" s="1070"/>
      <c r="M47" s="1068"/>
      <c r="N47" s="2989"/>
      <c r="O47" s="2989"/>
      <c r="P47" s="2978"/>
      <c r="Q47" s="2959"/>
      <c r="R47" s="2945"/>
      <c r="S47" s="2945"/>
      <c r="T47" s="2945"/>
      <c r="U47" s="2945"/>
      <c r="V47" s="2945"/>
      <c r="W47" s="2945"/>
      <c r="X47" s="2945"/>
      <c r="Y47" s="2945"/>
      <c r="Z47" s="2945"/>
      <c r="AA47" s="2945"/>
      <c r="AB47" s="2945"/>
      <c r="AC47" s="2945"/>
    </row>
    <row r="48" spans="1:29" s="462" customFormat="1" ht="15">
      <c r="A48" s="459" t="s">
        <v>2541</v>
      </c>
      <c r="B48" s="460"/>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79"/>
      <c r="Q48" s="2961"/>
      <c r="R48" s="2961"/>
      <c r="S48" s="2961"/>
      <c r="T48" s="2961"/>
      <c r="U48" s="2961"/>
      <c r="V48" s="2961"/>
      <c r="W48" s="2961"/>
      <c r="X48" s="2961"/>
      <c r="Y48" s="2961"/>
      <c r="Z48" s="2961"/>
      <c r="AA48" s="2961"/>
      <c r="AB48" s="2961"/>
      <c r="AC48" s="2961"/>
    </row>
    <row r="49" spans="1:29" s="112" customFormat="1" ht="15">
      <c r="A49" s="463"/>
      <c r="B49" s="464"/>
      <c r="C49" s="1336">
        <v>100</v>
      </c>
      <c r="D49" s="466"/>
      <c r="E49" s="466"/>
      <c r="F49" s="466"/>
      <c r="G49" s="466"/>
      <c r="H49" s="466"/>
      <c r="I49" s="466"/>
      <c r="J49" s="466"/>
      <c r="K49" s="466"/>
      <c r="L49" s="466"/>
      <c r="M49" s="467"/>
      <c r="N49" s="466"/>
      <c r="O49" s="467"/>
      <c r="P49" s="2980"/>
      <c r="Q49" s="2879"/>
      <c r="R49" s="2879"/>
      <c r="S49" s="2879"/>
      <c r="T49" s="2879"/>
      <c r="U49" s="2879"/>
      <c r="V49" s="2879"/>
      <c r="W49" s="2879"/>
      <c r="X49" s="2879"/>
      <c r="Y49" s="2879"/>
      <c r="Z49" s="2879"/>
      <c r="AA49" s="2879"/>
      <c r="AB49" s="2879"/>
      <c r="AC49" s="2879"/>
    </row>
    <row r="50" spans="1:29" s="112" customFormat="1" ht="15.75" thickBot="1">
      <c r="A50" s="469" t="s">
        <v>2398</v>
      </c>
      <c r="B50" s="470"/>
      <c r="C50" s="471"/>
      <c r="D50" s="472"/>
      <c r="E50" s="472"/>
      <c r="F50" s="472"/>
      <c r="G50" s="472"/>
      <c r="H50" s="472"/>
      <c r="I50" s="472"/>
      <c r="J50" s="472"/>
      <c r="K50" s="472"/>
      <c r="L50" s="472"/>
      <c r="M50" s="473"/>
      <c r="N50" s="472"/>
      <c r="O50" s="473"/>
      <c r="P50" s="2980"/>
      <c r="Q50" s="2959"/>
      <c r="R50" s="2879"/>
      <c r="S50" s="2879"/>
      <c r="T50" s="2879"/>
      <c r="U50" s="2879"/>
      <c r="V50" s="2879"/>
      <c r="W50" s="2879"/>
      <c r="X50" s="2879"/>
      <c r="Y50" s="2879"/>
      <c r="Z50" s="2879"/>
      <c r="AA50" s="2879"/>
      <c r="AB50" s="2879"/>
      <c r="AC50" s="2879"/>
    </row>
    <row r="51" spans="1:29" s="112" customFormat="1" ht="15">
      <c r="A51" s="475" t="s">
        <v>2363</v>
      </c>
      <c r="B51" s="464"/>
      <c r="C51" s="476" t="s">
        <v>2465</v>
      </c>
      <c r="D51" s="477"/>
      <c r="E51" s="477"/>
      <c r="F51" s="477"/>
      <c r="G51" s="477"/>
      <c r="H51" s="477"/>
      <c r="I51" s="477"/>
      <c r="J51" s="477"/>
      <c r="K51" s="477"/>
      <c r="L51" s="478"/>
      <c r="M51" s="479"/>
      <c r="N51" s="2972"/>
      <c r="O51" s="2972"/>
      <c r="P51" s="2981"/>
      <c r="Q51" s="2959"/>
      <c r="R51" s="2879"/>
      <c r="S51" s="2879"/>
      <c r="T51" s="2879"/>
      <c r="U51" s="2879"/>
      <c r="V51" s="2879"/>
      <c r="W51" s="2879"/>
      <c r="X51" s="2879"/>
      <c r="Y51" s="2879"/>
      <c r="Z51" s="2879"/>
      <c r="AA51" s="2879"/>
      <c r="AB51" s="2879"/>
      <c r="AC51" s="2879"/>
    </row>
    <row r="52" spans="1:29" s="112" customFormat="1" ht="15.75" thickBot="1">
      <c r="A52" s="475"/>
      <c r="B52" s="464"/>
      <c r="C52" s="592">
        <v>100</v>
      </c>
      <c r="D52" s="466"/>
      <c r="E52" s="466"/>
      <c r="F52" s="466"/>
      <c r="G52" s="466"/>
      <c r="H52" s="466"/>
      <c r="I52" s="466"/>
      <c r="J52" s="466"/>
      <c r="K52" s="466"/>
      <c r="L52" s="466"/>
      <c r="M52" s="468"/>
      <c r="N52" s="2972"/>
      <c r="O52" s="2972"/>
      <c r="P52" s="2980"/>
      <c r="Q52" s="2959"/>
      <c r="R52" s="2879"/>
      <c r="S52" s="2879"/>
      <c r="T52" s="2879"/>
      <c r="U52" s="2879"/>
      <c r="V52" s="2879"/>
      <c r="W52" s="2879"/>
      <c r="X52" s="2879"/>
      <c r="Y52" s="2879"/>
      <c r="Z52" s="2879"/>
      <c r="AA52" s="2879"/>
      <c r="AB52" s="2879"/>
      <c r="AC52" s="2879"/>
    </row>
    <row r="53" spans="1:29">
      <c r="A53" s="481" t="s">
        <v>2401</v>
      </c>
      <c r="B53" s="482" t="s">
        <v>2367</v>
      </c>
      <c r="C53" s="483">
        <f>C9</f>
        <v>0</v>
      </c>
      <c r="D53" s="484"/>
      <c r="E53" s="484"/>
      <c r="F53" s="484"/>
      <c r="G53" s="484"/>
      <c r="H53" s="484"/>
      <c r="I53" s="484"/>
      <c r="J53" s="484"/>
      <c r="K53" s="485"/>
      <c r="L53" s="486"/>
      <c r="M53" s="487"/>
      <c r="N53" s="2973"/>
      <c r="O53" s="2973"/>
      <c r="P53" s="2982"/>
      <c r="Q53" s="2959"/>
      <c r="R53" s="2945"/>
      <c r="S53" s="2945"/>
      <c r="T53" s="2945"/>
      <c r="U53" s="2945"/>
      <c r="V53" s="2945"/>
      <c r="W53" s="2945"/>
      <c r="X53" s="2945"/>
      <c r="Y53" s="2945"/>
      <c r="Z53" s="2945"/>
      <c r="AA53" s="2945"/>
      <c r="AB53" s="2945"/>
      <c r="AC53" s="2945"/>
    </row>
    <row r="54" spans="1:29" ht="15.75" thickBot="1">
      <c r="A54" s="488"/>
      <c r="B54" s="489"/>
      <c r="C54" s="490">
        <v>100</v>
      </c>
      <c r="D54" s="490"/>
      <c r="E54" s="490"/>
      <c r="F54" s="490"/>
      <c r="G54" s="490"/>
      <c r="H54" s="490"/>
      <c r="I54" s="490"/>
      <c r="J54" s="490"/>
      <c r="K54" s="490"/>
      <c r="L54" s="490"/>
      <c r="M54" s="491"/>
      <c r="N54" s="2974"/>
      <c r="O54" s="2974"/>
      <c r="P54" s="2982"/>
      <c r="Q54" s="2959"/>
      <c r="R54" s="2945"/>
      <c r="S54" s="2945"/>
      <c r="T54" s="2945"/>
      <c r="U54" s="2945"/>
      <c r="V54" s="2945"/>
      <c r="W54" s="2945"/>
      <c r="X54" s="2945"/>
      <c r="Y54" s="2945"/>
      <c r="Z54" s="2945"/>
      <c r="AA54" s="2945"/>
      <c r="AB54" s="2945"/>
      <c r="AC54" s="2945"/>
    </row>
    <row r="55" spans="1:29" ht="27.75" thickTop="1">
      <c r="A55" s="488"/>
      <c r="B55" s="492" t="s">
        <v>2370</v>
      </c>
      <c r="C55" s="493" t="s">
        <v>2402</v>
      </c>
      <c r="D55" s="493" t="s">
        <v>2403</v>
      </c>
      <c r="E55" s="493" t="s">
        <v>2404</v>
      </c>
      <c r="F55" s="493" t="s">
        <v>2405</v>
      </c>
      <c r="G55" s="493" t="s">
        <v>2406</v>
      </c>
      <c r="H55" s="493" t="s">
        <v>2407</v>
      </c>
      <c r="I55" s="493" t="s">
        <v>2408</v>
      </c>
      <c r="J55" s="493"/>
      <c r="K55" s="494"/>
      <c r="L55" s="495"/>
      <c r="M55" s="496"/>
      <c r="N55" s="2973"/>
      <c r="O55" s="2973"/>
      <c r="P55" s="2982"/>
      <c r="Q55" s="2959"/>
      <c r="R55" s="2945"/>
      <c r="S55" s="2945"/>
      <c r="T55" s="2945"/>
      <c r="U55" s="2945"/>
      <c r="V55" s="2945"/>
      <c r="W55" s="2945"/>
      <c r="X55" s="2945"/>
      <c r="Y55" s="2945"/>
      <c r="Z55" s="2945"/>
      <c r="AA55" s="2945"/>
      <c r="AB55" s="2945"/>
      <c r="AC55" s="2945"/>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74"/>
      <c r="O56" s="2974"/>
      <c r="P56" s="2982"/>
      <c r="Q56" s="2959"/>
      <c r="R56" s="2945"/>
      <c r="S56" s="2945"/>
      <c r="T56" s="2945"/>
      <c r="U56" s="2945"/>
      <c r="V56" s="2945"/>
      <c r="W56" s="2945"/>
      <c r="X56" s="2945"/>
      <c r="Y56" s="2945"/>
      <c r="Z56" s="2945"/>
      <c r="AA56" s="2945"/>
      <c r="AB56" s="2945"/>
      <c r="AC56" s="2945"/>
    </row>
    <row r="57" spans="1:29" ht="15.75" thickTop="1">
      <c r="A57" s="488"/>
      <c r="B57" s="613">
        <f>B11</f>
        <v>111</v>
      </c>
      <c r="C57" s="503"/>
      <c r="D57" s="503"/>
      <c r="E57" s="503"/>
      <c r="F57" s="503"/>
      <c r="G57" s="503"/>
      <c r="H57" s="503"/>
      <c r="I57" s="503"/>
      <c r="J57" s="503"/>
      <c r="K57" s="504"/>
      <c r="L57" s="505"/>
      <c r="M57" s="506"/>
      <c r="N57" s="2973"/>
      <c r="O57" s="2973"/>
      <c r="P57" s="2982"/>
      <c r="Q57" s="2959"/>
      <c r="R57" s="2945"/>
      <c r="S57" s="2945"/>
      <c r="T57" s="2945"/>
      <c r="U57" s="2945"/>
      <c r="V57" s="2945"/>
      <c r="W57" s="2945"/>
      <c r="X57" s="2945"/>
      <c r="Y57" s="2945"/>
      <c r="Z57" s="2945"/>
      <c r="AA57" s="2945"/>
      <c r="AB57" s="2945"/>
      <c r="AC57" s="2945"/>
    </row>
    <row r="58" spans="1:29" ht="15.75" thickBot="1">
      <c r="A58" s="488"/>
      <c r="B58" s="489"/>
      <c r="C58" s="514"/>
      <c r="D58" s="490"/>
      <c r="E58" s="490"/>
      <c r="F58" s="490"/>
      <c r="G58" s="490"/>
      <c r="H58" s="490"/>
      <c r="I58" s="490"/>
      <c r="J58" s="490"/>
      <c r="K58" s="490"/>
      <c r="L58" s="490"/>
      <c r="M58" s="491"/>
      <c r="N58" s="2974"/>
      <c r="O58" s="2974"/>
      <c r="P58" s="2982"/>
      <c r="Q58" s="2959"/>
      <c r="R58" s="2945"/>
      <c r="S58" s="2945"/>
      <c r="T58" s="2945"/>
      <c r="U58" s="2945"/>
      <c r="V58" s="2945"/>
      <c r="W58" s="2945"/>
      <c r="X58" s="2945"/>
      <c r="Y58" s="2945"/>
      <c r="Z58" s="2945"/>
      <c r="AA58" s="2945"/>
      <c r="AB58" s="2945"/>
      <c r="AC58" s="2945"/>
    </row>
    <row r="59" spans="1:29" s="427" customFormat="1" ht="15.75" thickTop="1">
      <c r="A59" s="507"/>
      <c r="B59" s="492">
        <f>B12</f>
        <v>111</v>
      </c>
      <c r="C59" s="503"/>
      <c r="D59" s="503"/>
      <c r="E59" s="503"/>
      <c r="F59" s="503"/>
      <c r="G59" s="508"/>
      <c r="H59" s="509"/>
      <c r="I59" s="509"/>
      <c r="J59" s="509"/>
      <c r="K59" s="509"/>
      <c r="L59" s="510"/>
      <c r="M59" s="511"/>
      <c r="N59" s="2975"/>
      <c r="O59" s="2975"/>
      <c r="P59" s="2983"/>
      <c r="Q59" s="2966"/>
      <c r="R59" s="2967"/>
      <c r="S59" s="2967"/>
      <c r="T59" s="2967"/>
      <c r="U59" s="2967"/>
      <c r="V59" s="2967"/>
      <c r="W59" s="2967"/>
      <c r="X59" s="2967"/>
      <c r="Y59" s="2967"/>
      <c r="Z59" s="2967"/>
      <c r="AA59" s="2967"/>
      <c r="AB59" s="2967"/>
      <c r="AC59" s="2967"/>
    </row>
    <row r="60" spans="1:29" s="427" customFormat="1" ht="15.75" thickBot="1">
      <c r="A60" s="507"/>
      <c r="B60" s="497"/>
      <c r="C60" s="514"/>
      <c r="D60" s="490"/>
      <c r="E60" s="490"/>
      <c r="F60" s="490"/>
      <c r="G60" s="490"/>
      <c r="H60" s="490"/>
      <c r="I60" s="490"/>
      <c r="J60" s="490"/>
      <c r="K60" s="490"/>
      <c r="L60" s="490"/>
      <c r="M60" s="491"/>
      <c r="N60" s="2974"/>
      <c r="O60" s="2974"/>
      <c r="P60" s="2983"/>
      <c r="Q60" s="2966"/>
      <c r="R60" s="2967"/>
      <c r="S60" s="2967"/>
      <c r="T60" s="2967"/>
      <c r="U60" s="2967"/>
      <c r="V60" s="2967"/>
      <c r="W60" s="2967"/>
      <c r="X60" s="2967"/>
      <c r="Y60" s="2967"/>
      <c r="Z60" s="2967"/>
      <c r="AA60" s="2967"/>
      <c r="AB60" s="2967"/>
      <c r="AC60" s="2967"/>
    </row>
    <row r="61" spans="1:29" s="427" customFormat="1" ht="15.75" thickTop="1">
      <c r="A61" s="507"/>
      <c r="B61" s="492">
        <f>B13</f>
        <v>111</v>
      </c>
      <c r="C61" s="508"/>
      <c r="D61" s="508"/>
      <c r="E61" s="508"/>
      <c r="F61" s="508"/>
      <c r="G61" s="508"/>
      <c r="H61" s="509"/>
      <c r="I61" s="509"/>
      <c r="J61" s="509"/>
      <c r="K61" s="509"/>
      <c r="L61" s="510"/>
      <c r="M61" s="511"/>
      <c r="N61" s="2975"/>
      <c r="O61" s="2975"/>
      <c r="P61" s="2984"/>
      <c r="Q61" s="2969"/>
      <c r="R61" s="2967"/>
      <c r="S61" s="2967"/>
      <c r="T61" s="2967"/>
      <c r="U61" s="2967"/>
      <c r="V61" s="2967"/>
      <c r="W61" s="2967"/>
      <c r="X61" s="2967"/>
      <c r="Y61" s="2967"/>
      <c r="Z61" s="2967"/>
      <c r="AA61" s="2967"/>
      <c r="AB61" s="2967"/>
      <c r="AC61" s="2967"/>
    </row>
    <row r="62" spans="1:29" s="427" customFormat="1" ht="15.75" thickBot="1">
      <c r="A62" s="507"/>
      <c r="B62" s="497"/>
      <c r="C62" s="514"/>
      <c r="D62" s="514"/>
      <c r="E62" s="514"/>
      <c r="F62" s="514"/>
      <c r="G62" s="514"/>
      <c r="H62" s="516"/>
      <c r="I62" s="516"/>
      <c r="J62" s="516"/>
      <c r="K62" s="516"/>
      <c r="L62" s="516"/>
      <c r="M62" s="517"/>
      <c r="N62" s="2975"/>
      <c r="O62" s="2975"/>
      <c r="P62" s="2983"/>
      <c r="Q62" s="2966"/>
      <c r="R62" s="2967"/>
      <c r="S62" s="2967"/>
      <c r="T62" s="2967"/>
      <c r="U62" s="2967"/>
      <c r="V62" s="2967"/>
      <c r="W62" s="2967"/>
      <c r="X62" s="2967"/>
      <c r="Y62" s="2967"/>
      <c r="Z62" s="2967"/>
      <c r="AA62" s="2967"/>
      <c r="AB62" s="2967"/>
      <c r="AC62" s="2967"/>
    </row>
    <row r="63" spans="1:29" ht="15" thickTop="1">
      <c r="A63" s="481" t="s">
        <v>2372</v>
      </c>
      <c r="B63" s="482" t="s">
        <v>2415</v>
      </c>
      <c r="C63" s="527" t="s">
        <v>2410</v>
      </c>
      <c r="D63" s="527" t="s">
        <v>2411</v>
      </c>
      <c r="E63" s="527" t="s">
        <v>2412</v>
      </c>
      <c r="F63" s="527" t="s">
        <v>2413</v>
      </c>
      <c r="G63" s="527" t="s">
        <v>2414</v>
      </c>
      <c r="H63" s="483"/>
      <c r="I63" s="483"/>
      <c r="J63" s="483"/>
      <c r="K63" s="528"/>
      <c r="L63" s="529"/>
      <c r="M63" s="530"/>
      <c r="N63" s="2973"/>
      <c r="O63" s="2973"/>
      <c r="P63" s="2986"/>
      <c r="Q63" s="2959"/>
      <c r="R63" s="2945"/>
      <c r="S63" s="2945"/>
      <c r="T63" s="2945"/>
      <c r="U63" s="2945"/>
      <c r="V63" s="2945"/>
      <c r="W63" s="2945"/>
      <c r="X63" s="2945"/>
      <c r="Y63" s="2945"/>
      <c r="Z63" s="2945"/>
      <c r="AA63" s="2945"/>
      <c r="AB63" s="2945"/>
      <c r="AC63" s="2945"/>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74"/>
      <c r="O64" s="2974"/>
      <c r="P64" s="2982"/>
      <c r="Q64" s="2959"/>
      <c r="R64" s="2945"/>
      <c r="S64" s="2945"/>
      <c r="T64" s="2945"/>
      <c r="U64" s="2945"/>
      <c r="V64" s="2945"/>
      <c r="W64" s="2945"/>
      <c r="X64" s="2945"/>
      <c r="Y64" s="2945"/>
      <c r="Z64" s="2945"/>
      <c r="AA64" s="2945"/>
      <c r="AB64" s="2945"/>
      <c r="AC64" s="2945"/>
    </row>
    <row r="65" spans="1:29" ht="15.75" thickTop="1">
      <c r="A65" s="488"/>
      <c r="B65" s="492" t="s">
        <v>2416</v>
      </c>
      <c r="C65" s="532" t="s">
        <v>2410</v>
      </c>
      <c r="D65" s="532" t="s">
        <v>2411</v>
      </c>
      <c r="E65" s="532" t="s">
        <v>2412</v>
      </c>
      <c r="F65" s="532" t="s">
        <v>2413</v>
      </c>
      <c r="G65" s="532" t="s">
        <v>2414</v>
      </c>
      <c r="H65" s="493"/>
      <c r="I65" s="493"/>
      <c r="J65" s="493"/>
      <c r="K65" s="494"/>
      <c r="L65" s="495"/>
      <c r="M65" s="496"/>
      <c r="N65" s="2973"/>
      <c r="O65" s="2973"/>
      <c r="P65" s="2982"/>
      <c r="Q65" s="2959"/>
      <c r="R65" s="2945"/>
      <c r="S65" s="2945"/>
      <c r="T65" s="2945"/>
      <c r="U65" s="2945"/>
      <c r="V65" s="2945"/>
      <c r="W65" s="2945"/>
      <c r="X65" s="2945"/>
      <c r="Y65" s="2945"/>
      <c r="Z65" s="2945"/>
      <c r="AA65" s="2945"/>
      <c r="AB65" s="2945"/>
      <c r="AC65" s="2945"/>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74"/>
      <c r="O66" s="2974"/>
      <c r="P66" s="2982"/>
      <c r="Q66" s="2959"/>
      <c r="R66" s="2945"/>
      <c r="S66" s="2945"/>
      <c r="T66" s="2945"/>
      <c r="U66" s="2945"/>
      <c r="V66" s="2945"/>
      <c r="W66" s="2945"/>
      <c r="X66" s="2945"/>
      <c r="Y66" s="2945"/>
      <c r="Z66" s="2945"/>
      <c r="AA66" s="2945"/>
      <c r="AB66" s="2945"/>
      <c r="AC66" s="2945"/>
    </row>
    <row r="67" spans="1:29" ht="15.75" thickTop="1">
      <c r="A67" s="488"/>
      <c r="B67" s="500" t="s">
        <v>2502</v>
      </c>
      <c r="C67" s="613" t="s">
        <v>2488</v>
      </c>
      <c r="D67" s="613" t="s">
        <v>2489</v>
      </c>
      <c r="E67" s="613" t="s">
        <v>2490</v>
      </c>
      <c r="F67" s="613" t="s">
        <v>2491</v>
      </c>
      <c r="G67" s="613" t="s">
        <v>2492</v>
      </c>
      <c r="H67" s="493"/>
      <c r="I67" s="493"/>
      <c r="J67" s="493"/>
      <c r="K67" s="493"/>
      <c r="L67" s="493"/>
      <c r="M67" s="1288"/>
      <c r="N67" s="2974"/>
      <c r="O67" s="2974"/>
      <c r="P67" s="2982"/>
      <c r="Q67" s="2959"/>
      <c r="R67" s="2945"/>
      <c r="S67" s="2945"/>
      <c r="T67" s="2945"/>
      <c r="U67" s="2945"/>
      <c r="V67" s="2945"/>
      <c r="W67" s="2945"/>
      <c r="X67" s="2945"/>
      <c r="Y67" s="2945"/>
      <c r="Z67" s="2945"/>
      <c r="AA67" s="2945"/>
      <c r="AB67" s="2945"/>
      <c r="AC67" s="2945"/>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74"/>
      <c r="O68" s="2974"/>
      <c r="P68" s="2982"/>
      <c r="Q68" s="2959"/>
      <c r="R68" s="2945"/>
      <c r="S68" s="2945"/>
      <c r="T68" s="2945"/>
      <c r="U68" s="2945"/>
      <c r="V68" s="2945"/>
      <c r="W68" s="2945"/>
      <c r="X68" s="2945"/>
      <c r="Y68" s="2945"/>
      <c r="Z68" s="2945"/>
      <c r="AA68" s="2945"/>
      <c r="AB68" s="2945"/>
      <c r="AC68" s="2945"/>
    </row>
    <row r="69" spans="1:29" ht="15.75" thickTop="1">
      <c r="A69" s="488"/>
      <c r="B69" s="492" t="s">
        <v>2422</v>
      </c>
      <c r="C69" s="532" t="s">
        <v>2410</v>
      </c>
      <c r="D69" s="532" t="s">
        <v>2411</v>
      </c>
      <c r="E69" s="532" t="s">
        <v>2412</v>
      </c>
      <c r="F69" s="532" t="s">
        <v>2413</v>
      </c>
      <c r="G69" s="532" t="s">
        <v>2414</v>
      </c>
      <c r="H69" s="493"/>
      <c r="I69" s="493"/>
      <c r="J69" s="493"/>
      <c r="K69" s="494"/>
      <c r="L69" s="495"/>
      <c r="M69" s="496"/>
      <c r="N69" s="2973"/>
      <c r="O69" s="2973"/>
      <c r="P69" s="2982"/>
      <c r="Q69" s="2959"/>
      <c r="R69" s="2945"/>
      <c r="S69" s="2945"/>
      <c r="T69" s="2945"/>
      <c r="U69" s="2945"/>
      <c r="V69" s="2945"/>
      <c r="W69" s="2945"/>
      <c r="X69" s="2945"/>
      <c r="Y69" s="2945"/>
      <c r="Z69" s="2945"/>
      <c r="AA69" s="2945"/>
      <c r="AB69" s="2945"/>
      <c r="AC69" s="2945"/>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74"/>
      <c r="O70" s="2974"/>
      <c r="P70" s="2982"/>
      <c r="Q70" s="2959"/>
      <c r="R70" s="2945"/>
      <c r="S70" s="2945"/>
      <c r="T70" s="2945"/>
      <c r="U70" s="2945"/>
      <c r="V70" s="2945"/>
      <c r="W70" s="2945"/>
      <c r="X70" s="2945"/>
      <c r="Y70" s="2945"/>
      <c r="Z70" s="2945"/>
      <c r="AA70" s="2945"/>
      <c r="AB70" s="2945"/>
      <c r="AC70" s="2945"/>
    </row>
    <row r="71" spans="1:29" ht="15.75" thickTop="1">
      <c r="A71" s="488"/>
      <c r="B71" s="492" t="s">
        <v>2542</v>
      </c>
      <c r="C71" s="508"/>
      <c r="D71" s="508"/>
      <c r="E71" s="508"/>
      <c r="F71" s="508"/>
      <c r="G71" s="508"/>
      <c r="H71" s="537"/>
      <c r="I71" s="537"/>
      <c r="J71" s="537"/>
      <c r="K71" s="538"/>
      <c r="L71" s="539"/>
      <c r="M71" s="540"/>
      <c r="N71" s="2973"/>
      <c r="O71" s="2973"/>
      <c r="P71" s="2982"/>
      <c r="Q71" s="2959"/>
      <c r="R71" s="2945"/>
      <c r="S71" s="2945"/>
      <c r="T71" s="2945"/>
      <c r="U71" s="2945"/>
      <c r="V71" s="2945"/>
      <c r="W71" s="2945"/>
      <c r="X71" s="2945"/>
      <c r="Y71" s="2945"/>
      <c r="Z71" s="2945"/>
      <c r="AA71" s="2945"/>
      <c r="AB71" s="2945"/>
      <c r="AC71" s="2945"/>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74"/>
      <c r="O72" s="2974"/>
      <c r="P72" s="2982"/>
      <c r="Q72" s="2959"/>
      <c r="R72" s="2945"/>
      <c r="S72" s="2945"/>
      <c r="T72" s="2945"/>
      <c r="U72" s="2945"/>
      <c r="V72" s="2945"/>
      <c r="W72" s="2945"/>
      <c r="X72" s="2945"/>
      <c r="Y72" s="2945"/>
      <c r="Z72" s="2945"/>
      <c r="AA72" s="2945"/>
      <c r="AB72" s="2945"/>
      <c r="AC72" s="2945"/>
    </row>
    <row r="73" spans="1:29" s="112" customFormat="1" ht="15.75" thickTop="1">
      <c r="A73" s="533"/>
      <c r="B73" s="492">
        <f>B23</f>
        <v>111</v>
      </c>
      <c r="C73" s="503"/>
      <c r="D73" s="503"/>
      <c r="E73" s="503"/>
      <c r="F73" s="503"/>
      <c r="G73" s="508"/>
      <c r="H73" s="508"/>
      <c r="I73" s="508"/>
      <c r="J73" s="508"/>
      <c r="K73" s="508"/>
      <c r="L73" s="534"/>
      <c r="M73" s="535"/>
      <c r="N73" s="2972"/>
      <c r="O73" s="2972"/>
      <c r="P73" s="2982"/>
      <c r="Q73" s="2959"/>
      <c r="R73" s="2879"/>
      <c r="S73" s="2879"/>
      <c r="T73" s="2879"/>
      <c r="U73" s="2879"/>
      <c r="V73" s="2879"/>
      <c r="W73" s="2879"/>
      <c r="X73" s="2879"/>
      <c r="Y73" s="2879"/>
      <c r="Z73" s="2879"/>
      <c r="AA73" s="2879"/>
      <c r="AB73" s="2879"/>
      <c r="AC73" s="2879"/>
    </row>
    <row r="74" spans="1:29" s="112" customFormat="1" ht="15.75" thickBot="1">
      <c r="A74" s="533"/>
      <c r="B74" s="497"/>
      <c r="C74" s="514"/>
      <c r="D74" s="490"/>
      <c r="E74" s="490"/>
      <c r="F74" s="490"/>
      <c r="G74" s="490"/>
      <c r="H74" s="490"/>
      <c r="I74" s="490"/>
      <c r="J74" s="490"/>
      <c r="K74" s="490"/>
      <c r="L74" s="490"/>
      <c r="M74" s="491"/>
      <c r="N74" s="2974"/>
      <c r="O74" s="2974"/>
      <c r="P74" s="2982"/>
      <c r="Q74" s="2959"/>
      <c r="R74" s="2879"/>
      <c r="S74" s="2879"/>
      <c r="T74" s="2879"/>
      <c r="U74" s="2879"/>
      <c r="V74" s="2879"/>
      <c r="W74" s="2879"/>
      <c r="X74" s="2879"/>
      <c r="Y74" s="2879"/>
      <c r="Z74" s="2879"/>
      <c r="AA74" s="2879"/>
      <c r="AB74" s="2879"/>
      <c r="AC74" s="2879"/>
    </row>
    <row r="75" spans="1:29" s="112" customFormat="1" ht="15.75" thickTop="1">
      <c r="A75" s="533"/>
      <c r="B75" s="492">
        <f>B24</f>
        <v>111</v>
      </c>
      <c r="C75" s="503"/>
      <c r="D75" s="503"/>
      <c r="E75" s="503"/>
      <c r="F75" s="503"/>
      <c r="G75" s="508"/>
      <c r="H75" s="508"/>
      <c r="I75" s="508"/>
      <c r="J75" s="508"/>
      <c r="K75" s="508"/>
      <c r="L75" s="508"/>
      <c r="M75" s="535"/>
      <c r="N75" s="2972"/>
      <c r="O75" s="2972"/>
      <c r="P75" s="2982"/>
      <c r="Q75" s="2959"/>
      <c r="R75" s="2879"/>
      <c r="S75" s="2879"/>
      <c r="T75" s="2879"/>
      <c r="U75" s="2879"/>
      <c r="V75" s="2879"/>
      <c r="W75" s="2879"/>
      <c r="X75" s="2879"/>
      <c r="Y75" s="2879"/>
      <c r="Z75" s="2879"/>
      <c r="AA75" s="2879"/>
      <c r="AB75" s="2879"/>
      <c r="AC75" s="2879"/>
    </row>
    <row r="76" spans="1:29" s="112" customFormat="1" ht="15.75" thickBot="1">
      <c r="A76" s="533"/>
      <c r="B76" s="497"/>
      <c r="C76" s="514"/>
      <c r="D76" s="490"/>
      <c r="E76" s="490"/>
      <c r="F76" s="490"/>
      <c r="G76" s="490"/>
      <c r="H76" s="490"/>
      <c r="I76" s="490"/>
      <c r="J76" s="490"/>
      <c r="K76" s="490"/>
      <c r="L76" s="490"/>
      <c r="M76" s="491"/>
      <c r="N76" s="2974"/>
      <c r="O76" s="2974"/>
      <c r="P76" s="2982"/>
      <c r="Q76" s="2959"/>
      <c r="R76" s="2879"/>
      <c r="S76" s="2879"/>
      <c r="T76" s="2879"/>
      <c r="U76" s="2879"/>
      <c r="V76" s="2879"/>
      <c r="W76" s="2879"/>
      <c r="X76" s="2879"/>
      <c r="Y76" s="2879"/>
      <c r="Z76" s="2879"/>
      <c r="AA76" s="2879"/>
      <c r="AB76" s="2879"/>
      <c r="AC76" s="2879"/>
    </row>
    <row r="77" spans="1:29" s="427" customFormat="1" ht="15.75" thickTop="1">
      <c r="A77" s="507"/>
      <c r="B77" s="492">
        <f>B25</f>
        <v>111</v>
      </c>
      <c r="C77" s="508"/>
      <c r="D77" s="508"/>
      <c r="E77" s="508"/>
      <c r="F77" s="508"/>
      <c r="G77" s="508"/>
      <c r="H77" s="509"/>
      <c r="I77" s="509"/>
      <c r="J77" s="509"/>
      <c r="K77" s="509"/>
      <c r="L77" s="510"/>
      <c r="M77" s="511"/>
      <c r="N77" s="2975"/>
      <c r="O77" s="2975"/>
      <c r="P77" s="2983"/>
      <c r="Q77" s="2966"/>
      <c r="R77" s="2967"/>
      <c r="S77" s="2967"/>
      <c r="T77" s="2967"/>
      <c r="U77" s="2967"/>
      <c r="V77" s="2967"/>
      <c r="W77" s="2967"/>
      <c r="X77" s="2967"/>
      <c r="Y77" s="2967"/>
      <c r="Z77" s="2967"/>
      <c r="AA77" s="2967"/>
      <c r="AB77" s="2967"/>
      <c r="AC77" s="2967"/>
    </row>
    <row r="78" spans="1:29" s="427" customFormat="1" ht="15.75" thickBot="1">
      <c r="A78" s="507"/>
      <c r="B78" s="497"/>
      <c r="C78" s="514"/>
      <c r="D78" s="514"/>
      <c r="E78" s="514"/>
      <c r="F78" s="514"/>
      <c r="G78" s="490"/>
      <c r="H78" s="490"/>
      <c r="I78" s="490"/>
      <c r="J78" s="490"/>
      <c r="K78" s="490"/>
      <c r="L78" s="490"/>
      <c r="M78" s="491"/>
      <c r="N78" s="2975"/>
      <c r="O78" s="2975"/>
      <c r="P78" s="2983"/>
      <c r="Q78" s="2966"/>
      <c r="R78" s="2967"/>
      <c r="S78" s="2967"/>
      <c r="T78" s="2967"/>
      <c r="U78" s="2967"/>
      <c r="V78" s="2967"/>
      <c r="W78" s="2967"/>
      <c r="X78" s="2967"/>
      <c r="Y78" s="2967"/>
      <c r="Z78" s="2967"/>
      <c r="AA78" s="2967"/>
      <c r="AB78" s="2967"/>
      <c r="AC78" s="2967"/>
    </row>
    <row r="79" spans="1:29" ht="27.75" thickTop="1">
      <c r="A79" s="481" t="s">
        <v>2376</v>
      </c>
      <c r="B79" s="482" t="s">
        <v>2543</v>
      </c>
      <c r="C79" s="483">
        <f>C26</f>
        <v>0</v>
      </c>
      <c r="D79" s="484"/>
      <c r="E79" s="484"/>
      <c r="F79" s="484"/>
      <c r="G79" s="484"/>
      <c r="H79" s="484"/>
      <c r="I79" s="484"/>
      <c r="J79" s="484"/>
      <c r="K79" s="485"/>
      <c r="L79" s="486"/>
      <c r="M79" s="487"/>
      <c r="N79" s="2973"/>
      <c r="O79" s="2973"/>
      <c r="P79" s="2982"/>
      <c r="Q79" s="2959"/>
      <c r="R79" s="2945"/>
      <c r="S79" s="2945"/>
      <c r="T79" s="2945"/>
      <c r="U79" s="2945"/>
      <c r="V79" s="2945"/>
      <c r="W79" s="2945"/>
      <c r="X79" s="2945"/>
      <c r="Y79" s="2945"/>
      <c r="Z79" s="2945"/>
      <c r="AA79" s="2945"/>
      <c r="AB79" s="2945"/>
      <c r="AC79" s="2945"/>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88"/>
      <c r="B81" s="492" t="s">
        <v>2544</v>
      </c>
      <c r="C81" s="614"/>
      <c r="D81" s="614"/>
      <c r="E81" s="614"/>
      <c r="F81" s="614"/>
      <c r="G81" s="614"/>
      <c r="H81" s="614"/>
      <c r="I81" s="614"/>
      <c r="J81" s="614"/>
      <c r="K81" s="615"/>
      <c r="L81" s="616"/>
      <c r="M81" s="617"/>
      <c r="N81" s="2972"/>
      <c r="O81" s="2972"/>
      <c r="P81" s="2982"/>
      <c r="Q81" s="2959"/>
      <c r="R81" s="2945"/>
      <c r="S81" s="2945"/>
      <c r="T81" s="2945"/>
      <c r="U81" s="2945"/>
      <c r="V81" s="2945"/>
      <c r="W81" s="2945"/>
      <c r="X81" s="2945"/>
      <c r="Y81" s="2945"/>
      <c r="Z81" s="2945"/>
      <c r="AA81" s="2945"/>
      <c r="AB81" s="2945"/>
      <c r="AC81" s="2945"/>
    </row>
    <row r="82" spans="1:29" s="427" customFormat="1" ht="15.75" thickBot="1">
      <c r="A82" s="507"/>
      <c r="B82" s="497"/>
      <c r="C82" s="514"/>
      <c r="D82" s="490"/>
      <c r="E82" s="490"/>
      <c r="F82" s="490"/>
      <c r="G82" s="490"/>
      <c r="H82" s="490"/>
      <c r="I82" s="490"/>
      <c r="J82" s="490"/>
      <c r="K82" s="490"/>
      <c r="L82" s="490"/>
      <c r="M82" s="491"/>
      <c r="N82" s="2974"/>
      <c r="O82" s="2974"/>
      <c r="P82" s="2983"/>
      <c r="Q82" s="2966"/>
      <c r="R82" s="2967"/>
      <c r="S82" s="2967"/>
      <c r="T82" s="2967"/>
      <c r="U82" s="2967"/>
      <c r="V82" s="2967"/>
      <c r="W82" s="2967"/>
      <c r="X82" s="2967"/>
      <c r="Y82" s="2967"/>
      <c r="Z82" s="2967"/>
      <c r="AA82" s="2967"/>
      <c r="AB82" s="2967"/>
      <c r="AC82" s="2967"/>
    </row>
    <row r="83" spans="1:29" ht="15" thickTop="1">
      <c r="A83" s="553"/>
      <c r="B83" s="492" t="s">
        <v>2429</v>
      </c>
      <c r="C83" s="508"/>
      <c r="D83" s="508"/>
      <c r="E83" s="537"/>
      <c r="F83" s="537"/>
      <c r="G83" s="537"/>
      <c r="H83" s="537"/>
      <c r="I83" s="537"/>
      <c r="J83" s="537"/>
      <c r="K83" s="538"/>
      <c r="L83" s="539"/>
      <c r="M83" s="540"/>
      <c r="N83" s="2973"/>
      <c r="O83" s="2973"/>
      <c r="P83" s="2982"/>
      <c r="Q83" s="2959"/>
      <c r="R83" s="2945"/>
      <c r="S83" s="2945"/>
      <c r="T83" s="2945"/>
      <c r="U83" s="2945"/>
      <c r="V83" s="2945"/>
      <c r="W83" s="2945"/>
      <c r="X83" s="2945"/>
      <c r="Y83" s="2945"/>
      <c r="Z83" s="2945"/>
      <c r="AA83" s="2945"/>
      <c r="AB83" s="2945"/>
      <c r="AC83" s="2945"/>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3"/>
      <c r="B85" s="492" t="s">
        <v>2545</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3"/>
      <c r="O85" s="2973"/>
      <c r="P85" s="2982"/>
      <c r="Q85" s="2959"/>
      <c r="R85" s="2945"/>
      <c r="S85" s="2945"/>
      <c r="T85" s="2945"/>
      <c r="U85" s="2945"/>
      <c r="V85" s="2945"/>
      <c r="W85" s="2945"/>
      <c r="X85" s="2945"/>
      <c r="Y85" s="2945"/>
      <c r="Z85" s="2945"/>
      <c r="AA85" s="2945"/>
      <c r="AB85" s="2945"/>
      <c r="AC85" s="2945"/>
    </row>
    <row r="86" spans="1:29">
      <c r="A86" s="553"/>
      <c r="B86" s="500"/>
      <c r="C86" s="557">
        <v>0.5</v>
      </c>
      <c r="D86" s="557">
        <v>0.6</v>
      </c>
      <c r="E86" s="557">
        <v>0.7</v>
      </c>
      <c r="F86" s="557">
        <v>0.8</v>
      </c>
      <c r="G86" s="557">
        <v>0.9</v>
      </c>
      <c r="H86" s="557">
        <v>1.0001</v>
      </c>
      <c r="I86" s="576"/>
      <c r="J86" s="576"/>
      <c r="K86" s="577"/>
      <c r="L86" s="578"/>
      <c r="M86" s="579"/>
      <c r="N86" s="2973"/>
      <c r="O86" s="2973"/>
      <c r="P86" s="2982"/>
      <c r="Q86" s="2959"/>
      <c r="R86" s="2945"/>
      <c r="S86" s="2945"/>
      <c r="T86" s="2945"/>
      <c r="U86" s="2945"/>
      <c r="V86" s="2945"/>
      <c r="W86" s="2945"/>
      <c r="X86" s="2945"/>
      <c r="Y86" s="2945"/>
      <c r="Z86" s="2945"/>
      <c r="AA86" s="2945"/>
      <c r="AB86" s="2945"/>
      <c r="AC86" s="2945"/>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3"/>
      <c r="B88" s="500" t="s">
        <v>2546</v>
      </c>
      <c r="C88" s="484"/>
      <c r="D88" s="484"/>
      <c r="E88" s="484"/>
      <c r="F88" s="484"/>
      <c r="G88" s="484"/>
      <c r="H88" s="484"/>
      <c r="I88" s="484"/>
      <c r="J88" s="484"/>
      <c r="K88" s="485"/>
      <c r="L88" s="486"/>
      <c r="M88" s="487"/>
      <c r="N88" s="2973"/>
      <c r="O88" s="2973"/>
      <c r="P88" s="2982"/>
      <c r="Q88" s="2959"/>
      <c r="R88" s="2945"/>
      <c r="S88" s="2945"/>
      <c r="T88" s="2945"/>
      <c r="U88" s="2945"/>
      <c r="V88" s="2945"/>
      <c r="W88" s="2945"/>
      <c r="X88" s="2945"/>
      <c r="Y88" s="2945"/>
      <c r="Z88" s="2945"/>
      <c r="AA88" s="2945"/>
      <c r="AB88" s="2945"/>
      <c r="AC88" s="2945"/>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74"/>
      <c r="O89" s="2974"/>
      <c r="P89" s="2982"/>
      <c r="Q89" s="2959"/>
      <c r="R89" s="2945"/>
      <c r="S89" s="2945"/>
      <c r="T89" s="2945"/>
      <c r="U89" s="2945"/>
      <c r="V89" s="2945"/>
      <c r="W89" s="2945"/>
      <c r="X89" s="2945"/>
      <c r="Y89" s="2945"/>
      <c r="Z89" s="2945"/>
      <c r="AA89" s="2945"/>
      <c r="AB89" s="2945"/>
      <c r="AC89" s="2945"/>
    </row>
    <row r="90" spans="1:29" s="427" customFormat="1" ht="15" thickTop="1">
      <c r="A90" s="547"/>
      <c r="B90" s="492" t="s">
        <v>2547</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75"/>
      <c r="O90" s="2975"/>
      <c r="P90" s="2983"/>
      <c r="Q90" s="2966"/>
      <c r="R90" s="2967"/>
      <c r="S90" s="2967"/>
      <c r="T90" s="2967"/>
      <c r="U90" s="2967"/>
      <c r="V90" s="2967"/>
      <c r="W90" s="2967"/>
      <c r="X90" s="2967"/>
      <c r="Y90" s="2967"/>
      <c r="Z90" s="2967"/>
      <c r="AA90" s="2967"/>
      <c r="AB90" s="2967"/>
      <c r="AC90" s="2967"/>
    </row>
    <row r="91" spans="1:29" s="427" customFormat="1">
      <c r="A91" s="547"/>
      <c r="B91" s="500"/>
      <c r="C91" s="549"/>
      <c r="D91" s="549"/>
      <c r="E91" s="549"/>
      <c r="F91" s="549"/>
      <c r="G91" s="549"/>
      <c r="H91" s="549"/>
      <c r="I91" s="549"/>
      <c r="J91" s="550"/>
      <c r="K91" s="550"/>
      <c r="L91" s="551"/>
      <c r="M91" s="552"/>
      <c r="N91" s="2975"/>
      <c r="O91" s="2975"/>
      <c r="P91" s="2983"/>
      <c r="Q91" s="2966"/>
      <c r="R91" s="2967"/>
      <c r="S91" s="2967"/>
      <c r="T91" s="2967"/>
      <c r="U91" s="2967"/>
      <c r="V91" s="2967"/>
      <c r="W91" s="2967"/>
      <c r="X91" s="2967"/>
      <c r="Y91" s="2967"/>
      <c r="Z91" s="2967"/>
      <c r="AA91" s="2967"/>
      <c r="AB91" s="2967"/>
      <c r="AC91" s="2967"/>
    </row>
    <row r="92" spans="1:29" s="427" customFormat="1" ht="15.75" thickBot="1">
      <c r="A92" s="507"/>
      <c r="B92" s="497"/>
      <c r="C92" s="514"/>
      <c r="D92" s="490"/>
      <c r="E92" s="490"/>
      <c r="F92" s="490"/>
      <c r="G92" s="490"/>
      <c r="H92" s="490"/>
      <c r="I92" s="490"/>
      <c r="J92" s="490"/>
      <c r="K92" s="490"/>
      <c r="L92" s="490"/>
      <c r="M92" s="491"/>
      <c r="N92" s="2975"/>
      <c r="O92" s="2975"/>
      <c r="P92" s="2983"/>
      <c r="Q92" s="2966"/>
      <c r="R92" s="2967"/>
      <c r="S92" s="2967"/>
      <c r="T92" s="2967"/>
      <c r="U92" s="2967"/>
      <c r="V92" s="2967"/>
      <c r="W92" s="2967"/>
      <c r="X92" s="2967"/>
      <c r="Y92" s="2967"/>
      <c r="Z92" s="2967"/>
      <c r="AA92" s="2967"/>
      <c r="AB92" s="2967"/>
      <c r="AC92" s="2967"/>
    </row>
    <row r="93" spans="1:29" ht="15" thickTop="1">
      <c r="A93" s="553"/>
      <c r="B93" s="492" t="s">
        <v>2548</v>
      </c>
      <c r="C93" s="508"/>
      <c r="D93" s="508"/>
      <c r="E93" s="537"/>
      <c r="F93" s="537"/>
      <c r="G93" s="537"/>
      <c r="H93" s="537"/>
      <c r="I93" s="537"/>
      <c r="J93" s="537"/>
      <c r="K93" s="538"/>
      <c r="L93" s="539"/>
      <c r="M93" s="540"/>
      <c r="N93" s="2973"/>
      <c r="O93" s="2973"/>
      <c r="P93" s="2982"/>
      <c r="Q93" s="2959"/>
      <c r="R93" s="2945"/>
      <c r="S93" s="2945"/>
      <c r="T93" s="2945"/>
      <c r="U93" s="2945"/>
      <c r="V93" s="2945"/>
      <c r="W93" s="2945"/>
      <c r="X93" s="2945"/>
      <c r="Y93" s="2945"/>
      <c r="Z93" s="2945"/>
      <c r="AA93" s="2945"/>
      <c r="AB93" s="2945"/>
      <c r="AC93" s="2945"/>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3"/>
      <c r="B95" s="492" t="s">
        <v>2549</v>
      </c>
      <c r="C95" s="484"/>
      <c r="D95" s="484"/>
      <c r="E95" s="484"/>
      <c r="F95" s="484"/>
      <c r="G95" s="484"/>
      <c r="H95" s="484"/>
      <c r="I95" s="484"/>
      <c r="J95" s="484"/>
      <c r="K95" s="485"/>
      <c r="L95" s="486"/>
      <c r="M95" s="487"/>
      <c r="N95" s="2973"/>
      <c r="O95" s="2973"/>
      <c r="P95" s="2982"/>
      <c r="Q95" s="2959"/>
      <c r="R95" s="2945"/>
      <c r="S95" s="2945"/>
      <c r="T95" s="2945"/>
      <c r="U95" s="2945"/>
      <c r="V95" s="2945"/>
      <c r="W95" s="2945"/>
      <c r="X95" s="2945"/>
      <c r="Y95" s="2945"/>
      <c r="Z95" s="2945"/>
      <c r="AA95" s="2945"/>
      <c r="AB95" s="2945"/>
      <c r="AC95" s="2945"/>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74"/>
      <c r="O96" s="2974"/>
      <c r="P96" s="2982"/>
      <c r="Q96" s="2959"/>
      <c r="R96" s="2945"/>
      <c r="S96" s="2945"/>
      <c r="T96" s="2945"/>
      <c r="U96" s="2945"/>
      <c r="V96" s="2945"/>
      <c r="W96" s="2945"/>
      <c r="X96" s="2945"/>
      <c r="Y96" s="2945"/>
      <c r="Z96" s="2945"/>
      <c r="AA96" s="2945"/>
      <c r="AB96" s="2945"/>
      <c r="AC96" s="2945"/>
    </row>
    <row r="97" spans="1:29" ht="15" thickTop="1">
      <c r="A97" s="553"/>
      <c r="B97" s="589">
        <f>B34</f>
        <v>111</v>
      </c>
      <c r="C97" s="503"/>
      <c r="D97" s="503"/>
      <c r="E97" s="503"/>
      <c r="F97" s="503"/>
      <c r="G97" s="508"/>
      <c r="H97" s="509"/>
      <c r="I97" s="509"/>
      <c r="J97" s="509"/>
      <c r="K97" s="509"/>
      <c r="L97" s="510"/>
      <c r="M97" s="511"/>
      <c r="N97" s="2974"/>
      <c r="O97" s="2974"/>
      <c r="P97" s="2987"/>
      <c r="Q97" s="2988"/>
      <c r="R97" s="2945"/>
      <c r="S97" s="2945"/>
      <c r="T97" s="2945"/>
      <c r="U97" s="2945"/>
      <c r="V97" s="2945"/>
      <c r="W97" s="2945"/>
      <c r="X97" s="2945"/>
      <c r="Y97" s="2945"/>
      <c r="Z97" s="2945"/>
      <c r="AA97" s="2945"/>
      <c r="AB97" s="2945"/>
      <c r="AC97" s="2945"/>
    </row>
    <row r="98" spans="1:29" ht="15.75" thickBot="1">
      <c r="A98" s="488"/>
      <c r="B98" s="497"/>
      <c r="C98" s="514"/>
      <c r="D98" s="490"/>
      <c r="E98" s="490"/>
      <c r="F98" s="490"/>
      <c r="G98" s="514"/>
      <c r="H98" s="516"/>
      <c r="I98" s="516"/>
      <c r="J98" s="516"/>
      <c r="K98" s="516"/>
      <c r="L98" s="516"/>
      <c r="M98" s="517"/>
      <c r="N98" s="2974"/>
      <c r="O98" s="2974"/>
      <c r="P98" s="2982"/>
      <c r="Q98" s="2959"/>
      <c r="R98" s="2945"/>
      <c r="S98" s="2945"/>
      <c r="T98" s="2945"/>
      <c r="U98" s="2945"/>
      <c r="V98" s="2945"/>
      <c r="W98" s="2945"/>
      <c r="X98" s="2945"/>
      <c r="Y98" s="2945"/>
      <c r="Z98" s="2945"/>
      <c r="AA98" s="2945"/>
      <c r="AB98" s="2945"/>
      <c r="AC98" s="2945"/>
    </row>
    <row r="99" spans="1:29" s="427" customFormat="1" ht="15" thickTop="1">
      <c r="A99" s="547"/>
      <c r="B99" s="492">
        <f>B35</f>
        <v>111</v>
      </c>
      <c r="C99" s="503"/>
      <c r="D99" s="503"/>
      <c r="E99" s="503"/>
      <c r="F99" s="503"/>
      <c r="G99" s="508"/>
      <c r="H99" s="509"/>
      <c r="I99" s="509"/>
      <c r="J99" s="509"/>
      <c r="K99" s="509"/>
      <c r="L99" s="510"/>
      <c r="M99" s="511"/>
      <c r="N99" s="2975"/>
      <c r="O99" s="2975"/>
      <c r="P99" s="2983"/>
      <c r="Q99" s="2966"/>
      <c r="R99" s="2967"/>
      <c r="S99" s="2967"/>
      <c r="T99" s="2967"/>
      <c r="U99" s="2967"/>
      <c r="V99" s="2967"/>
      <c r="W99" s="2967"/>
      <c r="X99" s="2967"/>
      <c r="Y99" s="2967"/>
      <c r="Z99" s="2967"/>
      <c r="AA99" s="2967"/>
      <c r="AB99" s="2967"/>
      <c r="AC99" s="2967"/>
    </row>
    <row r="100" spans="1:29" s="427" customFormat="1" ht="15.75" thickBot="1">
      <c r="A100" s="507"/>
      <c r="B100" s="489"/>
      <c r="C100" s="514"/>
      <c r="D100" s="490"/>
      <c r="E100" s="490"/>
      <c r="F100" s="490"/>
      <c r="G100" s="514"/>
      <c r="H100" s="516"/>
      <c r="I100" s="516"/>
      <c r="J100" s="516"/>
      <c r="K100" s="516"/>
      <c r="L100" s="516"/>
      <c r="M100" s="517"/>
      <c r="N100" s="2975"/>
      <c r="O100" s="2975"/>
      <c r="P100" s="2983"/>
      <c r="Q100" s="2966"/>
      <c r="R100" s="2967"/>
      <c r="S100" s="2967"/>
      <c r="T100" s="2967"/>
      <c r="U100" s="2967"/>
      <c r="V100" s="2967"/>
      <c r="W100" s="2967"/>
      <c r="X100" s="2967"/>
      <c r="Y100" s="2967"/>
      <c r="Z100" s="2967"/>
      <c r="AA100" s="2967"/>
      <c r="AB100" s="2967"/>
      <c r="AC100" s="2967"/>
    </row>
    <row r="101" spans="1:29" ht="15" thickTop="1">
      <c r="A101" s="553"/>
      <c r="B101" s="492">
        <f>B36</f>
        <v>111</v>
      </c>
      <c r="C101" s="508"/>
      <c r="D101" s="508"/>
      <c r="E101" s="508"/>
      <c r="F101" s="508"/>
      <c r="G101" s="508"/>
      <c r="H101" s="509"/>
      <c r="I101" s="509"/>
      <c r="J101" s="509"/>
      <c r="K101" s="509"/>
      <c r="L101" s="510"/>
      <c r="M101" s="511"/>
      <c r="N101" s="2973"/>
      <c r="O101" s="2973"/>
      <c r="P101" s="2982"/>
      <c r="Q101" s="2959"/>
      <c r="R101" s="2945"/>
      <c r="S101" s="2945"/>
      <c r="T101" s="2945"/>
      <c r="U101" s="2945"/>
      <c r="V101" s="2945"/>
      <c r="W101" s="2945"/>
      <c r="X101" s="2945"/>
      <c r="Y101" s="2945"/>
      <c r="Z101" s="2945"/>
      <c r="AA101" s="2945"/>
      <c r="AB101" s="2945"/>
      <c r="AC101" s="2945"/>
    </row>
    <row r="102" spans="1:29" ht="15.75" thickBot="1">
      <c r="A102" s="488"/>
      <c r="B102" s="497"/>
      <c r="C102" s="514"/>
      <c r="D102" s="514"/>
      <c r="E102" s="514"/>
      <c r="F102" s="514"/>
      <c r="G102" s="514"/>
      <c r="H102" s="516"/>
      <c r="I102" s="516"/>
      <c r="J102" s="516"/>
      <c r="K102" s="516"/>
      <c r="L102" s="516"/>
      <c r="M102" s="517"/>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2520</v>
      </c>
      <c r="B1" s="1388"/>
      <c r="C1" s="1389" t="s">
        <v>2343</v>
      </c>
      <c r="D1" s="1390"/>
      <c r="E1" s="1399"/>
      <c r="F1" s="2061"/>
      <c r="G1" s="1400" t="s">
        <v>2456</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2143</v>
      </c>
      <c r="B2" s="1323" t="e">
        <f ca="1">IF(C2="——",ROUND(C37*D3/10000,0),ROUND(C37*D3/10000,0)-D2)</f>
        <v>#DIV/0!</v>
      </c>
      <c r="C2" s="2063"/>
      <c r="D2" s="1035" t="e">
        <f ca="1">SUMIF(INDIRECT("'"&amp;F2&amp;"'"&amp;"!A:A"),"承租人权益价值",INDIRECT("'"&amp;F2&amp;"'"&amp;"!c:c"))</f>
        <v>#REF!</v>
      </c>
      <c r="E2" s="2064" t="s">
        <v>2144</v>
      </c>
      <c r="F2" s="2065"/>
      <c r="G2" s="1036"/>
      <c r="H2" s="1036"/>
      <c r="I2" s="1036"/>
      <c r="J2" s="1036"/>
      <c r="K2" s="1038"/>
      <c r="L2" s="2954"/>
      <c r="M2" s="2955"/>
      <c r="N2" s="2955"/>
      <c r="O2" s="2955"/>
      <c r="P2" s="705"/>
      <c r="Q2" s="705"/>
      <c r="R2" s="705"/>
      <c r="S2" s="705"/>
      <c r="T2" s="705"/>
      <c r="U2" s="705"/>
      <c r="V2" s="705"/>
      <c r="W2" s="705"/>
      <c r="X2" s="705"/>
      <c r="Y2" s="705"/>
      <c r="Z2" s="705"/>
      <c r="AA2" s="705"/>
      <c r="AB2" s="705"/>
      <c r="AC2" s="706"/>
    </row>
    <row r="3" spans="1:29" s="355" customFormat="1" ht="28.5" customHeight="1" thickBot="1">
      <c r="A3" s="206" t="s">
        <v>2145</v>
      </c>
      <c r="B3" s="563" t="e">
        <f ca="1">IF(C2="——",C37,ROUND(B2*10000/D3,0))</f>
        <v>#DIV/0!</v>
      </c>
      <c r="C3" s="357" t="s">
        <v>2457</v>
      </c>
      <c r="D3" s="356">
        <f>SUMIF('数据-汇总表'!$C19:$C33,D1,'数据-汇总表'!$E19:$E33)</f>
        <v>0</v>
      </c>
      <c r="E3" s="1036"/>
      <c r="F3" s="1037"/>
      <c r="G3" s="1036"/>
      <c r="H3" s="1036"/>
      <c r="I3" s="1036"/>
      <c r="J3" s="1036"/>
      <c r="K3" s="1038"/>
      <c r="L3" s="2954"/>
      <c r="M3" s="2955"/>
      <c r="N3" s="2955"/>
      <c r="O3" s="2955"/>
      <c r="P3" s="705"/>
      <c r="Q3" s="705"/>
      <c r="R3" s="705"/>
      <c r="S3" s="705"/>
      <c r="T3" s="705"/>
      <c r="U3" s="705"/>
      <c r="V3" s="705"/>
      <c r="W3" s="705"/>
      <c r="X3" s="705"/>
      <c r="Y3" s="705"/>
      <c r="Z3" s="705"/>
      <c r="AA3" s="705"/>
      <c r="AB3" s="722"/>
      <c r="AC3" s="719"/>
    </row>
    <row r="4" spans="1:29" ht="15">
      <c r="A4" s="358" t="s">
        <v>2458</v>
      </c>
      <c r="B4" s="359"/>
      <c r="C4" s="3319" t="s">
        <v>2459</v>
      </c>
      <c r="D4" s="3320"/>
      <c r="E4" s="3321" t="s">
        <v>2460</v>
      </c>
      <c r="F4" s="3322"/>
      <c r="G4" s="3319" t="s">
        <v>2461</v>
      </c>
      <c r="H4" s="3320"/>
      <c r="I4" s="3319" t="s">
        <v>2462</v>
      </c>
      <c r="J4" s="3320"/>
      <c r="K4" s="564" t="s">
        <v>2463</v>
      </c>
      <c r="L4" s="2935"/>
      <c r="M4" s="2936"/>
      <c r="N4" s="2936"/>
      <c r="O4" s="2936"/>
      <c r="P4" s="3323" t="s">
        <v>2464</v>
      </c>
      <c r="Q4" s="3324"/>
      <c r="R4" s="3306" t="s">
        <v>2460</v>
      </c>
      <c r="S4" s="3307"/>
      <c r="T4" s="3306" t="s">
        <v>2461</v>
      </c>
      <c r="U4" s="3307"/>
      <c r="V4" s="3331" t="s">
        <v>2462</v>
      </c>
      <c r="W4" s="3331"/>
      <c r="X4" s="1537"/>
      <c r="Y4" s="3306" t="s">
        <v>2464</v>
      </c>
      <c r="Z4" s="3307"/>
      <c r="AA4" s="3301" t="s">
        <v>2460</v>
      </c>
      <c r="AB4" s="3302" t="s">
        <v>2461</v>
      </c>
      <c r="AC4" s="3301" t="s">
        <v>2462</v>
      </c>
    </row>
    <row r="5" spans="1:29" ht="15">
      <c r="A5" s="361"/>
      <c r="B5" s="362"/>
      <c r="C5" s="3312" t="s">
        <v>2355</v>
      </c>
      <c r="D5" s="3313"/>
      <c r="E5" s="3310" t="s">
        <v>2356</v>
      </c>
      <c r="F5" s="3311"/>
      <c r="G5" s="3312" t="s">
        <v>2357</v>
      </c>
      <c r="H5" s="3313"/>
      <c r="I5" s="3312" t="s">
        <v>2358</v>
      </c>
      <c r="J5" s="3313"/>
      <c r="K5" s="564"/>
      <c r="L5" s="2935"/>
      <c r="M5" s="2936"/>
      <c r="N5" s="2936"/>
      <c r="O5" s="2936"/>
      <c r="P5" s="3325"/>
      <c r="Q5" s="3326"/>
      <c r="R5" s="3308"/>
      <c r="S5" s="3309"/>
      <c r="T5" s="3308"/>
      <c r="U5" s="3309"/>
      <c r="V5" s="3331"/>
      <c r="W5" s="3331"/>
      <c r="X5" s="1537"/>
      <c r="Y5" s="3308"/>
      <c r="Z5" s="3309"/>
      <c r="AA5" s="3302"/>
      <c r="AB5" s="3302"/>
      <c r="AC5" s="3302"/>
    </row>
    <row r="6" spans="1:29" ht="15.75" thickBot="1">
      <c r="A6" s="363"/>
      <c r="B6" s="364"/>
      <c r="C6" s="3314" t="s">
        <v>2359</v>
      </c>
      <c r="D6" s="3315"/>
      <c r="E6" s="3316" t="s">
        <v>2359</v>
      </c>
      <c r="F6" s="3317"/>
      <c r="G6" s="3314" t="s">
        <v>2359</v>
      </c>
      <c r="H6" s="3315"/>
      <c r="I6" s="3314" t="s">
        <v>2359</v>
      </c>
      <c r="J6" s="3315"/>
      <c r="K6" s="564" t="s">
        <v>2360</v>
      </c>
      <c r="L6" s="2935"/>
      <c r="M6" s="2936"/>
      <c r="N6" s="2936"/>
      <c r="O6" s="2936"/>
      <c r="P6" s="3327"/>
      <c r="Q6" s="3328"/>
      <c r="R6" s="3308"/>
      <c r="S6" s="3309"/>
      <c r="T6" s="3329"/>
      <c r="U6" s="3330"/>
      <c r="V6" s="3331"/>
      <c r="W6" s="3331"/>
      <c r="X6" s="1537"/>
      <c r="Y6" s="3329"/>
      <c r="Z6" s="3330"/>
      <c r="AA6" s="3303"/>
      <c r="AB6" s="3303"/>
      <c r="AC6" s="3303"/>
    </row>
    <row r="7" spans="1:29" s="112" customFormat="1" ht="15.75" thickBot="1">
      <c r="A7" s="365" t="s">
        <v>2361</v>
      </c>
      <c r="B7" s="366"/>
      <c r="C7" s="367">
        <f>'数据-取费表'!B2</f>
        <v>44362</v>
      </c>
      <c r="D7" s="368">
        <v>100</v>
      </c>
      <c r="E7" s="369"/>
      <c r="F7" s="370">
        <f>SUMIF(46:46,YEAR(E7)&amp;"-"&amp;MONTH(E7),47:47)</f>
        <v>0</v>
      </c>
      <c r="G7" s="2156"/>
      <c r="H7" s="368">
        <f>SUMIF(46:46,YEAR(G7)&amp;"-"&amp;MONTH(G7),47:47)</f>
        <v>0</v>
      </c>
      <c r="I7" s="369"/>
      <c r="J7" s="368">
        <f>SUMIF(46:46,YEAR(I7)&amp;"-"&amp;MONTH(I7),47:47)</f>
        <v>0</v>
      </c>
      <c r="K7" s="565"/>
      <c r="L7" s="2937"/>
      <c r="M7" s="2938"/>
      <c r="N7" s="2938"/>
      <c r="O7" s="2938"/>
      <c r="P7" s="3304" t="s">
        <v>2362</v>
      </c>
      <c r="Q7" s="3332"/>
      <c r="R7" s="707" t="s">
        <v>17</v>
      </c>
      <c r="S7" s="708">
        <f t="shared" ref="S7:S14" si="0">F7</f>
        <v>0</v>
      </c>
      <c r="T7" s="707" t="s">
        <v>17</v>
      </c>
      <c r="U7" s="708">
        <f t="shared" ref="U7:U14" si="1">H7</f>
        <v>0</v>
      </c>
      <c r="V7" s="707" t="s">
        <v>17</v>
      </c>
      <c r="W7" s="708">
        <f t="shared" ref="W7:W14" si="2">J7</f>
        <v>0</v>
      </c>
      <c r="X7" s="709"/>
      <c r="Y7" s="3304" t="s">
        <v>2362</v>
      </c>
      <c r="Z7" s="3305"/>
      <c r="AA7" s="710" t="e">
        <f>D7/F7</f>
        <v>#DIV/0!</v>
      </c>
      <c r="AB7" s="710" t="e">
        <f>D7/H7</f>
        <v>#DIV/0!</v>
      </c>
      <c r="AC7" s="710" t="e">
        <f>D7/J7</f>
        <v>#DIV/0!</v>
      </c>
    </row>
    <row r="8" spans="1:29" s="112" customFormat="1" ht="15.75" thickBot="1">
      <c r="A8" s="365" t="s">
        <v>2363</v>
      </c>
      <c r="B8" s="366"/>
      <c r="C8" s="371" t="s">
        <v>2465</v>
      </c>
      <c r="D8" s="368">
        <v>100</v>
      </c>
      <c r="E8" s="371"/>
      <c r="F8" s="370">
        <f>SUMIF(49:49,E8,50:50)-SUMIF(49:49,C8,50:50)+100</f>
        <v>0</v>
      </c>
      <c r="G8" s="371"/>
      <c r="H8" s="368">
        <f>SUMIF(49:49,G8,50:50)-SUMIF(49:49,C8,50:50)+100</f>
        <v>0</v>
      </c>
      <c r="I8" s="371"/>
      <c r="J8" s="368">
        <f>SUMIF(49:49,I8,50:50)-SUMIF(49:49,C8,50:50)+100</f>
        <v>0</v>
      </c>
      <c r="K8" s="565"/>
      <c r="L8" s="2937"/>
      <c r="M8" s="2938"/>
      <c r="N8" s="2938"/>
      <c r="O8" s="2938"/>
      <c r="P8" s="3304" t="s">
        <v>2365</v>
      </c>
      <c r="Q8" s="3305"/>
      <c r="R8" s="707" t="s">
        <v>17</v>
      </c>
      <c r="S8" s="708">
        <f t="shared" si="0"/>
        <v>0</v>
      </c>
      <c r="T8" s="707" t="s">
        <v>17</v>
      </c>
      <c r="U8" s="708">
        <f t="shared" si="1"/>
        <v>0</v>
      </c>
      <c r="V8" s="707" t="s">
        <v>17</v>
      </c>
      <c r="W8" s="708">
        <f t="shared" si="2"/>
        <v>0</v>
      </c>
      <c r="X8" s="709"/>
      <c r="Y8" s="3304" t="s">
        <v>2365</v>
      </c>
      <c r="Z8" s="3305"/>
      <c r="AA8" s="710" t="e">
        <f t="shared" ref="AA8:AA34" si="3">D8/F8</f>
        <v>#DIV/0!</v>
      </c>
      <c r="AB8" s="710" t="e">
        <f t="shared" ref="AB8:AB34" si="4">D8/H8</f>
        <v>#DIV/0!</v>
      </c>
      <c r="AC8" s="710" t="e">
        <f t="shared" ref="AC8:AC34" si="5">D8/J8</f>
        <v>#DIV/0!</v>
      </c>
    </row>
    <row r="9" spans="1:29" s="112" customFormat="1">
      <c r="A9" s="372" t="s">
        <v>2366</v>
      </c>
      <c r="B9" s="67" t="s">
        <v>2367</v>
      </c>
      <c r="C9" s="373"/>
      <c r="D9" s="128">
        <v>100</v>
      </c>
      <c r="E9" s="376"/>
      <c r="F9" s="375">
        <f>SUMIF(51:51,E9,52:52)-SUMIF(51:51,C9,52:52)+100</f>
        <v>100</v>
      </c>
      <c r="G9" s="376"/>
      <c r="H9" s="128">
        <f>SUMIF(51:51,G9,52:52)-SUMIF(51:51,C9,52:52)+100</f>
        <v>100</v>
      </c>
      <c r="I9" s="376"/>
      <c r="J9" s="128">
        <f>SUMIF(51:51,I9,52:52)-SUMIF(51:51,C9,52:52)+100</f>
        <v>100</v>
      </c>
      <c r="K9" s="565"/>
      <c r="L9" s="2937"/>
      <c r="M9" s="2938"/>
      <c r="N9" s="2938"/>
      <c r="O9" s="2992"/>
      <c r="P9" s="3336" t="s">
        <v>2368</v>
      </c>
      <c r="Q9" s="1525" t="str">
        <f t="shared" ref="Q9:Q14" si="6">B9</f>
        <v>用途</v>
      </c>
      <c r="R9" s="707" t="s">
        <v>17</v>
      </c>
      <c r="S9" s="708">
        <f t="shared" si="0"/>
        <v>100</v>
      </c>
      <c r="T9" s="707" t="s">
        <v>17</v>
      </c>
      <c r="U9" s="708">
        <f t="shared" si="1"/>
        <v>100</v>
      </c>
      <c r="V9" s="707" t="s">
        <v>17</v>
      </c>
      <c r="W9" s="708">
        <f t="shared" si="2"/>
        <v>100</v>
      </c>
      <c r="X9" s="709"/>
      <c r="Y9" s="3245" t="s">
        <v>2369</v>
      </c>
      <c r="Z9" s="55" t="str">
        <f t="shared" ref="Z9:Z14" si="7">Q9</f>
        <v>用途</v>
      </c>
      <c r="AA9" s="710">
        <f t="shared" si="3"/>
        <v>1</v>
      </c>
      <c r="AB9" s="710">
        <f t="shared" si="4"/>
        <v>1</v>
      </c>
      <c r="AC9" s="710">
        <f t="shared" si="5"/>
        <v>1</v>
      </c>
    </row>
    <row r="10" spans="1:29" s="383" customFormat="1" ht="27">
      <c r="A10" s="377"/>
      <c r="B10" s="378" t="s">
        <v>2370</v>
      </c>
      <c r="C10" s="379"/>
      <c r="D10" s="129">
        <v>100</v>
      </c>
      <c r="E10" s="379"/>
      <c r="F10" s="381">
        <f>SUMIF(53:53,E10,54:54)-SUMIF(53:53,C10,54:54)+100</f>
        <v>100</v>
      </c>
      <c r="G10" s="379"/>
      <c r="H10" s="129">
        <f>SUMIF(53:53,G10,54:54)-SUMIF(53:53,C10,54:54)+100</f>
        <v>100</v>
      </c>
      <c r="I10" s="379"/>
      <c r="J10" s="129">
        <f>SUMIF(53:53,I10,54:54)-SUMIF(53:53,C10,54:54)+100</f>
        <v>100</v>
      </c>
      <c r="K10" s="566"/>
      <c r="L10" s="2939"/>
      <c r="M10" s="2940"/>
      <c r="N10" s="2940"/>
      <c r="O10" s="2993"/>
      <c r="P10" s="3336"/>
      <c r="Q10" s="1525" t="str">
        <f t="shared" si="6"/>
        <v>土地使用年限（年）</v>
      </c>
      <c r="R10" s="707" t="s">
        <v>17</v>
      </c>
      <c r="S10" s="708">
        <f t="shared" si="0"/>
        <v>100</v>
      </c>
      <c r="T10" s="707" t="s">
        <v>17</v>
      </c>
      <c r="U10" s="708">
        <f t="shared" si="1"/>
        <v>100</v>
      </c>
      <c r="V10" s="707" t="s">
        <v>17</v>
      </c>
      <c r="W10" s="708">
        <f t="shared" si="2"/>
        <v>100</v>
      </c>
      <c r="X10" s="709"/>
      <c r="Y10" s="3245"/>
      <c r="Z10" s="55" t="str">
        <f t="shared" si="7"/>
        <v>土地使用年限（年）</v>
      </c>
      <c r="AA10" s="710">
        <f t="shared" si="3"/>
        <v>1</v>
      </c>
      <c r="AB10" s="710">
        <f t="shared" si="4"/>
        <v>1</v>
      </c>
      <c r="AC10" s="710">
        <f t="shared" si="5"/>
        <v>1</v>
      </c>
    </row>
    <row r="11" spans="1:29" ht="15">
      <c r="A11" s="384"/>
      <c r="B11" s="2075">
        <v>111</v>
      </c>
      <c r="C11" s="388"/>
      <c r="D11" s="129">
        <v>100</v>
      </c>
      <c r="E11" s="425"/>
      <c r="F11" s="381">
        <f>SUMIF(55:55,E11,56:56)-SUMIF(55:55,C11,56:56)+100</f>
        <v>100</v>
      </c>
      <c r="G11" s="425"/>
      <c r="H11" s="129">
        <f>SUMIF(55:55,G11,56:56)-SUMIF(55:55,C11,56:56)+100</f>
        <v>100</v>
      </c>
      <c r="I11" s="425"/>
      <c r="J11" s="129">
        <f>SUMIF(55:55,I11,56:56)-SUMIF(55:55,C11,56:56)+100</f>
        <v>100</v>
      </c>
      <c r="K11" s="567"/>
      <c r="L11" s="2941"/>
      <c r="M11" s="2936"/>
      <c r="N11" s="2936"/>
      <c r="O11" s="2994"/>
      <c r="P11" s="3336"/>
      <c r="Q11" s="1525">
        <f t="shared" si="6"/>
        <v>111</v>
      </c>
      <c r="R11" s="707" t="s">
        <v>17</v>
      </c>
      <c r="S11" s="708">
        <f t="shared" si="0"/>
        <v>100</v>
      </c>
      <c r="T11" s="707" t="s">
        <v>17</v>
      </c>
      <c r="U11" s="708">
        <f t="shared" si="1"/>
        <v>100</v>
      </c>
      <c r="V11" s="707" t="s">
        <v>17</v>
      </c>
      <c r="W11" s="708">
        <f t="shared" si="2"/>
        <v>100</v>
      </c>
      <c r="X11" s="709"/>
      <c r="Y11" s="3245"/>
      <c r="Z11" s="55">
        <f t="shared" si="7"/>
        <v>111</v>
      </c>
      <c r="AA11" s="710">
        <f t="shared" si="3"/>
        <v>1</v>
      </c>
      <c r="AB11" s="710">
        <f t="shared" si="4"/>
        <v>1</v>
      </c>
      <c r="AC11" s="710">
        <f t="shared" si="5"/>
        <v>1</v>
      </c>
    </row>
    <row r="12" spans="1:29" s="112" customFormat="1" ht="15">
      <c r="A12" s="387"/>
      <c r="B12" s="2075">
        <v>111</v>
      </c>
      <c r="C12" s="388"/>
      <c r="D12" s="389">
        <v>100</v>
      </c>
      <c r="E12" s="425"/>
      <c r="F12" s="381">
        <f>SUMIF(57:57,E12,58:58)-SUMIF(57:57,C12,58:58)+100</f>
        <v>100</v>
      </c>
      <c r="G12" s="425"/>
      <c r="H12" s="129">
        <f>SUMIF(57:57,G12,58:58)-SUMIF(57:57,C12,58:58)+100</f>
        <v>100</v>
      </c>
      <c r="I12" s="425"/>
      <c r="J12" s="129">
        <f>SUMIF(57:57,I12,58:58)-SUMIF(57:57,C12,58:58)+100</f>
        <v>100</v>
      </c>
      <c r="K12" s="567"/>
      <c r="L12" s="2937"/>
      <c r="M12" s="2938"/>
      <c r="N12" s="2938"/>
      <c r="O12" s="2992"/>
      <c r="P12" s="3336"/>
      <c r="Q12" s="1525">
        <f t="shared" si="6"/>
        <v>111</v>
      </c>
      <c r="R12" s="707" t="s">
        <v>17</v>
      </c>
      <c r="S12" s="708">
        <f t="shared" si="0"/>
        <v>100</v>
      </c>
      <c r="T12" s="707" t="s">
        <v>17</v>
      </c>
      <c r="U12" s="708">
        <f t="shared" si="1"/>
        <v>100</v>
      </c>
      <c r="V12" s="707" t="s">
        <v>17</v>
      </c>
      <c r="W12" s="708">
        <f t="shared" si="2"/>
        <v>100</v>
      </c>
      <c r="X12" s="709"/>
      <c r="Y12" s="3245"/>
      <c r="Z12" s="55">
        <f t="shared" si="7"/>
        <v>111</v>
      </c>
      <c r="AA12" s="710">
        <f>D12/F12</f>
        <v>1</v>
      </c>
      <c r="AB12" s="710">
        <f>D12/H12</f>
        <v>1</v>
      </c>
      <c r="AC12" s="710">
        <f>D12/J12</f>
        <v>1</v>
      </c>
    </row>
    <row r="13" spans="1:29" ht="15.75" thickBot="1">
      <c r="A13" s="384"/>
      <c r="B13" s="2075">
        <v>111</v>
      </c>
      <c r="C13" s="390"/>
      <c r="D13" s="391">
        <v>100</v>
      </c>
      <c r="E13" s="425"/>
      <c r="F13" s="381">
        <f>SUMIF(59:59,E13,60:60)-SUMIF(59:59,C13,60:60)+100</f>
        <v>100</v>
      </c>
      <c r="G13" s="2157"/>
      <c r="H13" s="394">
        <f>SUMIF(59:59,G13,60:60)-SUMIF(59:59,C13,60:60)+100</f>
        <v>100</v>
      </c>
      <c r="I13" s="425"/>
      <c r="J13" s="391">
        <f>SUMIF(59:59,I13,60:60)-SUMIF(59:59,C13,60:60)+100</f>
        <v>100</v>
      </c>
      <c r="K13" s="567"/>
      <c r="L13" s="2942"/>
      <c r="M13" s="2936"/>
      <c r="N13" s="2936"/>
      <c r="O13" s="2994"/>
      <c r="P13" s="3336"/>
      <c r="Q13" s="1525">
        <f t="shared" si="6"/>
        <v>111</v>
      </c>
      <c r="R13" s="707" t="s">
        <v>17</v>
      </c>
      <c r="S13" s="708">
        <f t="shared" si="0"/>
        <v>100</v>
      </c>
      <c r="T13" s="707" t="s">
        <v>17</v>
      </c>
      <c r="U13" s="708">
        <f t="shared" si="1"/>
        <v>100</v>
      </c>
      <c r="V13" s="707" t="s">
        <v>17</v>
      </c>
      <c r="W13" s="708">
        <f t="shared" si="2"/>
        <v>100</v>
      </c>
      <c r="X13" s="709"/>
      <c r="Y13" s="3245"/>
      <c r="Z13" s="55">
        <f t="shared" si="7"/>
        <v>111</v>
      </c>
      <c r="AA13" s="710">
        <f t="shared" si="3"/>
        <v>1</v>
      </c>
      <c r="AB13" s="710">
        <f t="shared" si="4"/>
        <v>1</v>
      </c>
      <c r="AC13" s="710">
        <f t="shared" si="5"/>
        <v>1</v>
      </c>
    </row>
    <row r="14" spans="1:29" ht="85.5">
      <c r="A14" s="396" t="s">
        <v>2372</v>
      </c>
      <c r="B14" s="65" t="s">
        <v>2522</v>
      </c>
      <c r="C14" s="2153" t="str">
        <f>IF(B1="工业",估价对象房地状况!G4,估价对象房地状况!C6)</f>
        <v>较好</v>
      </c>
      <c r="D14" s="397">
        <v>100</v>
      </c>
      <c r="E14" s="398"/>
      <c r="F14" s="399">
        <f>SUMIF(61:61,E15,62:62)-SUMIF(61:61,C15,62:62)+100</f>
        <v>100</v>
      </c>
      <c r="G14" s="400"/>
      <c r="H14" s="397">
        <f>SUMIF(61:61,G15,62:62)-SUMIF(61:61,C15,62:62)+100</f>
        <v>100</v>
      </c>
      <c r="I14" s="398"/>
      <c r="J14" s="397">
        <f>SUMIF(61:61,I15,62:62)-SUMIF(61:61,C15,62:62)+100</f>
        <v>100</v>
      </c>
      <c r="K14" s="568"/>
      <c r="L14" s="2942"/>
      <c r="M14" s="2936"/>
      <c r="N14" s="2936"/>
      <c r="O14" s="2994"/>
      <c r="P14" s="3338" t="s">
        <v>2373</v>
      </c>
      <c r="Q14" s="1534" t="str">
        <f t="shared" si="6"/>
        <v>交通便捷度</v>
      </c>
      <c r="R14" s="711" t="s">
        <v>17</v>
      </c>
      <c r="S14" s="712">
        <f t="shared" si="0"/>
        <v>100</v>
      </c>
      <c r="T14" s="711" t="s">
        <v>17</v>
      </c>
      <c r="U14" s="712">
        <f t="shared" si="1"/>
        <v>100</v>
      </c>
      <c r="V14" s="711" t="s">
        <v>17</v>
      </c>
      <c r="W14" s="712">
        <f t="shared" si="2"/>
        <v>100</v>
      </c>
      <c r="X14" s="1537"/>
      <c r="Y14" s="3338" t="s">
        <v>2373</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2"/>
      <c r="M15" s="2936"/>
      <c r="N15" s="2936"/>
      <c r="O15" s="2994"/>
      <c r="P15" s="3339"/>
      <c r="Q15" s="1534"/>
      <c r="R15" s="711"/>
      <c r="S15" s="712"/>
      <c r="T15" s="711"/>
      <c r="U15" s="712"/>
      <c r="V15" s="711"/>
      <c r="W15" s="712"/>
      <c r="X15" s="1537"/>
      <c r="Y15" s="3339"/>
      <c r="Z15" s="1538"/>
      <c r="AA15" s="1535">
        <v>1</v>
      </c>
      <c r="AB15" s="1535">
        <v>1</v>
      </c>
      <c r="AC15" s="1535">
        <v>1</v>
      </c>
    </row>
    <row r="16" spans="1:29" ht="42.75">
      <c r="A16" s="384"/>
      <c r="B16" s="407" t="s">
        <v>2501</v>
      </c>
      <c r="C16" s="2082" t="str">
        <f>IF(B1="工业",估价对象房地状况!G5,估价对象房地状况!C7)</f>
        <v>较好</v>
      </c>
      <c r="D16" s="411">
        <v>100</v>
      </c>
      <c r="E16" s="413"/>
      <c r="F16" s="414">
        <f>SUMIF(63:63,E17,64:64)-SUMIF(63:63,C17,64:64)+100</f>
        <v>100</v>
      </c>
      <c r="G16" s="415"/>
      <c r="H16" s="411">
        <f>SUMIF(63:63,G17,64:64)-SUMIF(63:63,C17,64:64)+100</f>
        <v>100</v>
      </c>
      <c r="I16" s="413"/>
      <c r="J16" s="411">
        <f>SUMIF(63:63,I17,64:64)-SUMIF(63:63,C17,64:64)+100</f>
        <v>100</v>
      </c>
      <c r="K16" s="568"/>
      <c r="L16" s="2942"/>
      <c r="M16" s="2936"/>
      <c r="N16" s="2936"/>
      <c r="O16" s="2994"/>
      <c r="P16" s="3339"/>
      <c r="Q16" s="1534" t="str">
        <f>B16</f>
        <v>公共配套设施</v>
      </c>
      <c r="R16" s="711" t="s">
        <v>17</v>
      </c>
      <c r="S16" s="712">
        <f>F16</f>
        <v>100</v>
      </c>
      <c r="T16" s="711" t="s">
        <v>17</v>
      </c>
      <c r="U16" s="712">
        <f>H16</f>
        <v>100</v>
      </c>
      <c r="V16" s="711" t="s">
        <v>17</v>
      </c>
      <c r="W16" s="712">
        <f>J16</f>
        <v>100</v>
      </c>
      <c r="X16" s="1537"/>
      <c r="Y16" s="3339"/>
      <c r="Z16" s="1538" t="str">
        <f>Q16</f>
        <v>公共配套设施</v>
      </c>
      <c r="AA16" s="1535">
        <f t="shared" si="3"/>
        <v>1</v>
      </c>
      <c r="AB16" s="1535">
        <f t="shared" si="4"/>
        <v>1</v>
      </c>
      <c r="AC16" s="1535">
        <f t="shared" si="5"/>
        <v>1</v>
      </c>
    </row>
    <row r="17" spans="1:29" ht="15">
      <c r="A17" s="384"/>
      <c r="B17" s="412"/>
      <c r="C17" s="2083"/>
      <c r="D17" s="404"/>
      <c r="E17" s="403"/>
      <c r="F17" s="405"/>
      <c r="G17" s="403"/>
      <c r="H17" s="404"/>
      <c r="I17" s="403"/>
      <c r="J17" s="404"/>
      <c r="K17" s="569"/>
      <c r="L17" s="2942"/>
      <c r="M17" s="2936"/>
      <c r="N17" s="2936"/>
      <c r="O17" s="2994"/>
      <c r="P17" s="3339"/>
      <c r="Q17" s="1534"/>
      <c r="R17" s="711"/>
      <c r="S17" s="712"/>
      <c r="T17" s="711"/>
      <c r="U17" s="712"/>
      <c r="V17" s="711"/>
      <c r="W17" s="712"/>
      <c r="X17" s="1537"/>
      <c r="Y17" s="3339"/>
      <c r="Z17" s="1538"/>
      <c r="AA17" s="1535">
        <v>1</v>
      </c>
      <c r="AB17" s="1535">
        <v>1</v>
      </c>
      <c r="AC17" s="1535">
        <v>1</v>
      </c>
    </row>
    <row r="18" spans="1:29" ht="28.5">
      <c r="A18" s="384"/>
      <c r="B18" s="1290" t="s">
        <v>2502</v>
      </c>
      <c r="C18" s="2082" t="str">
        <f>IF(B1="工业",估价对象房地状况!G6,估价对象房地状况!C8)</f>
        <v>六通</v>
      </c>
      <c r="D18" s="411">
        <v>100</v>
      </c>
      <c r="E18" s="408"/>
      <c r="F18" s="414">
        <f>SUMIF(65:65,E19,66:66)-SUMIF(65:65,C19,66:66)+100</f>
        <v>100</v>
      </c>
      <c r="G18" s="410"/>
      <c r="H18" s="411">
        <f>SUMIF(65:65,G19,66:66)-SUMIF(65:65,C19,66:66)+100</f>
        <v>100</v>
      </c>
      <c r="I18" s="413"/>
      <c r="J18" s="411">
        <f>SUMIF(65:65,I19,66:66)-SUMIF(65:65,C19,66:66)+100</f>
        <v>100</v>
      </c>
      <c r="K18" s="568"/>
      <c r="L18" s="2942"/>
      <c r="M18" s="2936"/>
      <c r="N18" s="2936"/>
      <c r="O18" s="2994"/>
      <c r="P18" s="3339"/>
      <c r="Q18" s="1534" t="str">
        <f>B18</f>
        <v>基础设施水平</v>
      </c>
      <c r="R18" s="711" t="s">
        <v>17</v>
      </c>
      <c r="S18" s="712">
        <f>F18</f>
        <v>100</v>
      </c>
      <c r="T18" s="711" t="s">
        <v>17</v>
      </c>
      <c r="U18" s="712">
        <f>H18</f>
        <v>100</v>
      </c>
      <c r="V18" s="711" t="s">
        <v>17</v>
      </c>
      <c r="W18" s="712">
        <f>J18</f>
        <v>100</v>
      </c>
      <c r="X18" s="1537"/>
      <c r="Y18" s="3339"/>
      <c r="Z18" s="1538" t="str">
        <f>Q18</f>
        <v>基础设施水平</v>
      </c>
      <c r="AA18" s="1535">
        <f t="shared" ref="AA18" si="8">D18/F18</f>
        <v>1</v>
      </c>
      <c r="AB18" s="1535">
        <f t="shared" ref="AB18" si="9">D18/H18</f>
        <v>1</v>
      </c>
      <c r="AC18" s="1535">
        <f t="shared" ref="AC18" si="10">D18/J18</f>
        <v>1</v>
      </c>
    </row>
    <row r="19" spans="1:29" ht="15">
      <c r="A19" s="384"/>
      <c r="B19" s="1290"/>
      <c r="C19" s="2083"/>
      <c r="D19" s="406"/>
      <c r="E19" s="2083"/>
      <c r="F19" s="409"/>
      <c r="G19" s="2083"/>
      <c r="H19" s="404"/>
      <c r="I19" s="403"/>
      <c r="J19" s="404"/>
      <c r="K19" s="1289"/>
      <c r="L19" s="2942"/>
      <c r="M19" s="2936"/>
      <c r="N19" s="2936"/>
      <c r="O19" s="2994"/>
      <c r="P19" s="3339"/>
      <c r="Q19" s="1534"/>
      <c r="R19" s="711"/>
      <c r="S19" s="712"/>
      <c r="T19" s="711"/>
      <c r="U19" s="712"/>
      <c r="V19" s="711"/>
      <c r="W19" s="712"/>
      <c r="X19" s="1537"/>
      <c r="Y19" s="3339"/>
      <c r="Z19" s="1538"/>
      <c r="AA19" s="1535">
        <v>1</v>
      </c>
      <c r="AB19" s="1535">
        <v>1</v>
      </c>
      <c r="AC19" s="1535">
        <v>1</v>
      </c>
    </row>
    <row r="20" spans="1:29" ht="57">
      <c r="A20" s="384"/>
      <c r="B20" s="407" t="s">
        <v>2523</v>
      </c>
      <c r="C20" s="2082" t="str">
        <f>IF(B1="工业",估价对象房地状况!G7,估价对象房地状况!C9)</f>
        <v>较好</v>
      </c>
      <c r="D20" s="411">
        <v>100</v>
      </c>
      <c r="E20" s="413"/>
      <c r="F20" s="414">
        <f>SUMIF(67:67,E21,68:68)-SUMIF(67:67,C21,68:68)+100</f>
        <v>100</v>
      </c>
      <c r="G20" s="415"/>
      <c r="H20" s="406">
        <f>SUMIF(67:67,G21,68:68)-SUMIF(67:67,C21,68:68)+100</f>
        <v>100</v>
      </c>
      <c r="I20" s="408"/>
      <c r="J20" s="406">
        <f>SUMIF(67:67,I21,68:68)-SUMIF(67:67,C21,68:68)+100</f>
        <v>100</v>
      </c>
      <c r="K20" s="568"/>
      <c r="L20" s="2942"/>
      <c r="M20" s="2936"/>
      <c r="N20" s="2936"/>
      <c r="O20" s="2994"/>
      <c r="P20" s="3339"/>
      <c r="Q20" s="1534" t="str">
        <f>B20</f>
        <v>自然及人文环境</v>
      </c>
      <c r="R20" s="711" t="s">
        <v>17</v>
      </c>
      <c r="S20" s="712">
        <f>F20</f>
        <v>100</v>
      </c>
      <c r="T20" s="711" t="s">
        <v>17</v>
      </c>
      <c r="U20" s="712">
        <f>H20</f>
        <v>100</v>
      </c>
      <c r="V20" s="711" t="s">
        <v>17</v>
      </c>
      <c r="W20" s="712">
        <f>J20</f>
        <v>100</v>
      </c>
      <c r="X20" s="1537"/>
      <c r="Y20" s="3339"/>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2"/>
      <c r="M21" s="2936"/>
      <c r="N21" s="2936"/>
      <c r="O21" s="2994"/>
      <c r="P21" s="3339"/>
      <c r="Q21" s="1534"/>
      <c r="R21" s="711"/>
      <c r="S21" s="712"/>
      <c r="T21" s="711"/>
      <c r="U21" s="712"/>
      <c r="V21" s="711"/>
      <c r="W21" s="712"/>
      <c r="X21" s="1537"/>
      <c r="Y21" s="3339"/>
      <c r="Z21" s="1538"/>
      <c r="AA21" s="1535">
        <v>1</v>
      </c>
      <c r="AB21" s="1535">
        <v>1</v>
      </c>
      <c r="AC21" s="1535">
        <v>1</v>
      </c>
    </row>
    <row r="22" spans="1:29" ht="15">
      <c r="A22" s="384"/>
      <c r="B22" s="407" t="s">
        <v>2524</v>
      </c>
      <c r="C22" s="570"/>
      <c r="D22" s="406">
        <v>100</v>
      </c>
      <c r="E22" s="570"/>
      <c r="F22" s="417">
        <f>SUMIF(69:69,E22,70:70)-SUMIF(69:69,C22,70:70)+100</f>
        <v>100</v>
      </c>
      <c r="G22" s="570"/>
      <c r="H22" s="391">
        <f>SUMIF(69:69,G22,70:70)-SUMIF(69:69,C22,70:70)+100</f>
        <v>100</v>
      </c>
      <c r="I22" s="570"/>
      <c r="J22" s="391">
        <f>SUMIF(69:69,I22,70:70)-SUMIF(69:69,C22,70:70)+100</f>
        <v>100</v>
      </c>
      <c r="K22" s="566"/>
      <c r="L22" s="2942"/>
      <c r="M22" s="2936"/>
      <c r="N22" s="2936"/>
      <c r="O22" s="2994"/>
      <c r="P22" s="3339"/>
      <c r="Q22" s="1534" t="str">
        <f>B22</f>
        <v>楼层</v>
      </c>
      <c r="R22" s="711" t="s">
        <v>17</v>
      </c>
      <c r="S22" s="712">
        <f>F22</f>
        <v>100</v>
      </c>
      <c r="T22" s="711" t="s">
        <v>17</v>
      </c>
      <c r="U22" s="712">
        <f>H22</f>
        <v>100</v>
      </c>
      <c r="V22" s="711" t="s">
        <v>17</v>
      </c>
      <c r="W22" s="712">
        <f>J22</f>
        <v>100</v>
      </c>
      <c r="X22" s="1537"/>
      <c r="Y22" s="3339"/>
      <c r="Z22" s="1538" t="str">
        <f>Q22</f>
        <v>楼层</v>
      </c>
      <c r="AA22" s="1535">
        <f t="shared" si="3"/>
        <v>1</v>
      </c>
      <c r="AB22" s="1535">
        <f t="shared" si="4"/>
        <v>1</v>
      </c>
      <c r="AC22" s="1535">
        <f t="shared" si="5"/>
        <v>1</v>
      </c>
    </row>
    <row r="23" spans="1:29" ht="15">
      <c r="A23" s="361"/>
      <c r="B23" s="2075">
        <v>111</v>
      </c>
      <c r="C23" s="388"/>
      <c r="D23" s="391">
        <v>100</v>
      </c>
      <c r="E23" s="390"/>
      <c r="F23" s="417">
        <f>SUMIF(71:71,E23,72:72)-SUMIF(71:71,C23,72:72)+100</f>
        <v>100</v>
      </c>
      <c r="G23" s="390"/>
      <c r="H23" s="391">
        <f>SUMIF(71:71,G23,72:72)-SUMIF(71:71,C23,72:72)+100</f>
        <v>100</v>
      </c>
      <c r="I23" s="390"/>
      <c r="J23" s="391">
        <f>SUMIF(71:71,I23,72:72)-SUMIF(71:71,C23,72:72)+100</f>
        <v>100</v>
      </c>
      <c r="K23" s="567"/>
      <c r="L23" s="2942"/>
      <c r="M23" s="2936"/>
      <c r="N23" s="2936"/>
      <c r="O23" s="2994"/>
      <c r="P23" s="3339"/>
      <c r="Q23" s="1534">
        <f>B23</f>
        <v>111</v>
      </c>
      <c r="R23" s="711" t="s">
        <v>17</v>
      </c>
      <c r="S23" s="712">
        <f>F23</f>
        <v>100</v>
      </c>
      <c r="T23" s="711" t="s">
        <v>17</v>
      </c>
      <c r="U23" s="712">
        <f>H23</f>
        <v>100</v>
      </c>
      <c r="V23" s="711" t="s">
        <v>17</v>
      </c>
      <c r="W23" s="712">
        <f>J23</f>
        <v>100</v>
      </c>
      <c r="X23" s="1537"/>
      <c r="Y23" s="3339"/>
      <c r="Z23" s="1538">
        <f>Q23</f>
        <v>111</v>
      </c>
      <c r="AA23" s="1535">
        <f t="shared" si="3"/>
        <v>1</v>
      </c>
      <c r="AB23" s="1535">
        <f t="shared" si="4"/>
        <v>1</v>
      </c>
      <c r="AC23" s="1535">
        <f t="shared" si="5"/>
        <v>1</v>
      </c>
    </row>
    <row r="24" spans="1:29" ht="15">
      <c r="A24" s="384"/>
      <c r="B24" s="2075">
        <v>111</v>
      </c>
      <c r="C24" s="388"/>
      <c r="D24" s="391">
        <v>100</v>
      </c>
      <c r="E24" s="390"/>
      <c r="F24" s="417">
        <f>SUMIF(73:73,E24,74:74)-SUMIF(73:73,C24,74:74)+100</f>
        <v>100</v>
      </c>
      <c r="G24" s="390"/>
      <c r="H24" s="391">
        <f>SUMIF(73:73,G24,74:74)-SUMIF(73:73,C24,74:74)+100</f>
        <v>100</v>
      </c>
      <c r="I24" s="390"/>
      <c r="J24" s="391">
        <f>SUMIF(73:73,I24,74:74)-SUMIF(73:73,C24,74:74)+100</f>
        <v>100</v>
      </c>
      <c r="K24" s="567"/>
      <c r="L24" s="2942"/>
      <c r="M24" s="2936"/>
      <c r="N24" s="2936"/>
      <c r="O24" s="2994"/>
      <c r="P24" s="3339"/>
      <c r="Q24" s="1534">
        <f t="shared" ref="Q24:Q34" si="11">B24</f>
        <v>111</v>
      </c>
      <c r="R24" s="711" t="s">
        <v>17</v>
      </c>
      <c r="S24" s="712">
        <f>F24</f>
        <v>100</v>
      </c>
      <c r="T24" s="711" t="s">
        <v>17</v>
      </c>
      <c r="U24" s="712">
        <f>H24</f>
        <v>100</v>
      </c>
      <c r="V24" s="711" t="s">
        <v>17</v>
      </c>
      <c r="W24" s="712">
        <f>J24</f>
        <v>100</v>
      </c>
      <c r="X24" s="1537"/>
      <c r="Y24" s="3339"/>
      <c r="Z24" s="1538">
        <f>Q24</f>
        <v>111</v>
      </c>
      <c r="AA24" s="1535">
        <f t="shared" si="3"/>
        <v>1</v>
      </c>
      <c r="AB24" s="1535">
        <f t="shared" si="4"/>
        <v>1</v>
      </c>
      <c r="AC24" s="1535">
        <f t="shared" si="5"/>
        <v>1</v>
      </c>
    </row>
    <row r="25" spans="1:29" s="112" customFormat="1" ht="15.75" thickBot="1">
      <c r="A25" s="387"/>
      <c r="B25" s="2075">
        <v>111</v>
      </c>
      <c r="C25" s="2158"/>
      <c r="D25" s="618">
        <v>100</v>
      </c>
      <c r="E25" s="2158"/>
      <c r="F25" s="619">
        <f>SUMIF(75:75,E25,76:76)-SUMIF(75:75,C25,76:76)+100</f>
        <v>100</v>
      </c>
      <c r="G25" s="2158"/>
      <c r="H25" s="618">
        <f>SUMIF(75:75,G25,76:76)-SUMIF(75:75,C25,76:76)+100</f>
        <v>100</v>
      </c>
      <c r="I25" s="2158"/>
      <c r="J25" s="618">
        <f>SUMIF(75:75,I25,76:76)-SUMIF(75:75,C25,76:76)+100</f>
        <v>100</v>
      </c>
      <c r="K25" s="567"/>
      <c r="L25" s="2937"/>
      <c r="M25" s="2938"/>
      <c r="N25" s="2938"/>
      <c r="O25" s="2992"/>
      <c r="P25" s="3339"/>
      <c r="Q25" s="1525">
        <f t="shared" si="11"/>
        <v>111</v>
      </c>
      <c r="R25" s="707" t="s">
        <v>17</v>
      </c>
      <c r="S25" s="708">
        <f>F25</f>
        <v>100</v>
      </c>
      <c r="T25" s="707" t="s">
        <v>17</v>
      </c>
      <c r="U25" s="708">
        <f>H25</f>
        <v>100</v>
      </c>
      <c r="V25" s="707" t="s">
        <v>17</v>
      </c>
      <c r="W25" s="708">
        <f>J25</f>
        <v>100</v>
      </c>
      <c r="X25" s="709"/>
      <c r="Y25" s="3339"/>
      <c r="Z25" s="55">
        <f>Q25</f>
        <v>111</v>
      </c>
      <c r="AA25" s="1535">
        <f>D25/F25</f>
        <v>1</v>
      </c>
      <c r="AB25" s="1535">
        <f>D25/H25</f>
        <v>1</v>
      </c>
      <c r="AC25" s="1535">
        <f>D25/J25</f>
        <v>1</v>
      </c>
    </row>
    <row r="26" spans="1:29" ht="28.5">
      <c r="A26" s="422" t="s">
        <v>2376</v>
      </c>
      <c r="B26" s="67" t="s">
        <v>2527</v>
      </c>
      <c r="C26" s="2149"/>
      <c r="D26" s="423">
        <v>100</v>
      </c>
      <c r="E26" s="2149"/>
      <c r="F26" s="620">
        <f>SUMIF(77:77,E26,78:78)-SUMIF(77:77,C26,78:78)+100</f>
        <v>100</v>
      </c>
      <c r="G26" s="2149"/>
      <c r="H26" s="423">
        <f>SUMIF(77:77,G26,78:78)-SUMIF(77:77,C26,78:78)+100</f>
        <v>100</v>
      </c>
      <c r="I26" s="2149"/>
      <c r="J26" s="423">
        <f>SUMIF(77:77,I26,78:78)-SUMIF(77:77,C26,78:78)+100</f>
        <v>100</v>
      </c>
      <c r="K26" s="566"/>
      <c r="L26" s="2942"/>
      <c r="M26" s="2936"/>
      <c r="N26" s="2936"/>
      <c r="O26" s="2994"/>
      <c r="P26" s="3362" t="s">
        <v>2378</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43" t="s">
        <v>2378</v>
      </c>
      <c r="Z26" s="1538" t="str">
        <f t="shared" ref="Z26:Z34" si="15">Q26</f>
        <v>公共部分装修</v>
      </c>
      <c r="AA26" s="1535">
        <f t="shared" si="3"/>
        <v>1</v>
      </c>
      <c r="AB26" s="1535">
        <f t="shared" si="4"/>
        <v>1</v>
      </c>
      <c r="AC26" s="1535">
        <f t="shared" si="5"/>
        <v>1</v>
      </c>
    </row>
    <row r="27" spans="1:29" s="427" customFormat="1" ht="15">
      <c r="A27" s="424"/>
      <c r="B27" s="378" t="s">
        <v>2528</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1"/>
      <c r="M27" s="2943"/>
      <c r="N27" s="2943"/>
      <c r="O27" s="2995"/>
      <c r="P27" s="3343"/>
      <c r="Q27" s="713" t="str">
        <f t="shared" si="11"/>
        <v>成新率</v>
      </c>
      <c r="R27" s="714" t="s">
        <v>17</v>
      </c>
      <c r="S27" s="715" t="e">
        <f t="shared" si="12"/>
        <v>#N/A</v>
      </c>
      <c r="T27" s="714" t="s">
        <v>17</v>
      </c>
      <c r="U27" s="715" t="e">
        <f t="shared" si="13"/>
        <v>#N/A</v>
      </c>
      <c r="V27" s="714" t="s">
        <v>17</v>
      </c>
      <c r="W27" s="715" t="e">
        <f t="shared" si="14"/>
        <v>#N/A</v>
      </c>
      <c r="X27" s="716"/>
      <c r="Y27" s="3343"/>
      <c r="Z27" s="717" t="str">
        <f t="shared" si="15"/>
        <v>成新率</v>
      </c>
      <c r="AA27" s="1535" t="e">
        <f t="shared" si="3"/>
        <v>#N/A</v>
      </c>
      <c r="AB27" s="1535" t="e">
        <f t="shared" si="4"/>
        <v>#N/A</v>
      </c>
      <c r="AC27" s="1535" t="e">
        <f t="shared" si="5"/>
        <v>#N/A</v>
      </c>
    </row>
    <row r="28" spans="1:29" ht="15">
      <c r="A28" s="428"/>
      <c r="B28" s="378" t="s">
        <v>2529</v>
      </c>
      <c r="C28" s="416"/>
      <c r="D28" s="391">
        <v>100</v>
      </c>
      <c r="E28" s="416"/>
      <c r="F28" s="417">
        <f>SUMIF(82:82,E28,83:83)-SUMIF(82:82,C28,83:83)+100</f>
        <v>100</v>
      </c>
      <c r="G28" s="416"/>
      <c r="H28" s="391">
        <f>SUMIF(82:82,G28,83:83)-SUMIF(82:82,C28,83:83)+100</f>
        <v>100</v>
      </c>
      <c r="I28" s="416"/>
      <c r="J28" s="391">
        <f>SUMIF(82:82,I28,83:83)-SUMIF(82:82,C28,83:83)+100</f>
        <v>100</v>
      </c>
      <c r="K28" s="566"/>
      <c r="L28" s="2942"/>
      <c r="M28" s="2936"/>
      <c r="N28" s="2936"/>
      <c r="O28" s="2994"/>
      <c r="P28" s="3343"/>
      <c r="Q28" s="1534" t="str">
        <f t="shared" si="11"/>
        <v>物业等级</v>
      </c>
      <c r="R28" s="711" t="s">
        <v>17</v>
      </c>
      <c r="S28" s="712">
        <f t="shared" si="12"/>
        <v>100</v>
      </c>
      <c r="T28" s="711" t="s">
        <v>17</v>
      </c>
      <c r="U28" s="712">
        <f t="shared" si="13"/>
        <v>100</v>
      </c>
      <c r="V28" s="711" t="s">
        <v>17</v>
      </c>
      <c r="W28" s="712">
        <f t="shared" si="14"/>
        <v>100</v>
      </c>
      <c r="X28" s="1537"/>
      <c r="Y28" s="3343"/>
      <c r="Z28" s="1538" t="str">
        <f t="shared" si="15"/>
        <v>物业等级</v>
      </c>
      <c r="AA28" s="1535">
        <f t="shared" si="3"/>
        <v>1</v>
      </c>
      <c r="AB28" s="1535">
        <f t="shared" si="4"/>
        <v>1</v>
      </c>
      <c r="AC28" s="1535">
        <f t="shared" si="5"/>
        <v>1</v>
      </c>
    </row>
    <row r="29" spans="1:29" ht="15">
      <c r="A29" s="428"/>
      <c r="B29" s="378" t="s">
        <v>2550</v>
      </c>
      <c r="C29" s="610"/>
      <c r="D29" s="391">
        <v>100</v>
      </c>
      <c r="E29" s="610"/>
      <c r="F29" s="417">
        <f>SUMIF(84:84,E29,85:85)-SUMIF(84:84,C29,85:85)+100</f>
        <v>100</v>
      </c>
      <c r="G29" s="610"/>
      <c r="H29" s="391">
        <f>SUMIF(84:84,G29,85:85)-SUMIF(84:84,C29,85:85)+100</f>
        <v>100</v>
      </c>
      <c r="I29" s="610"/>
      <c r="J29" s="391">
        <f>SUMIF(84:84,I29,85:85)-SUMIF(84:84,C29,85:85)+100</f>
        <v>100</v>
      </c>
      <c r="K29" s="566"/>
      <c r="L29" s="2942"/>
      <c r="M29" s="2936"/>
      <c r="N29" s="2936"/>
      <c r="O29" s="2994"/>
      <c r="P29" s="3343"/>
      <c r="Q29" s="1534" t="str">
        <f t="shared" si="11"/>
        <v>有无电梯</v>
      </c>
      <c r="R29" s="711" t="s">
        <v>17</v>
      </c>
      <c r="S29" s="712">
        <f t="shared" si="12"/>
        <v>100</v>
      </c>
      <c r="T29" s="711" t="s">
        <v>17</v>
      </c>
      <c r="U29" s="712">
        <f t="shared" si="13"/>
        <v>100</v>
      </c>
      <c r="V29" s="711" t="s">
        <v>17</v>
      </c>
      <c r="W29" s="712">
        <f t="shared" si="14"/>
        <v>100</v>
      </c>
      <c r="X29" s="1537"/>
      <c r="Y29" s="3343"/>
      <c r="Z29" s="1538" t="str">
        <f t="shared" si="15"/>
        <v>有无电梯</v>
      </c>
      <c r="AA29" s="1535">
        <f t="shared" si="3"/>
        <v>1</v>
      </c>
      <c r="AB29" s="1535">
        <f t="shared" si="4"/>
        <v>1</v>
      </c>
      <c r="AC29" s="1535">
        <f t="shared" si="5"/>
        <v>1</v>
      </c>
    </row>
    <row r="30" spans="1:29" ht="15">
      <c r="A30" s="428"/>
      <c r="B30" s="378" t="s">
        <v>2551</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2"/>
      <c r="M30" s="2936"/>
      <c r="N30" s="2936"/>
      <c r="O30" s="2994"/>
      <c r="P30" s="3343"/>
      <c r="Q30" s="1534" t="str">
        <f t="shared" si="11"/>
        <v>建筑面积</v>
      </c>
      <c r="R30" s="711" t="s">
        <v>17</v>
      </c>
      <c r="S30" s="712" t="e">
        <f t="shared" si="12"/>
        <v>#N/A</v>
      </c>
      <c r="T30" s="711" t="s">
        <v>17</v>
      </c>
      <c r="U30" s="712" t="e">
        <f t="shared" si="13"/>
        <v>#N/A</v>
      </c>
      <c r="V30" s="711" t="s">
        <v>17</v>
      </c>
      <c r="W30" s="712" t="e">
        <f t="shared" si="14"/>
        <v>#N/A</v>
      </c>
      <c r="X30" s="1537"/>
      <c r="Y30" s="3343"/>
      <c r="Z30" s="1538" t="str">
        <f t="shared" si="15"/>
        <v>建筑面积</v>
      </c>
      <c r="AA30" s="1535" t="e">
        <f t="shared" si="3"/>
        <v>#N/A</v>
      </c>
      <c r="AB30" s="1535" t="e">
        <f t="shared" si="4"/>
        <v>#N/A</v>
      </c>
      <c r="AC30" s="1535" t="e">
        <f t="shared" si="5"/>
        <v>#N/A</v>
      </c>
    </row>
    <row r="31" spans="1:29" s="112" customFormat="1" ht="15">
      <c r="A31" s="429"/>
      <c r="B31" s="378" t="s">
        <v>2552</v>
      </c>
      <c r="C31" s="610"/>
      <c r="D31" s="129">
        <v>100</v>
      </c>
      <c r="E31" s="610"/>
      <c r="F31" s="417">
        <f>SUMIF(89:89,E31,90:90)-SUMIF(89:89,C31,90:90)+100</f>
        <v>100</v>
      </c>
      <c r="G31" s="610"/>
      <c r="H31" s="391">
        <f>SUMIF(89:89,G31,90:90)-SUMIF(89:89,C31,90:90)+100</f>
        <v>100</v>
      </c>
      <c r="I31" s="610"/>
      <c r="J31" s="391">
        <f>SUMIF(89:89,I31,90:90)-SUMIF(89:89,C31,90:90)+100</f>
        <v>100</v>
      </c>
      <c r="K31" s="566"/>
      <c r="L31" s="2937"/>
      <c r="M31" s="2938"/>
      <c r="N31" s="2938"/>
      <c r="O31" s="2992"/>
      <c r="P31" s="3343"/>
      <c r="Q31" s="1525" t="str">
        <f t="shared" si="11"/>
        <v>是否封闭</v>
      </c>
      <c r="R31" s="707" t="s">
        <v>17</v>
      </c>
      <c r="S31" s="708">
        <f t="shared" si="12"/>
        <v>100</v>
      </c>
      <c r="T31" s="707" t="s">
        <v>17</v>
      </c>
      <c r="U31" s="708">
        <f t="shared" si="13"/>
        <v>100</v>
      </c>
      <c r="V31" s="707" t="s">
        <v>17</v>
      </c>
      <c r="W31" s="708">
        <f t="shared" si="14"/>
        <v>100</v>
      </c>
      <c r="X31" s="709"/>
      <c r="Y31" s="3343"/>
      <c r="Z31" s="55" t="str">
        <f t="shared" si="15"/>
        <v>是否封闭</v>
      </c>
      <c r="AA31" s="710">
        <f t="shared" si="3"/>
        <v>1</v>
      </c>
      <c r="AB31" s="710">
        <f t="shared" si="4"/>
        <v>1</v>
      </c>
      <c r="AC31" s="710">
        <f t="shared" si="5"/>
        <v>1</v>
      </c>
    </row>
    <row r="32" spans="1:29" ht="15">
      <c r="A32" s="428"/>
      <c r="B32" s="2075">
        <v>111</v>
      </c>
      <c r="C32" s="388"/>
      <c r="D32" s="391">
        <v>100</v>
      </c>
      <c r="E32" s="425"/>
      <c r="F32" s="417">
        <f>SUMIF(91:91,E32,92:92)-SUMIF(91:91,C32,92:92)+100</f>
        <v>100</v>
      </c>
      <c r="G32" s="425"/>
      <c r="H32" s="391">
        <f>SUMIF(91:91,G32,92:92)-SUMIF(91:91,C32,92:92)+100</f>
        <v>100</v>
      </c>
      <c r="I32" s="425"/>
      <c r="J32" s="391">
        <f>SUMIF(91:91,I32,92:92)-SUMIF(91:91,C32,92:92)+100</f>
        <v>100</v>
      </c>
      <c r="K32" s="567"/>
      <c r="L32" s="2942"/>
      <c r="M32" s="2936"/>
      <c r="N32" s="2936"/>
      <c r="O32" s="2994"/>
      <c r="P32" s="3343" t="s">
        <v>2378</v>
      </c>
      <c r="Q32" s="1534">
        <f t="shared" si="11"/>
        <v>111</v>
      </c>
      <c r="R32" s="711" t="s">
        <v>17</v>
      </c>
      <c r="S32" s="712">
        <f t="shared" si="12"/>
        <v>100</v>
      </c>
      <c r="T32" s="711" t="s">
        <v>17</v>
      </c>
      <c r="U32" s="712">
        <f t="shared" si="13"/>
        <v>100</v>
      </c>
      <c r="V32" s="711" t="s">
        <v>17</v>
      </c>
      <c r="W32" s="712">
        <f t="shared" si="14"/>
        <v>100</v>
      </c>
      <c r="X32" s="1537"/>
      <c r="Y32" s="3343" t="s">
        <v>2378</v>
      </c>
      <c r="Z32" s="1538">
        <f t="shared" si="15"/>
        <v>111</v>
      </c>
      <c r="AA32" s="1535">
        <f t="shared" si="3"/>
        <v>1</v>
      </c>
      <c r="AB32" s="1535">
        <f t="shared" si="4"/>
        <v>1</v>
      </c>
      <c r="AC32" s="1535">
        <f t="shared" si="5"/>
        <v>1</v>
      </c>
    </row>
    <row r="33" spans="1:30" ht="15">
      <c r="A33" s="428"/>
      <c r="B33" s="2075">
        <v>111</v>
      </c>
      <c r="C33" s="388"/>
      <c r="D33" s="391">
        <v>100</v>
      </c>
      <c r="E33" s="425"/>
      <c r="F33" s="417">
        <f>SUMIF(93:93,E33,94:94)-SUMIF(93:93,C33,94:94)+100</f>
        <v>100</v>
      </c>
      <c r="G33" s="425"/>
      <c r="H33" s="391">
        <f>SUMIF(93:93,G33,94:94)-SUMIF(93:93,C33,94:94)+100</f>
        <v>100</v>
      </c>
      <c r="I33" s="425"/>
      <c r="J33" s="391">
        <f>SUMIF(93:93,I33,94:94)-SUMIF(93:93,C33,94:94)+100</f>
        <v>100</v>
      </c>
      <c r="K33" s="567"/>
      <c r="L33" s="2942"/>
      <c r="M33" s="2936"/>
      <c r="N33" s="2936"/>
      <c r="O33" s="2994"/>
      <c r="P33" s="3343"/>
      <c r="Q33" s="1534">
        <f t="shared" si="11"/>
        <v>111</v>
      </c>
      <c r="R33" s="711" t="s">
        <v>17</v>
      </c>
      <c r="S33" s="712">
        <f t="shared" si="12"/>
        <v>100</v>
      </c>
      <c r="T33" s="711" t="s">
        <v>17</v>
      </c>
      <c r="U33" s="712">
        <f t="shared" si="13"/>
        <v>100</v>
      </c>
      <c r="V33" s="711" t="s">
        <v>17</v>
      </c>
      <c r="W33" s="712">
        <f t="shared" si="14"/>
        <v>100</v>
      </c>
      <c r="X33" s="1537"/>
      <c r="Y33" s="3343"/>
      <c r="Z33" s="1538">
        <f t="shared" si="15"/>
        <v>111</v>
      </c>
      <c r="AA33" s="1535">
        <f t="shared" si="3"/>
        <v>1</v>
      </c>
      <c r="AB33" s="1535">
        <f t="shared" si="4"/>
        <v>1</v>
      </c>
      <c r="AC33" s="1535">
        <f t="shared" si="5"/>
        <v>1</v>
      </c>
    </row>
    <row r="34" spans="1:30" ht="15.75" thickBot="1">
      <c r="A34" s="434"/>
      <c r="B34" s="2077">
        <v>111</v>
      </c>
      <c r="C34" s="393"/>
      <c r="D34" s="394">
        <v>100</v>
      </c>
      <c r="E34" s="2157"/>
      <c r="F34" s="395">
        <f>SUMIF(95:95,E34,96:96)-SUMIF(95:95,C34,96:96)+100</f>
        <v>100</v>
      </c>
      <c r="G34" s="2157"/>
      <c r="H34" s="394">
        <f>SUMIF(95:95,G34,96:96)-SUMIF(95:95,C34,96:96)+100</f>
        <v>100</v>
      </c>
      <c r="I34" s="2157"/>
      <c r="J34" s="394">
        <f>SUMIF(95:95,I34,96:96)-SUMIF(95:95,C34,96:96)+100</f>
        <v>100</v>
      </c>
      <c r="K34" s="567"/>
      <c r="L34" s="2942"/>
      <c r="M34" s="2936"/>
      <c r="N34" s="2936"/>
      <c r="O34" s="2994"/>
      <c r="P34" s="3343"/>
      <c r="Q34" s="1534">
        <f t="shared" si="11"/>
        <v>111</v>
      </c>
      <c r="R34" s="711" t="s">
        <v>17</v>
      </c>
      <c r="S34" s="712">
        <f t="shared" si="12"/>
        <v>100</v>
      </c>
      <c r="T34" s="711" t="s">
        <v>17</v>
      </c>
      <c r="U34" s="712">
        <f t="shared" si="13"/>
        <v>100</v>
      </c>
      <c r="V34" s="711" t="s">
        <v>17</v>
      </c>
      <c r="W34" s="712">
        <f t="shared" si="14"/>
        <v>100</v>
      </c>
      <c r="X34" s="1537"/>
      <c r="Y34" s="3343"/>
      <c r="Z34" s="1538">
        <f t="shared" si="15"/>
        <v>111</v>
      </c>
      <c r="AA34" s="1535">
        <f t="shared" si="3"/>
        <v>1</v>
      </c>
      <c r="AB34" s="1535">
        <f t="shared" si="4"/>
        <v>1</v>
      </c>
      <c r="AC34" s="1535">
        <f t="shared" si="5"/>
        <v>1</v>
      </c>
    </row>
    <row r="35" spans="1:30" ht="15">
      <c r="A35" s="435" t="s">
        <v>2390</v>
      </c>
      <c r="B35" s="436"/>
      <c r="C35" s="1313" t="s">
        <v>1</v>
      </c>
      <c r="D35" s="1314"/>
      <c r="E35" s="1315"/>
      <c r="F35" s="1316"/>
      <c r="G35" s="1317"/>
      <c r="H35" s="1318"/>
      <c r="I35" s="1315"/>
      <c r="J35" s="1318"/>
      <c r="K35" s="720"/>
      <c r="L35" s="2944"/>
      <c r="M35" s="2945"/>
      <c r="N35" s="2936"/>
      <c r="O35" s="2945"/>
      <c r="P35" s="3336" t="str">
        <f>A35</f>
        <v>成交单价（元/平方米）</v>
      </c>
      <c r="Q35" s="3336"/>
      <c r="R35" s="3337">
        <f>E35</f>
        <v>0</v>
      </c>
      <c r="S35" s="3337"/>
      <c r="T35" s="3337">
        <f>G35</f>
        <v>0</v>
      </c>
      <c r="U35" s="3337"/>
      <c r="V35" s="3337">
        <f>I35</f>
        <v>0</v>
      </c>
      <c r="W35" s="3337"/>
      <c r="X35" s="696"/>
      <c r="Y35" s="718"/>
      <c r="Z35" s="696"/>
      <c r="AA35" s="696"/>
      <c r="AB35" s="696"/>
      <c r="AC35" s="696"/>
    </row>
    <row r="36" spans="1:30" ht="15.75" thickBot="1">
      <c r="A36" s="442" t="s">
        <v>2482</v>
      </c>
      <c r="B36" s="443"/>
      <c r="C36" s="1319" t="e">
        <f>R37</f>
        <v>#DIV/0!</v>
      </c>
      <c r="D36" s="2534" t="s">
        <v>2871</v>
      </c>
      <c r="E36" s="1320" t="e">
        <f>R36</f>
        <v>#DIV/0!</v>
      </c>
      <c r="F36" s="2535"/>
      <c r="G36" s="1319" t="e">
        <f>T36</f>
        <v>#DIV/0!</v>
      </c>
      <c r="H36" s="2535"/>
      <c r="I36" s="1320" t="e">
        <f>V36</f>
        <v>#DIV/0!</v>
      </c>
      <c r="J36" s="2535"/>
      <c r="K36" s="2537">
        <f>F36+H36+J36</f>
        <v>0</v>
      </c>
      <c r="L36" s="2944"/>
      <c r="M36" s="2945"/>
      <c r="N36" s="2936"/>
      <c r="O36" s="2945"/>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6"/>
      <c r="Y36" s="696"/>
      <c r="Z36" s="696"/>
      <c r="AA36" s="696"/>
      <c r="AB36" s="696"/>
      <c r="AC36" s="696"/>
    </row>
    <row r="37" spans="1:30" ht="15.75" thickBot="1">
      <c r="A37" s="446" t="s">
        <v>2483</v>
      </c>
      <c r="B37" s="447"/>
      <c r="C37" s="1322" t="e">
        <f>R37</f>
        <v>#DIV/0!</v>
      </c>
      <c r="D37" s="1322"/>
      <c r="E37" s="1322"/>
      <c r="F37" s="1322"/>
      <c r="G37" s="1322"/>
      <c r="H37" s="1322"/>
      <c r="I37" s="1322"/>
      <c r="J37" s="1322"/>
      <c r="K37" s="721"/>
      <c r="L37" s="2944"/>
      <c r="M37" s="2945"/>
      <c r="N37" s="2945"/>
      <c r="O37" s="2945"/>
      <c r="P37" s="3333" t="str">
        <f>A37</f>
        <v>估价对象XX用房的比较价值（楼面单价，元/平方米）</v>
      </c>
      <c r="Q37" s="3334"/>
      <c r="R37" s="3363" t="e">
        <f>IF(F1="售价",ROUND(IF(D36="简单平均",AVERAGE(R36:W36),R36*F36+T36*H36+V36*J36),0),ROUND(IF(D36="简单平均",AVERAGE(R36:V36),R36*F36+T36*H36+V36*J36),1))</f>
        <v>#DIV/0!</v>
      </c>
      <c r="S37" s="3363"/>
      <c r="T37" s="3363"/>
      <c r="U37" s="3363"/>
      <c r="V37" s="3363"/>
      <c r="W37" s="3363"/>
      <c r="X37" s="696"/>
      <c r="Y37" s="696"/>
      <c r="Z37" s="696"/>
      <c r="AA37" s="696"/>
      <c r="AB37" s="696"/>
      <c r="AC37" s="696"/>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1" t="s">
        <v>2484</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1" t="s">
        <v>2485</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6" customFormat="1" ht="13.5" customHeight="1">
      <c r="A42" s="2948"/>
      <c r="B42" s="2948"/>
      <c r="C42" s="451" t="s">
        <v>2486</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6"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0" t="s">
        <v>2487</v>
      </c>
      <c r="B45" s="696"/>
      <c r="C45" s="701"/>
      <c r="D45" s="701"/>
      <c r="E45" s="701"/>
      <c r="F45" s="702"/>
      <c r="G45" s="702"/>
      <c r="H45" s="701"/>
      <c r="I45" s="701"/>
      <c r="J45" s="701"/>
      <c r="K45" s="703"/>
      <c r="L45" s="704"/>
      <c r="M45" s="701"/>
      <c r="N45" s="2989"/>
      <c r="O45" s="2989"/>
      <c r="P45" s="2989"/>
      <c r="Q45" s="2959"/>
      <c r="R45" s="2945"/>
      <c r="S45" s="2945"/>
      <c r="T45" s="2945"/>
      <c r="U45" s="2945"/>
      <c r="V45" s="2945"/>
      <c r="W45" s="2945"/>
      <c r="X45" s="2945"/>
      <c r="Y45" s="2945"/>
      <c r="Z45" s="2945"/>
      <c r="AA45" s="2945"/>
      <c r="AB45" s="2945"/>
      <c r="AC45" s="2945"/>
      <c r="AD45" s="2945"/>
    </row>
    <row r="46" spans="1:30" s="462" customFormat="1" ht="15">
      <c r="A46" s="459" t="s">
        <v>2361</v>
      </c>
      <c r="B46" s="460"/>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2996"/>
      <c r="Q46" s="2961"/>
      <c r="R46" s="2961"/>
      <c r="S46" s="2961"/>
      <c r="T46" s="2961"/>
      <c r="U46" s="2961"/>
      <c r="V46" s="2961"/>
      <c r="W46" s="2961"/>
      <c r="X46" s="2961"/>
      <c r="Y46" s="2961"/>
      <c r="Z46" s="2961"/>
      <c r="AA46" s="2961"/>
      <c r="AB46" s="2961"/>
      <c r="AC46" s="2961"/>
      <c r="AD46" s="2961"/>
    </row>
    <row r="47" spans="1:30" s="112" customFormat="1" ht="15">
      <c r="A47" s="463"/>
      <c r="B47" s="464"/>
      <c r="C47" s="1342">
        <v>100</v>
      </c>
      <c r="D47" s="466"/>
      <c r="E47" s="466"/>
      <c r="F47" s="466"/>
      <c r="G47" s="466"/>
      <c r="H47" s="466"/>
      <c r="I47" s="466"/>
      <c r="J47" s="466"/>
      <c r="K47" s="466"/>
      <c r="L47" s="466"/>
      <c r="M47" s="467"/>
      <c r="N47" s="466"/>
      <c r="O47" s="468"/>
      <c r="P47" s="2959"/>
      <c r="Q47" s="2879"/>
      <c r="R47" s="2879"/>
      <c r="S47" s="2879"/>
      <c r="T47" s="2879"/>
      <c r="U47" s="2879"/>
      <c r="V47" s="2879"/>
      <c r="W47" s="2879"/>
      <c r="X47" s="2879"/>
      <c r="Y47" s="2879"/>
      <c r="Z47" s="2879"/>
      <c r="AA47" s="2879"/>
      <c r="AB47" s="2879"/>
      <c r="AC47" s="2879"/>
      <c r="AD47" s="2879"/>
    </row>
    <row r="48" spans="1:30" s="112" customFormat="1" ht="15.75" thickBot="1">
      <c r="A48" s="469" t="s">
        <v>2398</v>
      </c>
      <c r="B48" s="470"/>
      <c r="C48" s="471"/>
      <c r="D48" s="472"/>
      <c r="E48" s="472"/>
      <c r="F48" s="472"/>
      <c r="G48" s="472"/>
      <c r="H48" s="472"/>
      <c r="I48" s="472"/>
      <c r="J48" s="472"/>
      <c r="K48" s="472"/>
      <c r="L48" s="472"/>
      <c r="M48" s="473"/>
      <c r="N48" s="472"/>
      <c r="O48" s="474"/>
      <c r="P48" s="2959"/>
      <c r="Q48" s="2959"/>
      <c r="R48" s="2879"/>
      <c r="S48" s="2879"/>
      <c r="T48" s="2879"/>
      <c r="U48" s="2879"/>
      <c r="V48" s="2879"/>
      <c r="W48" s="2879"/>
      <c r="X48" s="2879"/>
      <c r="Y48" s="2879"/>
      <c r="Z48" s="2879"/>
      <c r="AA48" s="2879"/>
      <c r="AB48" s="2879"/>
      <c r="AC48" s="2879"/>
      <c r="AD48" s="2879"/>
    </row>
    <row r="49" spans="1:30" s="112" customFormat="1" ht="15">
      <c r="A49" s="475" t="s">
        <v>2363</v>
      </c>
      <c r="B49" s="464"/>
      <c r="C49" s="476" t="s">
        <v>2465</v>
      </c>
      <c r="D49" s="477"/>
      <c r="E49" s="477"/>
      <c r="F49" s="477"/>
      <c r="G49" s="477"/>
      <c r="H49" s="477"/>
      <c r="I49" s="477"/>
      <c r="J49" s="477"/>
      <c r="K49" s="477"/>
      <c r="L49" s="478"/>
      <c r="M49" s="479"/>
      <c r="N49" s="2972"/>
      <c r="O49" s="2972"/>
      <c r="P49" s="2997"/>
      <c r="Q49" s="2959"/>
      <c r="R49" s="2879"/>
      <c r="S49" s="2879"/>
      <c r="T49" s="2879"/>
      <c r="U49" s="2879"/>
      <c r="V49" s="2879"/>
      <c r="W49" s="2879"/>
      <c r="X49" s="2879"/>
      <c r="Y49" s="2879"/>
      <c r="Z49" s="2879"/>
      <c r="AA49" s="2879"/>
      <c r="AB49" s="2879"/>
      <c r="AC49" s="2879"/>
      <c r="AD49" s="2879"/>
    </row>
    <row r="50" spans="1:30" s="112" customFormat="1" ht="15.75" thickBot="1">
      <c r="A50" s="475"/>
      <c r="B50" s="464"/>
      <c r="C50" s="592">
        <v>100</v>
      </c>
      <c r="D50" s="466"/>
      <c r="E50" s="466"/>
      <c r="F50" s="466"/>
      <c r="G50" s="466"/>
      <c r="H50" s="466"/>
      <c r="I50" s="466"/>
      <c r="J50" s="466"/>
      <c r="K50" s="466"/>
      <c r="L50" s="466"/>
      <c r="M50" s="468"/>
      <c r="N50" s="2972"/>
      <c r="O50" s="2972"/>
      <c r="P50" s="2959"/>
      <c r="Q50" s="2959"/>
      <c r="R50" s="2879"/>
      <c r="S50" s="2879"/>
      <c r="T50" s="2879"/>
      <c r="U50" s="2879"/>
      <c r="V50" s="2879"/>
      <c r="W50" s="2879"/>
      <c r="X50" s="2879"/>
      <c r="Y50" s="2879"/>
      <c r="Z50" s="2879"/>
      <c r="AA50" s="2879"/>
      <c r="AB50" s="2879"/>
      <c r="AC50" s="2879"/>
      <c r="AD50" s="2879"/>
    </row>
    <row r="51" spans="1:30">
      <c r="A51" s="481" t="s">
        <v>2401</v>
      </c>
      <c r="B51" s="482" t="s">
        <v>2367</v>
      </c>
      <c r="C51" s="483">
        <f>C9</f>
        <v>0</v>
      </c>
      <c r="D51" s="484"/>
      <c r="E51" s="484"/>
      <c r="F51" s="484"/>
      <c r="G51" s="484"/>
      <c r="H51" s="484"/>
      <c r="I51" s="484"/>
      <c r="J51" s="484"/>
      <c r="K51" s="485"/>
      <c r="L51" s="486"/>
      <c r="M51" s="487"/>
      <c r="N51" s="2973"/>
      <c r="O51" s="2973"/>
      <c r="P51" s="2998"/>
      <c r="Q51" s="2959"/>
      <c r="R51" s="2945"/>
      <c r="S51" s="2945"/>
      <c r="T51" s="2945"/>
      <c r="U51" s="2945"/>
      <c r="V51" s="2945"/>
      <c r="W51" s="2945"/>
      <c r="X51" s="2945"/>
      <c r="Y51" s="2945"/>
      <c r="Z51" s="2945"/>
      <c r="AA51" s="2945"/>
      <c r="AB51" s="2945"/>
      <c r="AC51" s="2945"/>
      <c r="AD51" s="2945"/>
    </row>
    <row r="52" spans="1:30" ht="15.75" thickBot="1">
      <c r="A52" s="488"/>
      <c r="B52" s="489"/>
      <c r="C52" s="490">
        <v>100</v>
      </c>
      <c r="D52" s="490"/>
      <c r="E52" s="490"/>
      <c r="F52" s="490"/>
      <c r="G52" s="490"/>
      <c r="H52" s="490"/>
      <c r="I52" s="490"/>
      <c r="J52" s="490"/>
      <c r="K52" s="490"/>
      <c r="L52" s="490"/>
      <c r="M52" s="491"/>
      <c r="N52" s="2974"/>
      <c r="O52" s="2974"/>
      <c r="P52" s="2998"/>
      <c r="Q52" s="2959"/>
      <c r="R52" s="2945"/>
      <c r="S52" s="2945"/>
      <c r="T52" s="2945"/>
      <c r="U52" s="2945"/>
      <c r="V52" s="2945"/>
      <c r="W52" s="2945"/>
      <c r="X52" s="2945"/>
      <c r="Y52" s="2945"/>
      <c r="Z52" s="2945"/>
      <c r="AA52" s="2945"/>
      <c r="AB52" s="2945"/>
      <c r="AC52" s="2945"/>
      <c r="AD52" s="2945"/>
    </row>
    <row r="53" spans="1:30" ht="27.75" thickTop="1">
      <c r="A53" s="488"/>
      <c r="B53" s="492" t="s">
        <v>2370</v>
      </c>
      <c r="C53" s="493" t="s">
        <v>2402</v>
      </c>
      <c r="D53" s="493" t="s">
        <v>2403</v>
      </c>
      <c r="E53" s="493" t="s">
        <v>2404</v>
      </c>
      <c r="F53" s="493" t="s">
        <v>2405</v>
      </c>
      <c r="G53" s="493" t="s">
        <v>2406</v>
      </c>
      <c r="H53" s="493" t="s">
        <v>2407</v>
      </c>
      <c r="I53" s="493" t="s">
        <v>2408</v>
      </c>
      <c r="J53" s="493"/>
      <c r="K53" s="494"/>
      <c r="L53" s="495"/>
      <c r="M53" s="496"/>
      <c r="N53" s="2973"/>
      <c r="O53" s="2973"/>
      <c r="P53" s="2998"/>
      <c r="Q53" s="2959"/>
      <c r="R53" s="2945"/>
      <c r="S53" s="2945"/>
      <c r="T53" s="2945"/>
      <c r="U53" s="2945"/>
      <c r="V53" s="2945"/>
      <c r="W53" s="2945"/>
      <c r="X53" s="2945"/>
      <c r="Y53" s="2945"/>
      <c r="Z53" s="2945"/>
      <c r="AA53" s="2945"/>
      <c r="AB53" s="2945"/>
      <c r="AC53" s="2945"/>
      <c r="AD53" s="2945"/>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74"/>
      <c r="O54" s="2974"/>
      <c r="P54" s="2998"/>
      <c r="Q54" s="2959"/>
      <c r="R54" s="2945"/>
      <c r="S54" s="2945"/>
      <c r="T54" s="2945"/>
      <c r="U54" s="2945"/>
      <c r="V54" s="2945"/>
      <c r="W54" s="2945"/>
      <c r="X54" s="2945"/>
      <c r="Y54" s="2945"/>
      <c r="Z54" s="2945"/>
      <c r="AA54" s="2945"/>
      <c r="AB54" s="2945"/>
      <c r="AC54" s="2945"/>
      <c r="AD54" s="2945"/>
    </row>
    <row r="55" spans="1:30" ht="15.75" thickTop="1">
      <c r="A55" s="488"/>
      <c r="B55" s="613">
        <f>B11</f>
        <v>111</v>
      </c>
      <c r="C55" s="503"/>
      <c r="D55" s="503"/>
      <c r="E55" s="503"/>
      <c r="F55" s="503"/>
      <c r="G55" s="503"/>
      <c r="H55" s="503"/>
      <c r="I55" s="503"/>
      <c r="J55" s="503"/>
      <c r="K55" s="504"/>
      <c r="L55" s="505"/>
      <c r="M55" s="506"/>
      <c r="N55" s="2973"/>
      <c r="O55" s="2973"/>
      <c r="P55" s="2998"/>
      <c r="Q55" s="2959"/>
      <c r="R55" s="2945"/>
      <c r="S55" s="2945"/>
      <c r="T55" s="2945"/>
      <c r="U55" s="2945"/>
      <c r="V55" s="2945"/>
      <c r="W55" s="2945"/>
      <c r="X55" s="2945"/>
      <c r="Y55" s="2945"/>
      <c r="Z55" s="2945"/>
      <c r="AA55" s="2945"/>
      <c r="AB55" s="2945"/>
      <c r="AC55" s="2945"/>
      <c r="AD55" s="2945"/>
    </row>
    <row r="56" spans="1:30" ht="15.75" thickBot="1">
      <c r="A56" s="488"/>
      <c r="B56" s="489"/>
      <c r="C56" s="514"/>
      <c r="D56" s="490"/>
      <c r="E56" s="490"/>
      <c r="F56" s="490"/>
      <c r="G56" s="490"/>
      <c r="H56" s="490"/>
      <c r="I56" s="490"/>
      <c r="J56" s="490"/>
      <c r="K56" s="490"/>
      <c r="L56" s="490"/>
      <c r="M56" s="491"/>
      <c r="N56" s="2974"/>
      <c r="O56" s="2974"/>
      <c r="P56" s="2998"/>
      <c r="Q56" s="2959"/>
      <c r="R56" s="2945"/>
      <c r="S56" s="2945"/>
      <c r="T56" s="2945"/>
      <c r="U56" s="2945"/>
      <c r="V56" s="2945"/>
      <c r="W56" s="2945"/>
      <c r="X56" s="2945"/>
      <c r="Y56" s="2945"/>
      <c r="Z56" s="2945"/>
      <c r="AA56" s="2945"/>
      <c r="AB56" s="2945"/>
      <c r="AC56" s="2945"/>
      <c r="AD56" s="2945"/>
    </row>
    <row r="57" spans="1:30" s="427" customFormat="1" ht="15.75" thickTop="1">
      <c r="A57" s="507"/>
      <c r="B57" s="492">
        <f>B12</f>
        <v>111</v>
      </c>
      <c r="C57" s="503"/>
      <c r="D57" s="503"/>
      <c r="E57" s="503"/>
      <c r="F57" s="503"/>
      <c r="G57" s="508"/>
      <c r="H57" s="509"/>
      <c r="I57" s="509"/>
      <c r="J57" s="509"/>
      <c r="K57" s="509"/>
      <c r="L57" s="510"/>
      <c r="M57" s="511"/>
      <c r="N57" s="2975"/>
      <c r="O57" s="2975"/>
      <c r="P57" s="2999"/>
      <c r="Q57" s="2966"/>
      <c r="R57" s="2967"/>
      <c r="S57" s="2967"/>
      <c r="T57" s="2967"/>
      <c r="U57" s="2967"/>
      <c r="V57" s="2967"/>
      <c r="W57" s="2967"/>
      <c r="X57" s="2967"/>
      <c r="Y57" s="2967"/>
      <c r="Z57" s="2967"/>
      <c r="AA57" s="2967"/>
      <c r="AB57" s="2967"/>
      <c r="AC57" s="2967"/>
      <c r="AD57" s="2967"/>
    </row>
    <row r="58" spans="1:30" s="427" customFormat="1" ht="15.75" thickBot="1">
      <c r="A58" s="507"/>
      <c r="B58" s="497"/>
      <c r="C58" s="514"/>
      <c r="D58" s="490"/>
      <c r="E58" s="490"/>
      <c r="F58" s="490"/>
      <c r="G58" s="490"/>
      <c r="H58" s="490"/>
      <c r="I58" s="490"/>
      <c r="J58" s="490"/>
      <c r="K58" s="490"/>
      <c r="L58" s="490"/>
      <c r="M58" s="491"/>
      <c r="N58" s="2974"/>
      <c r="O58" s="2974"/>
      <c r="P58" s="2999"/>
      <c r="Q58" s="2966"/>
      <c r="R58" s="2967"/>
      <c r="S58" s="2967"/>
      <c r="T58" s="2967"/>
      <c r="U58" s="2967"/>
      <c r="V58" s="2967"/>
      <c r="W58" s="2967"/>
      <c r="X58" s="2967"/>
      <c r="Y58" s="2967"/>
      <c r="Z58" s="2967"/>
      <c r="AA58" s="2967"/>
      <c r="AB58" s="2967"/>
      <c r="AC58" s="2967"/>
      <c r="AD58" s="2967"/>
    </row>
    <row r="59" spans="1:30" s="427" customFormat="1" ht="15.75" thickTop="1">
      <c r="A59" s="507"/>
      <c r="B59" s="492">
        <f>B13</f>
        <v>111</v>
      </c>
      <c r="C59" s="503"/>
      <c r="D59" s="503"/>
      <c r="E59" s="503"/>
      <c r="F59" s="503"/>
      <c r="G59" s="508"/>
      <c r="H59" s="509"/>
      <c r="I59" s="509"/>
      <c r="J59" s="509"/>
      <c r="K59" s="509"/>
      <c r="L59" s="510"/>
      <c r="M59" s="511"/>
      <c r="N59" s="2975"/>
      <c r="O59" s="2975"/>
      <c r="P59" s="2943"/>
      <c r="Q59" s="2969"/>
      <c r="R59" s="2967"/>
      <c r="S59" s="2967"/>
      <c r="T59" s="2967"/>
      <c r="U59" s="2967"/>
      <c r="V59" s="2967"/>
      <c r="W59" s="2967"/>
      <c r="X59" s="2967"/>
      <c r="Y59" s="2967"/>
      <c r="Z59" s="2967"/>
      <c r="AA59" s="2967"/>
      <c r="AB59" s="2967"/>
      <c r="AC59" s="2967"/>
      <c r="AD59" s="2967"/>
    </row>
    <row r="60" spans="1:30" s="427" customFormat="1" ht="15.75" thickBot="1">
      <c r="A60" s="507"/>
      <c r="B60" s="497"/>
      <c r="C60" s="514"/>
      <c r="D60" s="514"/>
      <c r="E60" s="514"/>
      <c r="F60" s="514"/>
      <c r="G60" s="514"/>
      <c r="H60" s="516"/>
      <c r="I60" s="516"/>
      <c r="J60" s="516"/>
      <c r="K60" s="516"/>
      <c r="L60" s="516"/>
      <c r="M60" s="517"/>
      <c r="N60" s="2975"/>
      <c r="O60" s="2975"/>
      <c r="P60" s="2999"/>
      <c r="Q60" s="2966"/>
      <c r="R60" s="2967"/>
      <c r="S60" s="2967"/>
      <c r="T60" s="2967"/>
      <c r="U60" s="2967"/>
      <c r="V60" s="2967"/>
      <c r="W60" s="2967"/>
      <c r="X60" s="2967"/>
      <c r="Y60" s="2967"/>
      <c r="Z60" s="2967"/>
      <c r="AA60" s="2967"/>
      <c r="AB60" s="2967"/>
      <c r="AC60" s="2967"/>
      <c r="AD60" s="2967"/>
    </row>
    <row r="61" spans="1:30" ht="15" thickTop="1">
      <c r="A61" s="481" t="s">
        <v>2372</v>
      </c>
      <c r="B61" s="482" t="s">
        <v>2415</v>
      </c>
      <c r="C61" s="527" t="s">
        <v>2410</v>
      </c>
      <c r="D61" s="527" t="s">
        <v>2411</v>
      </c>
      <c r="E61" s="527" t="s">
        <v>2412</v>
      </c>
      <c r="F61" s="527" t="s">
        <v>2413</v>
      </c>
      <c r="G61" s="527" t="s">
        <v>2414</v>
      </c>
      <c r="H61" s="483"/>
      <c r="I61" s="483"/>
      <c r="J61" s="483"/>
      <c r="K61" s="528"/>
      <c r="L61" s="529"/>
      <c r="M61" s="530"/>
      <c r="N61" s="2973"/>
      <c r="O61" s="2973"/>
      <c r="P61" s="3000"/>
      <c r="Q61" s="2959"/>
      <c r="R61" s="2945"/>
      <c r="S61" s="2945"/>
      <c r="T61" s="2945"/>
      <c r="U61" s="2945"/>
      <c r="V61" s="2945"/>
      <c r="W61" s="2945"/>
      <c r="X61" s="2945"/>
      <c r="Y61" s="2945"/>
      <c r="Z61" s="2945"/>
      <c r="AA61" s="2945"/>
      <c r="AB61" s="2945"/>
      <c r="AC61" s="2945"/>
      <c r="AD61" s="2945"/>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74"/>
      <c r="O62" s="2974"/>
      <c r="P62" s="2998"/>
      <c r="Q62" s="2959"/>
      <c r="R62" s="2945"/>
      <c r="S62" s="2945"/>
      <c r="T62" s="2945"/>
      <c r="U62" s="2945"/>
      <c r="V62" s="2945"/>
      <c r="W62" s="2945"/>
      <c r="X62" s="2945"/>
      <c r="Y62" s="2945"/>
      <c r="Z62" s="2945"/>
      <c r="AA62" s="2945"/>
      <c r="AB62" s="2945"/>
      <c r="AC62" s="2945"/>
      <c r="AD62" s="2945"/>
    </row>
    <row r="63" spans="1:30" ht="27.75" thickTop="1">
      <c r="A63" s="488"/>
      <c r="B63" s="492" t="s">
        <v>2553</v>
      </c>
      <c r="C63" s="532" t="s">
        <v>2410</v>
      </c>
      <c r="D63" s="532" t="s">
        <v>2411</v>
      </c>
      <c r="E63" s="532" t="s">
        <v>2412</v>
      </c>
      <c r="F63" s="532" t="s">
        <v>2413</v>
      </c>
      <c r="G63" s="532" t="s">
        <v>2414</v>
      </c>
      <c r="H63" s="493"/>
      <c r="I63" s="493"/>
      <c r="J63" s="493"/>
      <c r="K63" s="494"/>
      <c r="L63" s="495"/>
      <c r="M63" s="496"/>
      <c r="N63" s="2973"/>
      <c r="O63" s="2973"/>
      <c r="P63" s="2998"/>
      <c r="Q63" s="2959"/>
      <c r="R63" s="2945"/>
      <c r="S63" s="2945"/>
      <c r="T63" s="2945"/>
      <c r="U63" s="2945"/>
      <c r="V63" s="2945"/>
      <c r="W63" s="2945"/>
      <c r="X63" s="2945"/>
      <c r="Y63" s="2945"/>
      <c r="Z63" s="2945"/>
      <c r="AA63" s="2945"/>
      <c r="AB63" s="2945"/>
      <c r="AC63" s="2945"/>
      <c r="AD63" s="2945"/>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74"/>
      <c r="O64" s="2974"/>
      <c r="P64" s="2998"/>
      <c r="Q64" s="2959"/>
      <c r="R64" s="2945"/>
      <c r="S64" s="2945"/>
      <c r="T64" s="2945"/>
      <c r="U64" s="2945"/>
      <c r="V64" s="2945"/>
      <c r="W64" s="2945"/>
      <c r="X64" s="2945"/>
      <c r="Y64" s="2945"/>
      <c r="Z64" s="2945"/>
      <c r="AA64" s="2945"/>
      <c r="AB64" s="2945"/>
      <c r="AC64" s="2945"/>
      <c r="AD64" s="2945"/>
    </row>
    <row r="65" spans="1:30" ht="15.75" thickTop="1">
      <c r="A65" s="488"/>
      <c r="B65" s="500" t="s">
        <v>2502</v>
      </c>
      <c r="C65" s="613" t="s">
        <v>2488</v>
      </c>
      <c r="D65" s="613" t="s">
        <v>2489</v>
      </c>
      <c r="E65" s="613" t="s">
        <v>2490</v>
      </c>
      <c r="F65" s="613" t="s">
        <v>2491</v>
      </c>
      <c r="G65" s="613" t="s">
        <v>2492</v>
      </c>
      <c r="H65" s="493"/>
      <c r="I65" s="493"/>
      <c r="J65" s="493"/>
      <c r="K65" s="493"/>
      <c r="L65" s="493"/>
      <c r="M65" s="1288"/>
      <c r="N65" s="2974"/>
      <c r="O65" s="2974"/>
      <c r="P65" s="2998"/>
      <c r="Q65" s="2959"/>
      <c r="R65" s="2945"/>
      <c r="S65" s="2945"/>
      <c r="T65" s="2945"/>
      <c r="U65" s="2945"/>
      <c r="V65" s="2945"/>
      <c r="W65" s="2945"/>
      <c r="X65" s="2945"/>
      <c r="Y65" s="2945"/>
      <c r="Z65" s="2945"/>
      <c r="AA65" s="2945"/>
      <c r="AB65" s="2945"/>
      <c r="AC65" s="2945"/>
      <c r="AD65" s="2945"/>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74"/>
      <c r="O66" s="2974"/>
      <c r="P66" s="2998"/>
      <c r="Q66" s="2959"/>
      <c r="R66" s="2945"/>
      <c r="S66" s="2945"/>
      <c r="T66" s="2945"/>
      <c r="U66" s="2945"/>
      <c r="V66" s="2945"/>
      <c r="W66" s="2945"/>
      <c r="X66" s="2945"/>
      <c r="Y66" s="2945"/>
      <c r="Z66" s="2945"/>
      <c r="AA66" s="2945"/>
      <c r="AB66" s="2945"/>
      <c r="AC66" s="2945"/>
      <c r="AD66" s="2945"/>
    </row>
    <row r="67" spans="1:30" ht="15.75" thickTop="1">
      <c r="A67" s="488"/>
      <c r="B67" s="492" t="s">
        <v>2422</v>
      </c>
      <c r="C67" s="532" t="s">
        <v>2410</v>
      </c>
      <c r="D67" s="532" t="s">
        <v>2411</v>
      </c>
      <c r="E67" s="532" t="s">
        <v>2412</v>
      </c>
      <c r="F67" s="532" t="s">
        <v>2413</v>
      </c>
      <c r="G67" s="532" t="s">
        <v>2414</v>
      </c>
      <c r="H67" s="493"/>
      <c r="I67" s="493"/>
      <c r="J67" s="493"/>
      <c r="K67" s="494"/>
      <c r="L67" s="495"/>
      <c r="M67" s="496"/>
      <c r="N67" s="2973"/>
      <c r="O67" s="2973"/>
      <c r="P67" s="2998"/>
      <c r="Q67" s="2959"/>
      <c r="R67" s="2945"/>
      <c r="S67" s="2945"/>
      <c r="T67" s="2945"/>
      <c r="U67" s="2945"/>
      <c r="V67" s="2945"/>
      <c r="W67" s="2945"/>
      <c r="X67" s="2945"/>
      <c r="Y67" s="2945"/>
      <c r="Z67" s="2945"/>
      <c r="AA67" s="2945"/>
      <c r="AB67" s="2945"/>
      <c r="AC67" s="2945"/>
      <c r="AD67" s="2945"/>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74"/>
      <c r="O68" s="2974"/>
      <c r="P68" s="2998"/>
      <c r="Q68" s="2959"/>
      <c r="R68" s="2945"/>
      <c r="S68" s="2945"/>
      <c r="T68" s="2945"/>
      <c r="U68" s="2945"/>
      <c r="V68" s="2945"/>
      <c r="W68" s="2945"/>
      <c r="X68" s="2945"/>
      <c r="Y68" s="2945"/>
      <c r="Z68" s="2945"/>
      <c r="AA68" s="2945"/>
      <c r="AB68" s="2945"/>
      <c r="AC68" s="2945"/>
      <c r="AD68" s="2945"/>
    </row>
    <row r="69" spans="1:30" ht="15.75" thickTop="1">
      <c r="A69" s="488"/>
      <c r="B69" s="492" t="s">
        <v>2542</v>
      </c>
      <c r="C69" s="508"/>
      <c r="D69" s="508"/>
      <c r="E69" s="508"/>
      <c r="F69" s="508"/>
      <c r="G69" s="508"/>
      <c r="H69" s="537"/>
      <c r="I69" s="537"/>
      <c r="J69" s="537"/>
      <c r="K69" s="538"/>
      <c r="L69" s="539"/>
      <c r="M69" s="540"/>
      <c r="N69" s="2973"/>
      <c r="O69" s="2973"/>
      <c r="P69" s="2998"/>
      <c r="Q69" s="2959"/>
      <c r="R69" s="2945"/>
      <c r="S69" s="2945"/>
      <c r="T69" s="2945"/>
      <c r="U69" s="2945"/>
      <c r="V69" s="2945"/>
      <c r="W69" s="2945"/>
      <c r="X69" s="2945"/>
      <c r="Y69" s="2945"/>
      <c r="Z69" s="2945"/>
      <c r="AA69" s="2945"/>
      <c r="AB69" s="2945"/>
      <c r="AC69" s="2945"/>
      <c r="AD69" s="2945"/>
    </row>
    <row r="70" spans="1:30" ht="15.75" thickBot="1">
      <c r="A70" s="488"/>
      <c r="B70" s="497"/>
      <c r="C70" s="498">
        <v>100</v>
      </c>
      <c r="D70" s="498">
        <f>C70-$K22</f>
        <v>100</v>
      </c>
      <c r="E70" s="498"/>
      <c r="F70" s="498"/>
      <c r="G70" s="498"/>
      <c r="H70" s="498"/>
      <c r="I70" s="498"/>
      <c r="J70" s="498"/>
      <c r="K70" s="498"/>
      <c r="L70" s="498"/>
      <c r="M70" s="499"/>
      <c r="N70" s="2974"/>
      <c r="O70" s="2974"/>
      <c r="P70" s="2998"/>
      <c r="Q70" s="2959"/>
      <c r="R70" s="2945"/>
      <c r="S70" s="2945"/>
      <c r="T70" s="2945"/>
      <c r="U70" s="2945"/>
      <c r="V70" s="2945"/>
      <c r="W70" s="2945"/>
      <c r="X70" s="2945"/>
      <c r="Y70" s="2945"/>
      <c r="Z70" s="2945"/>
      <c r="AA70" s="2945"/>
      <c r="AB70" s="2945"/>
      <c r="AC70" s="2945"/>
      <c r="AD70" s="2945"/>
    </row>
    <row r="71" spans="1:30" s="112" customFormat="1" ht="15.75" thickTop="1">
      <c r="A71" s="533"/>
      <c r="B71" s="492">
        <f>B23</f>
        <v>111</v>
      </c>
      <c r="C71" s="503"/>
      <c r="D71" s="503"/>
      <c r="E71" s="503"/>
      <c r="F71" s="503"/>
      <c r="G71" s="508"/>
      <c r="H71" s="508"/>
      <c r="I71" s="508"/>
      <c r="J71" s="508"/>
      <c r="K71" s="508"/>
      <c r="L71" s="534"/>
      <c r="M71" s="535"/>
      <c r="N71" s="2972"/>
      <c r="O71" s="2972"/>
      <c r="P71" s="2998"/>
      <c r="Q71" s="2959"/>
      <c r="R71" s="2879"/>
      <c r="S71" s="2879"/>
      <c r="T71" s="2879"/>
      <c r="U71" s="2879"/>
      <c r="V71" s="2879"/>
      <c r="W71" s="2879"/>
      <c r="X71" s="2879"/>
      <c r="Y71" s="2879"/>
      <c r="Z71" s="2879"/>
      <c r="AA71" s="2879"/>
      <c r="AB71" s="2879"/>
      <c r="AC71" s="2879"/>
      <c r="AD71" s="2879"/>
    </row>
    <row r="72" spans="1:30" s="112" customFormat="1" ht="15.75" thickBot="1">
      <c r="A72" s="533"/>
      <c r="B72" s="497"/>
      <c r="C72" s="514"/>
      <c r="D72" s="490"/>
      <c r="E72" s="490"/>
      <c r="F72" s="490"/>
      <c r="G72" s="490"/>
      <c r="H72" s="490"/>
      <c r="I72" s="490"/>
      <c r="J72" s="490"/>
      <c r="K72" s="490"/>
      <c r="L72" s="490"/>
      <c r="M72" s="491"/>
      <c r="N72" s="2974"/>
      <c r="O72" s="2974"/>
      <c r="P72" s="2998"/>
      <c r="Q72" s="2959"/>
      <c r="R72" s="2879"/>
      <c r="S72" s="2879"/>
      <c r="T72" s="2879"/>
      <c r="U72" s="2879"/>
      <c r="V72" s="2879"/>
      <c r="W72" s="2879"/>
      <c r="X72" s="2879"/>
      <c r="Y72" s="2879"/>
      <c r="Z72" s="2879"/>
      <c r="AA72" s="2879"/>
      <c r="AB72" s="2879"/>
      <c r="AC72" s="2879"/>
      <c r="AD72" s="2879"/>
    </row>
    <row r="73" spans="1:30" s="112" customFormat="1" ht="15.75" thickTop="1">
      <c r="A73" s="533"/>
      <c r="B73" s="492">
        <f>B24</f>
        <v>111</v>
      </c>
      <c r="C73" s="503"/>
      <c r="D73" s="503"/>
      <c r="E73" s="503"/>
      <c r="F73" s="503"/>
      <c r="G73" s="508"/>
      <c r="H73" s="508"/>
      <c r="I73" s="508"/>
      <c r="J73" s="508"/>
      <c r="K73" s="508"/>
      <c r="L73" s="508"/>
      <c r="M73" s="535"/>
      <c r="N73" s="2972"/>
      <c r="O73" s="2972"/>
      <c r="P73" s="2998"/>
      <c r="Q73" s="2959"/>
      <c r="R73" s="2879"/>
      <c r="S73" s="2879"/>
      <c r="T73" s="2879"/>
      <c r="U73" s="2879"/>
      <c r="V73" s="2879"/>
      <c r="W73" s="2879"/>
      <c r="X73" s="2879"/>
      <c r="Y73" s="2879"/>
      <c r="Z73" s="2879"/>
      <c r="AA73" s="2879"/>
      <c r="AB73" s="2879"/>
      <c r="AC73" s="2879"/>
      <c r="AD73" s="2879"/>
    </row>
    <row r="74" spans="1:30" s="112" customFormat="1" ht="15.75" thickBot="1">
      <c r="A74" s="533"/>
      <c r="B74" s="497"/>
      <c r="C74" s="514"/>
      <c r="D74" s="490"/>
      <c r="E74" s="490"/>
      <c r="F74" s="490"/>
      <c r="G74" s="490"/>
      <c r="H74" s="490"/>
      <c r="I74" s="490"/>
      <c r="J74" s="490"/>
      <c r="K74" s="490"/>
      <c r="L74" s="490"/>
      <c r="M74" s="491"/>
      <c r="N74" s="2974"/>
      <c r="O74" s="2974"/>
      <c r="P74" s="2998"/>
      <c r="Q74" s="2959"/>
      <c r="R74" s="2879"/>
      <c r="S74" s="2879"/>
      <c r="T74" s="2879"/>
      <c r="U74" s="2879"/>
      <c r="V74" s="2879"/>
      <c r="W74" s="2879"/>
      <c r="X74" s="2879"/>
      <c r="Y74" s="2879"/>
      <c r="Z74" s="2879"/>
      <c r="AA74" s="2879"/>
      <c r="AB74" s="2879"/>
      <c r="AC74" s="2879"/>
      <c r="AD74" s="2879"/>
    </row>
    <row r="75" spans="1:30" s="427" customFormat="1" ht="15.75" thickTop="1">
      <c r="A75" s="507"/>
      <c r="B75" s="492">
        <f>B25</f>
        <v>111</v>
      </c>
      <c r="C75" s="503"/>
      <c r="D75" s="503"/>
      <c r="E75" s="503"/>
      <c r="F75" s="503"/>
      <c r="G75" s="508"/>
      <c r="H75" s="509"/>
      <c r="I75" s="509"/>
      <c r="J75" s="509"/>
      <c r="K75" s="509"/>
      <c r="L75" s="510"/>
      <c r="M75" s="511"/>
      <c r="N75" s="2975"/>
      <c r="O75" s="2975"/>
      <c r="P75" s="2999"/>
      <c r="Q75" s="2966"/>
      <c r="R75" s="2967"/>
      <c r="S75" s="2967"/>
      <c r="T75" s="2967"/>
      <c r="U75" s="2967"/>
      <c r="V75" s="2967"/>
      <c r="W75" s="2967"/>
      <c r="X75" s="2967"/>
      <c r="Y75" s="2967"/>
      <c r="Z75" s="2967"/>
      <c r="AA75" s="2967"/>
      <c r="AB75" s="2967"/>
      <c r="AC75" s="2967"/>
      <c r="AD75" s="2967"/>
    </row>
    <row r="76" spans="1:30" s="427" customFormat="1" ht="15.75" thickBot="1">
      <c r="A76" s="507"/>
      <c r="B76" s="497"/>
      <c r="C76" s="514"/>
      <c r="D76" s="514"/>
      <c r="E76" s="514"/>
      <c r="F76" s="514"/>
      <c r="G76" s="490"/>
      <c r="H76" s="490"/>
      <c r="I76" s="490"/>
      <c r="J76" s="490"/>
      <c r="K76" s="490"/>
      <c r="L76" s="490"/>
      <c r="M76" s="491"/>
      <c r="N76" s="2975"/>
      <c r="O76" s="2975"/>
      <c r="P76" s="2999"/>
      <c r="Q76" s="2966"/>
      <c r="R76" s="2967"/>
      <c r="S76" s="2967"/>
      <c r="T76" s="2967"/>
      <c r="U76" s="2967"/>
      <c r="V76" s="2967"/>
      <c r="W76" s="2967"/>
      <c r="X76" s="2967"/>
      <c r="Y76" s="2967"/>
      <c r="Z76" s="2967"/>
      <c r="AA76" s="2967"/>
      <c r="AB76" s="2967"/>
      <c r="AC76" s="2967"/>
      <c r="AD76" s="2967"/>
    </row>
    <row r="77" spans="1:30" ht="15" thickTop="1">
      <c r="A77" s="481" t="s">
        <v>2376</v>
      </c>
      <c r="B77" s="482" t="s">
        <v>2429</v>
      </c>
      <c r="C77" s="508"/>
      <c r="D77" s="508"/>
      <c r="E77" s="484"/>
      <c r="F77" s="484"/>
      <c r="G77" s="484"/>
      <c r="H77" s="484"/>
      <c r="I77" s="484"/>
      <c r="J77" s="484"/>
      <c r="K77" s="485"/>
      <c r="L77" s="486"/>
      <c r="M77" s="487"/>
      <c r="N77" s="2973"/>
      <c r="O77" s="2973"/>
      <c r="P77" s="2998"/>
      <c r="Q77" s="2959"/>
      <c r="R77" s="2945"/>
      <c r="S77" s="2945"/>
      <c r="T77" s="2945"/>
      <c r="U77" s="2945"/>
      <c r="V77" s="2945"/>
      <c r="W77" s="2945"/>
      <c r="X77" s="2945"/>
      <c r="Y77" s="2945"/>
      <c r="Z77" s="2945"/>
      <c r="AA77" s="2945"/>
      <c r="AB77" s="2945"/>
      <c r="AC77" s="2945"/>
      <c r="AD77" s="2945"/>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88"/>
      <c r="B79" s="492" t="s">
        <v>2545</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2"/>
      <c r="O79" s="2972"/>
      <c r="P79" s="2998"/>
      <c r="Q79" s="2959"/>
      <c r="R79" s="2945"/>
      <c r="S79" s="2945"/>
      <c r="T79" s="2945"/>
      <c r="U79" s="2945"/>
      <c r="V79" s="2945"/>
      <c r="W79" s="2945"/>
      <c r="X79" s="2945"/>
      <c r="Y79" s="2945"/>
      <c r="Z79" s="2945"/>
      <c r="AA79" s="2945"/>
      <c r="AB79" s="2945"/>
      <c r="AC79" s="2945"/>
      <c r="AD79" s="2945"/>
    </row>
    <row r="80" spans="1:30" ht="15">
      <c r="A80" s="488"/>
      <c r="B80" s="500"/>
      <c r="C80" s="557">
        <v>0.5</v>
      </c>
      <c r="D80" s="557">
        <v>0.6</v>
      </c>
      <c r="E80" s="557">
        <v>0.7</v>
      </c>
      <c r="F80" s="557">
        <v>0.8</v>
      </c>
      <c r="G80" s="557">
        <v>0.9</v>
      </c>
      <c r="H80" s="557">
        <v>1.0001</v>
      </c>
      <c r="I80" s="613"/>
      <c r="J80" s="613"/>
      <c r="K80" s="621"/>
      <c r="L80" s="622"/>
      <c r="M80" s="623"/>
      <c r="N80" s="2972"/>
      <c r="O80" s="2972"/>
      <c r="P80" s="2998"/>
      <c r="Q80" s="2959"/>
      <c r="R80" s="2945"/>
      <c r="S80" s="2945"/>
      <c r="T80" s="2945"/>
      <c r="U80" s="2945"/>
      <c r="V80" s="2945"/>
      <c r="W80" s="2945"/>
      <c r="X80" s="2945"/>
      <c r="Y80" s="2945"/>
      <c r="Z80" s="2945"/>
      <c r="AA80" s="2945"/>
      <c r="AB80" s="2945"/>
      <c r="AC80" s="2945"/>
      <c r="AD80" s="2945"/>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3"/>
      <c r="B82" s="500" t="s">
        <v>2546</v>
      </c>
      <c r="C82" s="508"/>
      <c r="D82" s="508"/>
      <c r="E82" s="537"/>
      <c r="F82" s="537"/>
      <c r="G82" s="537"/>
      <c r="H82" s="537"/>
      <c r="I82" s="537"/>
      <c r="J82" s="537"/>
      <c r="K82" s="538"/>
      <c r="L82" s="539"/>
      <c r="M82" s="540"/>
      <c r="N82" s="2973"/>
      <c r="O82" s="2973"/>
      <c r="P82" s="2998"/>
      <c r="Q82" s="2959"/>
      <c r="R82" s="2945"/>
      <c r="S82" s="2945"/>
      <c r="T82" s="2945"/>
      <c r="U82" s="2945"/>
      <c r="V82" s="2945"/>
      <c r="W82" s="2945"/>
      <c r="X82" s="2945"/>
      <c r="Y82" s="2945"/>
      <c r="Z82" s="2945"/>
      <c r="AA82" s="2945"/>
      <c r="AB82" s="2945"/>
      <c r="AC82" s="2945"/>
      <c r="AD82" s="2945"/>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3"/>
      <c r="B84" s="492" t="s">
        <v>2554</v>
      </c>
      <c r="C84" s="508"/>
      <c r="D84" s="508"/>
      <c r="E84" s="508"/>
      <c r="F84" s="508"/>
      <c r="G84" s="508"/>
      <c r="H84" s="508"/>
      <c r="I84" s="537"/>
      <c r="J84" s="537"/>
      <c r="K84" s="538"/>
      <c r="L84" s="539"/>
      <c r="M84" s="540"/>
      <c r="N84" s="2973"/>
      <c r="O84" s="2973"/>
      <c r="P84" s="2998"/>
      <c r="Q84" s="2959"/>
      <c r="R84" s="2945"/>
      <c r="S84" s="2945"/>
      <c r="T84" s="2945"/>
      <c r="U84" s="2945"/>
      <c r="V84" s="2945"/>
      <c r="W84" s="2945"/>
      <c r="X84" s="2945"/>
      <c r="Y84" s="2945"/>
      <c r="Z84" s="2945"/>
      <c r="AA84" s="2945"/>
      <c r="AB84" s="2945"/>
      <c r="AC84" s="2945"/>
      <c r="AD84" s="2945"/>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3"/>
      <c r="B86" s="500" t="s">
        <v>2555</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3"/>
      <c r="B87" s="500"/>
      <c r="C87" s="549"/>
      <c r="D87" s="549"/>
      <c r="E87" s="549"/>
      <c r="F87" s="549"/>
      <c r="G87" s="549"/>
      <c r="H87" s="549"/>
      <c r="I87" s="549"/>
      <c r="J87" s="550"/>
      <c r="K87" s="550"/>
      <c r="L87" s="551"/>
      <c r="M87" s="552"/>
      <c r="N87" s="2973"/>
      <c r="O87" s="2973"/>
      <c r="P87" s="2998"/>
      <c r="Q87" s="2959"/>
      <c r="R87" s="2945"/>
      <c r="S87" s="2945"/>
      <c r="T87" s="2945"/>
      <c r="U87" s="2945"/>
      <c r="V87" s="2945"/>
      <c r="W87" s="2945"/>
      <c r="X87" s="2945"/>
      <c r="Y87" s="2945"/>
      <c r="Z87" s="2945"/>
      <c r="AA87" s="2945"/>
      <c r="AB87" s="2945"/>
      <c r="AC87" s="2945"/>
      <c r="AD87" s="2945"/>
    </row>
    <row r="88" spans="1:30" ht="15.75" thickBot="1">
      <c r="A88" s="488"/>
      <c r="B88" s="497"/>
      <c r="C88" s="514"/>
      <c r="D88" s="490"/>
      <c r="E88" s="490"/>
      <c r="F88" s="490"/>
      <c r="G88" s="490"/>
      <c r="H88" s="490"/>
      <c r="I88" s="490"/>
      <c r="J88" s="490"/>
      <c r="K88" s="490"/>
      <c r="L88" s="490"/>
      <c r="M88" s="490"/>
      <c r="N88" s="2974"/>
      <c r="O88" s="2974"/>
      <c r="P88" s="2998"/>
      <c r="Q88" s="2959"/>
      <c r="R88" s="2945"/>
      <c r="S88" s="2945"/>
      <c r="T88" s="2945"/>
      <c r="U88" s="2945"/>
      <c r="V88" s="2945"/>
      <c r="W88" s="2945"/>
      <c r="X88" s="2945"/>
      <c r="Y88" s="2945"/>
      <c r="Z88" s="2945"/>
      <c r="AA88" s="2945"/>
      <c r="AB88" s="2945"/>
      <c r="AC88" s="2945"/>
      <c r="AD88" s="2945"/>
    </row>
    <row r="89" spans="1:30" s="427" customFormat="1" ht="15" thickTop="1">
      <c r="A89" s="547"/>
      <c r="B89" s="492" t="s">
        <v>2556</v>
      </c>
      <c r="C89" s="508"/>
      <c r="D89" s="508"/>
      <c r="E89" s="508"/>
      <c r="F89" s="508"/>
      <c r="G89" s="508"/>
      <c r="H89" s="508"/>
      <c r="I89" s="508"/>
      <c r="J89" s="508"/>
      <c r="K89" s="508"/>
      <c r="L89" s="508"/>
      <c r="M89" s="535"/>
      <c r="N89" s="2975"/>
      <c r="O89" s="2975"/>
      <c r="P89" s="2999"/>
      <c r="Q89" s="2966"/>
      <c r="R89" s="2967"/>
      <c r="S89" s="2967"/>
      <c r="T89" s="2967"/>
      <c r="U89" s="2967"/>
      <c r="V89" s="2967"/>
      <c r="W89" s="2967"/>
      <c r="X89" s="2967"/>
      <c r="Y89" s="2967"/>
      <c r="Z89" s="2967"/>
      <c r="AA89" s="2967"/>
      <c r="AB89" s="2967"/>
      <c r="AC89" s="2967"/>
      <c r="AD89" s="2967"/>
    </row>
    <row r="90" spans="1:30" s="427" customFormat="1" ht="15.75" thickBot="1">
      <c r="A90" s="507"/>
      <c r="B90" s="497"/>
      <c r="C90" s="514"/>
      <c r="D90" s="490"/>
      <c r="E90" s="490"/>
      <c r="F90" s="490"/>
      <c r="G90" s="490"/>
      <c r="H90" s="490"/>
      <c r="I90" s="490"/>
      <c r="J90" s="490"/>
      <c r="K90" s="490"/>
      <c r="L90" s="490"/>
      <c r="M90" s="491"/>
      <c r="N90" s="2975"/>
      <c r="O90" s="2975"/>
      <c r="P90" s="2999"/>
      <c r="Q90" s="2966"/>
      <c r="R90" s="2967"/>
      <c r="S90" s="2967"/>
      <c r="T90" s="2967"/>
      <c r="U90" s="2967"/>
      <c r="V90" s="2967"/>
      <c r="W90" s="2967"/>
      <c r="X90" s="2967"/>
      <c r="Y90" s="2967"/>
      <c r="Z90" s="2967"/>
      <c r="AA90" s="2967"/>
      <c r="AB90" s="2967"/>
      <c r="AC90" s="2967"/>
      <c r="AD90" s="2967"/>
    </row>
    <row r="91" spans="1:30" ht="15" thickTop="1">
      <c r="A91" s="553"/>
      <c r="B91" s="492">
        <f>B32</f>
        <v>111</v>
      </c>
      <c r="C91" s="503"/>
      <c r="D91" s="503"/>
      <c r="E91" s="503"/>
      <c r="F91" s="503"/>
      <c r="G91" s="508"/>
      <c r="H91" s="509"/>
      <c r="I91" s="509"/>
      <c r="J91" s="509"/>
      <c r="K91" s="509"/>
      <c r="L91" s="510"/>
      <c r="M91" s="511"/>
      <c r="N91" s="2973"/>
      <c r="O91" s="2973"/>
      <c r="P91" s="2998"/>
      <c r="Q91" s="2959"/>
      <c r="R91" s="2945"/>
      <c r="S91" s="2945"/>
      <c r="T91" s="2945"/>
      <c r="U91" s="2945"/>
      <c r="V91" s="2945"/>
      <c r="W91" s="2945"/>
      <c r="X91" s="2945"/>
      <c r="Y91" s="2945"/>
      <c r="Z91" s="2945"/>
      <c r="AA91" s="2945"/>
      <c r="AB91" s="2945"/>
      <c r="AC91" s="2945"/>
      <c r="AD91" s="2945"/>
    </row>
    <row r="92" spans="1:30" ht="15.75" thickBot="1">
      <c r="A92" s="488"/>
      <c r="B92" s="497"/>
      <c r="C92" s="514"/>
      <c r="D92" s="490"/>
      <c r="E92" s="490"/>
      <c r="F92" s="490"/>
      <c r="G92" s="514"/>
      <c r="H92" s="516"/>
      <c r="I92" s="516"/>
      <c r="J92" s="516"/>
      <c r="K92" s="516"/>
      <c r="L92" s="516"/>
      <c r="M92" s="517"/>
      <c r="N92" s="2974"/>
      <c r="O92" s="2974"/>
      <c r="P92" s="2998"/>
      <c r="Q92" s="2959"/>
      <c r="R92" s="2945"/>
      <c r="S92" s="2945"/>
      <c r="T92" s="2945"/>
      <c r="U92" s="2945"/>
      <c r="V92" s="2945"/>
      <c r="W92" s="2945"/>
      <c r="X92" s="2945"/>
      <c r="Y92" s="2945"/>
      <c r="Z92" s="2945"/>
      <c r="AA92" s="2945"/>
      <c r="AB92" s="2945"/>
      <c r="AC92" s="2945"/>
      <c r="AD92" s="2945"/>
    </row>
    <row r="93" spans="1:30" ht="15" thickTop="1">
      <c r="A93" s="553"/>
      <c r="B93" s="492">
        <f>B33</f>
        <v>111</v>
      </c>
      <c r="C93" s="503"/>
      <c r="D93" s="503"/>
      <c r="E93" s="503"/>
      <c r="F93" s="503"/>
      <c r="G93" s="508"/>
      <c r="H93" s="509"/>
      <c r="I93" s="509"/>
      <c r="J93" s="509"/>
      <c r="K93" s="509"/>
      <c r="L93" s="510"/>
      <c r="M93" s="511"/>
      <c r="N93" s="2973"/>
      <c r="O93" s="2973"/>
      <c r="P93" s="2998"/>
      <c r="Q93" s="2959"/>
      <c r="R93" s="2945"/>
      <c r="S93" s="2945"/>
      <c r="T93" s="2945"/>
      <c r="U93" s="2945"/>
      <c r="V93" s="2945"/>
      <c r="W93" s="2945"/>
      <c r="X93" s="2945"/>
      <c r="Y93" s="2945"/>
      <c r="Z93" s="2945"/>
      <c r="AA93" s="2945"/>
      <c r="AB93" s="2945"/>
      <c r="AC93" s="2945"/>
      <c r="AD93" s="2945"/>
    </row>
    <row r="94" spans="1:30" ht="15.75" thickBot="1">
      <c r="A94" s="488"/>
      <c r="B94" s="497"/>
      <c r="C94" s="514"/>
      <c r="D94" s="490"/>
      <c r="E94" s="490"/>
      <c r="F94" s="490"/>
      <c r="G94" s="514"/>
      <c r="H94" s="516"/>
      <c r="I94" s="516"/>
      <c r="J94" s="516"/>
      <c r="K94" s="516"/>
      <c r="L94" s="516"/>
      <c r="M94" s="517"/>
      <c r="N94" s="2974"/>
      <c r="O94" s="2974"/>
      <c r="P94" s="2998"/>
      <c r="Q94" s="2959"/>
      <c r="R94" s="2945"/>
      <c r="S94" s="2945"/>
      <c r="T94" s="2945"/>
      <c r="U94" s="2945"/>
      <c r="V94" s="2945"/>
      <c r="W94" s="2945"/>
      <c r="X94" s="2945"/>
      <c r="Y94" s="2945"/>
      <c r="Z94" s="2945"/>
      <c r="AA94" s="2945"/>
      <c r="AB94" s="2945"/>
      <c r="AC94" s="2945"/>
      <c r="AD94" s="2945"/>
    </row>
    <row r="95" spans="1:30" ht="15" thickTop="1">
      <c r="A95" s="553"/>
      <c r="B95" s="589">
        <f>B34</f>
        <v>111</v>
      </c>
      <c r="C95" s="503"/>
      <c r="D95" s="503"/>
      <c r="E95" s="503"/>
      <c r="F95" s="503"/>
      <c r="G95" s="508"/>
      <c r="H95" s="509"/>
      <c r="I95" s="509"/>
      <c r="J95" s="509"/>
      <c r="K95" s="509"/>
      <c r="L95" s="510"/>
      <c r="M95" s="511"/>
      <c r="N95" s="2974"/>
      <c r="O95" s="2974"/>
      <c r="P95" s="3001"/>
      <c r="Q95" s="2988"/>
      <c r="R95" s="2945"/>
      <c r="S95" s="2945"/>
      <c r="T95" s="2945"/>
      <c r="U95" s="2945"/>
      <c r="V95" s="2945"/>
      <c r="W95" s="2945"/>
      <c r="X95" s="2945"/>
      <c r="Y95" s="2945"/>
      <c r="Z95" s="2945"/>
      <c r="AA95" s="2945"/>
      <c r="AB95" s="2945"/>
      <c r="AC95" s="2945"/>
      <c r="AD95" s="2945"/>
    </row>
    <row r="96" spans="1:30" ht="15.75" thickBot="1">
      <c r="A96" s="488"/>
      <c r="B96" s="497"/>
      <c r="C96" s="514"/>
      <c r="D96" s="514"/>
      <c r="E96" s="514"/>
      <c r="F96" s="514"/>
      <c r="G96" s="514"/>
      <c r="H96" s="516"/>
      <c r="I96" s="516"/>
      <c r="J96" s="516"/>
      <c r="K96" s="516"/>
      <c r="L96" s="516"/>
      <c r="M96" s="517"/>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4"/>
      <c r="B98" s="1064"/>
      <c r="C98" s="1064"/>
      <c r="D98" s="1064"/>
      <c r="E98" s="1064"/>
      <c r="F98" s="1064"/>
      <c r="G98" s="1064"/>
      <c r="H98" s="1064"/>
      <c r="I98" s="1064"/>
      <c r="J98" s="1064"/>
      <c r="K98" s="1065"/>
      <c r="L98" s="1066"/>
      <c r="M98" s="1064"/>
      <c r="N98" s="2945"/>
      <c r="O98" s="2945"/>
      <c r="P98" s="2945"/>
      <c r="Q98" s="2945"/>
      <c r="R98" s="2945"/>
      <c r="S98" s="2945"/>
      <c r="T98" s="2945"/>
      <c r="U98" s="2945"/>
      <c r="V98" s="2945"/>
      <c r="W98" s="2945"/>
      <c r="X98" s="2945"/>
      <c r="Y98" s="2945"/>
      <c r="Z98" s="2945"/>
      <c r="AA98" s="2945"/>
      <c r="AB98" s="2945"/>
      <c r="AC98" s="2945"/>
      <c r="AD98" s="2945"/>
    </row>
    <row r="99" spans="1:30">
      <c r="A99" s="1064"/>
      <c r="B99" s="1064"/>
      <c r="C99" s="1064"/>
      <c r="D99" s="1064"/>
      <c r="E99" s="1064"/>
      <c r="F99" s="1064"/>
      <c r="G99" s="1064"/>
      <c r="H99" s="1064"/>
      <c r="I99" s="1064"/>
      <c r="J99" s="1064"/>
      <c r="K99" s="1065"/>
      <c r="L99" s="1066"/>
      <c r="M99" s="1064"/>
      <c r="N99" s="2945"/>
      <c r="O99" s="2945"/>
      <c r="P99" s="2945"/>
      <c r="Q99" s="2945"/>
      <c r="R99" s="2945"/>
      <c r="S99" s="2945"/>
      <c r="T99" s="2945"/>
      <c r="U99" s="2945"/>
      <c r="V99" s="2945"/>
      <c r="W99" s="2945"/>
      <c r="X99" s="2945"/>
      <c r="Y99" s="2945"/>
      <c r="Z99" s="2945"/>
      <c r="AA99" s="2945"/>
      <c r="AB99" s="2945"/>
      <c r="AC99" s="2945"/>
      <c r="AD99" s="2945"/>
    </row>
    <row r="100" spans="1:30">
      <c r="A100" s="1064"/>
      <c r="B100" s="1064"/>
      <c r="C100" s="1064"/>
      <c r="D100" s="1064"/>
      <c r="E100" s="1064"/>
      <c r="F100" s="1064"/>
      <c r="G100" s="1064"/>
      <c r="H100" s="1064"/>
      <c r="I100" s="1064"/>
      <c r="J100" s="1064"/>
      <c r="K100" s="1065"/>
      <c r="L100" s="1066"/>
      <c r="M100" s="1064"/>
      <c r="N100" s="2945"/>
      <c r="O100" s="2945"/>
      <c r="P100" s="2945"/>
      <c r="Q100" s="2945"/>
      <c r="R100" s="2945"/>
      <c r="S100" s="2945"/>
      <c r="T100" s="2945"/>
      <c r="U100" s="2945"/>
      <c r="V100" s="2945"/>
      <c r="W100" s="2945"/>
      <c r="X100" s="2945"/>
      <c r="Y100" s="2945"/>
      <c r="Z100" s="2945"/>
      <c r="AA100" s="2945"/>
      <c r="AB100" s="2945"/>
      <c r="AC100" s="2945"/>
      <c r="AD100" s="2945"/>
    </row>
    <row r="101" spans="1:30">
      <c r="A101" s="1064"/>
      <c r="B101" s="1064"/>
      <c r="C101" s="1064"/>
      <c r="D101" s="1064"/>
      <c r="E101" s="1064"/>
      <c r="F101" s="1064"/>
      <c r="G101" s="1064"/>
      <c r="H101" s="1064"/>
      <c r="I101" s="1064"/>
      <c r="J101" s="1064"/>
      <c r="K101" s="1065"/>
      <c r="L101" s="1066"/>
      <c r="M101" s="1064"/>
      <c r="N101" s="2945"/>
      <c r="O101" s="2945"/>
      <c r="P101" s="2945"/>
      <c r="Q101" s="2945"/>
      <c r="R101" s="2945"/>
      <c r="S101" s="2945"/>
      <c r="T101" s="2945"/>
      <c r="U101" s="2945"/>
      <c r="V101" s="2945"/>
      <c r="W101" s="2945"/>
      <c r="X101" s="2945"/>
      <c r="Y101" s="2945"/>
      <c r="Z101" s="2945"/>
      <c r="AA101" s="2945"/>
      <c r="AB101" s="2945"/>
      <c r="AC101" s="2945"/>
      <c r="AD101" s="2945"/>
    </row>
    <row r="102" spans="1:30">
      <c r="A102" s="1064"/>
      <c r="B102" s="1064"/>
      <c r="C102" s="1064"/>
      <c r="D102" s="1064"/>
      <c r="E102" s="1064"/>
      <c r="F102" s="1064"/>
      <c r="G102" s="1064"/>
      <c r="H102" s="1064"/>
      <c r="I102" s="1064"/>
      <c r="J102" s="1064"/>
      <c r="K102" s="1065"/>
      <c r="L102" s="1066"/>
      <c r="M102" s="1064"/>
      <c r="N102" s="2945"/>
      <c r="O102" s="2945"/>
      <c r="P102" s="2945"/>
      <c r="Q102" s="2945"/>
      <c r="R102" s="2945"/>
      <c r="S102" s="2945"/>
      <c r="T102" s="2945"/>
      <c r="U102" s="2945"/>
      <c r="V102" s="2945"/>
      <c r="W102" s="2945"/>
      <c r="X102" s="2945"/>
      <c r="Y102" s="2945"/>
      <c r="Z102" s="2945"/>
      <c r="AA102" s="2945"/>
      <c r="AB102" s="2945"/>
      <c r="AC102" s="2945"/>
      <c r="AD102" s="2945"/>
    </row>
    <row r="103" spans="1:30">
      <c r="A103" s="1064"/>
      <c r="B103" s="1064"/>
      <c r="C103" s="1064"/>
      <c r="D103" s="1064"/>
      <c r="E103" s="1064"/>
      <c r="F103" s="1064"/>
      <c r="G103" s="1064"/>
      <c r="H103" s="1064"/>
      <c r="I103" s="1064"/>
      <c r="J103" s="1064"/>
      <c r="K103" s="1065"/>
      <c r="L103" s="1066"/>
      <c r="M103" s="1064"/>
      <c r="N103" s="1064"/>
      <c r="O103" s="1064"/>
      <c r="P103" s="2945"/>
      <c r="Q103" s="2945"/>
      <c r="R103" s="2945"/>
      <c r="S103" s="2945"/>
      <c r="T103" s="2945"/>
      <c r="U103" s="2945"/>
      <c r="V103" s="2945"/>
      <c r="W103" s="2945"/>
      <c r="X103" s="2945"/>
      <c r="Y103" s="2945"/>
      <c r="Z103" s="2945"/>
      <c r="AA103" s="2945"/>
      <c r="AB103" s="2945"/>
      <c r="AC103" s="2945"/>
      <c r="AD103" s="2945"/>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2557</v>
      </c>
      <c r="B1" s="352"/>
      <c r="C1" s="353" t="s">
        <v>2609</v>
      </c>
      <c r="D1" s="692"/>
      <c r="E1" s="692"/>
      <c r="F1" s="691" t="s">
        <v>2456</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2143</v>
      </c>
      <c r="B2" s="624" t="e">
        <f>F61</f>
        <v>#DIV/0!</v>
      </c>
      <c r="C2" s="1036"/>
      <c r="D2" s="1036"/>
      <c r="E2" s="1036"/>
      <c r="F2" s="1037"/>
      <c r="G2" s="1036"/>
      <c r="H2" s="1036"/>
      <c r="I2" s="1036"/>
      <c r="J2" s="1036"/>
      <c r="K2" s="1038"/>
      <c r="L2" s="2954"/>
      <c r="M2" s="2955"/>
      <c r="N2" s="2955"/>
      <c r="O2" s="2955"/>
      <c r="P2" s="705"/>
      <c r="Q2" s="705"/>
      <c r="R2" s="705"/>
      <c r="S2" s="705"/>
      <c r="T2" s="705"/>
      <c r="U2" s="705"/>
      <c r="V2" s="705"/>
      <c r="W2" s="705"/>
      <c r="X2" s="705"/>
      <c r="Y2" s="705"/>
      <c r="Z2" s="705"/>
      <c r="AA2" s="705"/>
      <c r="AB2" s="705"/>
      <c r="AC2" s="706"/>
    </row>
    <row r="3" spans="1:29" s="355" customFormat="1" ht="28.5" customHeight="1" thickBot="1">
      <c r="A3" s="206" t="s">
        <v>2145</v>
      </c>
      <c r="B3" s="563" t="e">
        <f>ROUND(IF(D3="",B2*10000/'数据-汇总表'!E3,B2*10000/D3),0)</f>
        <v>#DIV/0!</v>
      </c>
      <c r="C3" s="206" t="s">
        <v>2559</v>
      </c>
      <c r="D3" s="1352"/>
      <c r="E3" s="1036"/>
      <c r="F3" s="1037"/>
      <c r="G3" s="1036"/>
      <c r="H3" s="1036"/>
      <c r="I3" s="1036"/>
      <c r="J3" s="1036"/>
      <c r="K3" s="1038"/>
      <c r="L3" s="2954"/>
      <c r="M3" s="2955"/>
      <c r="N3" s="2955"/>
      <c r="O3" s="2955"/>
      <c r="P3" s="705"/>
      <c r="Q3" s="705"/>
      <c r="R3" s="705"/>
      <c r="S3" s="705"/>
      <c r="T3" s="705"/>
      <c r="U3" s="705"/>
      <c r="V3" s="705"/>
      <c r="W3" s="705"/>
      <c r="X3" s="705"/>
      <c r="Y3" s="705"/>
      <c r="Z3" s="705"/>
      <c r="AA3" s="705"/>
      <c r="AB3" s="722"/>
      <c r="AC3" s="719"/>
    </row>
    <row r="4" spans="1:29" ht="15">
      <c r="A4" s="358" t="s">
        <v>2458</v>
      </c>
      <c r="B4" s="359"/>
      <c r="C4" s="3319" t="s">
        <v>2459</v>
      </c>
      <c r="D4" s="3320"/>
      <c r="E4" s="3321" t="s">
        <v>2460</v>
      </c>
      <c r="F4" s="3322"/>
      <c r="G4" s="3319" t="s">
        <v>2461</v>
      </c>
      <c r="H4" s="3320"/>
      <c r="I4" s="3319" t="s">
        <v>2462</v>
      </c>
      <c r="J4" s="3320"/>
      <c r="K4" s="564" t="s">
        <v>2463</v>
      </c>
      <c r="L4" s="2935"/>
      <c r="M4" s="2936"/>
      <c r="N4" s="2936"/>
      <c r="O4" s="2936"/>
      <c r="P4" s="3323" t="s">
        <v>2464</v>
      </c>
      <c r="Q4" s="3324"/>
      <c r="R4" s="3306" t="s">
        <v>2460</v>
      </c>
      <c r="S4" s="3307"/>
      <c r="T4" s="3306" t="s">
        <v>2461</v>
      </c>
      <c r="U4" s="3307"/>
      <c r="V4" s="3331" t="s">
        <v>2462</v>
      </c>
      <c r="W4" s="3331"/>
      <c r="X4" s="1537"/>
      <c r="Y4" s="3306" t="s">
        <v>2464</v>
      </c>
      <c r="Z4" s="3307"/>
      <c r="AA4" s="3301" t="s">
        <v>2460</v>
      </c>
      <c r="AB4" s="3302" t="s">
        <v>2461</v>
      </c>
      <c r="AC4" s="3301" t="s">
        <v>2462</v>
      </c>
    </row>
    <row r="5" spans="1:29" ht="15">
      <c r="A5" s="361"/>
      <c r="B5" s="362"/>
      <c r="C5" s="3312" t="s">
        <v>2355</v>
      </c>
      <c r="D5" s="3313"/>
      <c r="E5" s="3310" t="s">
        <v>2356</v>
      </c>
      <c r="F5" s="3311"/>
      <c r="G5" s="3312" t="s">
        <v>2357</v>
      </c>
      <c r="H5" s="3313"/>
      <c r="I5" s="3312" t="s">
        <v>2358</v>
      </c>
      <c r="J5" s="3313"/>
      <c r="K5" s="564"/>
      <c r="L5" s="2935"/>
      <c r="M5" s="2936"/>
      <c r="N5" s="2936"/>
      <c r="O5" s="2936"/>
      <c r="P5" s="3325"/>
      <c r="Q5" s="3326"/>
      <c r="R5" s="3308"/>
      <c r="S5" s="3309"/>
      <c r="T5" s="3308"/>
      <c r="U5" s="3309"/>
      <c r="V5" s="3331"/>
      <c r="W5" s="3331"/>
      <c r="X5" s="1537"/>
      <c r="Y5" s="3308"/>
      <c r="Z5" s="3309"/>
      <c r="AA5" s="3302"/>
      <c r="AB5" s="3302"/>
      <c r="AC5" s="3302"/>
    </row>
    <row r="6" spans="1:29" ht="15.75" thickBot="1">
      <c r="A6" s="363"/>
      <c r="B6" s="364"/>
      <c r="C6" s="3368" t="s">
        <v>2610</v>
      </c>
      <c r="D6" s="3369"/>
      <c r="E6" s="3370" t="s">
        <v>2610</v>
      </c>
      <c r="F6" s="3371"/>
      <c r="G6" s="3368" t="s">
        <v>2610</v>
      </c>
      <c r="H6" s="3369"/>
      <c r="I6" s="3368" t="s">
        <v>2610</v>
      </c>
      <c r="J6" s="3369"/>
      <c r="K6" s="564" t="s">
        <v>2360</v>
      </c>
      <c r="L6" s="2935"/>
      <c r="M6" s="2936"/>
      <c r="N6" s="2936"/>
      <c r="O6" s="2936"/>
      <c r="P6" s="3327"/>
      <c r="Q6" s="3328"/>
      <c r="R6" s="3308"/>
      <c r="S6" s="3309"/>
      <c r="T6" s="3329"/>
      <c r="U6" s="3330"/>
      <c r="V6" s="3331"/>
      <c r="W6" s="3331"/>
      <c r="X6" s="1537"/>
      <c r="Y6" s="3329"/>
      <c r="Z6" s="3330"/>
      <c r="AA6" s="3303"/>
      <c r="AB6" s="3303"/>
      <c r="AC6" s="3303"/>
    </row>
    <row r="7" spans="1:29" s="112" customFormat="1" ht="15.75" thickBot="1">
      <c r="A7" s="365" t="s">
        <v>2361</v>
      </c>
      <c r="B7" s="366"/>
      <c r="C7" s="367">
        <f>'数据-取费表'!B2</f>
        <v>44362</v>
      </c>
      <c r="D7" s="368">
        <v>100</v>
      </c>
      <c r="E7" s="369"/>
      <c r="F7" s="370">
        <f>SUMIF(65:65,YEAR(E7)&amp;"-"&amp;INT((MONTH(E7)+2)/3),66:66)</f>
        <v>0</v>
      </c>
      <c r="G7" s="2156"/>
      <c r="H7" s="368">
        <f>SUMIF(65:65,YEAR(G7)&amp;"-"&amp;INT((MONTH(G7)+2)/3),66:66)</f>
        <v>0</v>
      </c>
      <c r="I7" s="2156"/>
      <c r="J7" s="368">
        <f>SUMIF(65:65,YEAR(I7)&amp;"-"&amp;INT((MONTH(I7)+2)/3),66:66)</f>
        <v>0</v>
      </c>
      <c r="K7" s="565"/>
      <c r="L7" s="2937"/>
      <c r="M7" s="2938"/>
      <c r="N7" s="2938"/>
      <c r="O7" s="2938"/>
      <c r="P7" s="3304" t="s">
        <v>2362</v>
      </c>
      <c r="Q7" s="3332"/>
      <c r="R7" s="707" t="s">
        <v>17</v>
      </c>
      <c r="S7" s="708">
        <f t="shared" ref="S7:S15" si="0">F7</f>
        <v>0</v>
      </c>
      <c r="T7" s="707" t="s">
        <v>17</v>
      </c>
      <c r="U7" s="708">
        <f t="shared" ref="U7:U15" si="1">H7</f>
        <v>0</v>
      </c>
      <c r="V7" s="707" t="s">
        <v>17</v>
      </c>
      <c r="W7" s="708">
        <f t="shared" ref="W7:W15" si="2">J7</f>
        <v>0</v>
      </c>
      <c r="X7" s="709"/>
      <c r="Y7" s="3304" t="s">
        <v>2362</v>
      </c>
      <c r="Z7" s="3305"/>
      <c r="AA7" s="710" t="e">
        <f>D7/F7</f>
        <v>#DIV/0!</v>
      </c>
      <c r="AB7" s="710" t="e">
        <f>D7/H7</f>
        <v>#DIV/0!</v>
      </c>
      <c r="AC7" s="710" t="e">
        <f>D7/J7</f>
        <v>#DIV/0!</v>
      </c>
    </row>
    <row r="8" spans="1:29" s="112" customFormat="1" ht="15.75" thickBot="1">
      <c r="A8" s="365" t="s">
        <v>2363</v>
      </c>
      <c r="B8" s="366"/>
      <c r="C8" s="371" t="s">
        <v>2364</v>
      </c>
      <c r="D8" s="368">
        <v>100</v>
      </c>
      <c r="E8" s="371"/>
      <c r="F8" s="370">
        <f>SUMIF(68:68,E8,69:69)-SUMIF(68:68,C8,69:69)+100</f>
        <v>0</v>
      </c>
      <c r="G8" s="371"/>
      <c r="H8" s="368">
        <f>SUMIF(68:68,G8,69:69)-SUMIF(68:68,C8,69:69)+100</f>
        <v>0</v>
      </c>
      <c r="I8" s="371"/>
      <c r="J8" s="368">
        <f>SUMIF(68:68,I8,69:69)-SUMIF(68:68,C8,69:69)+100</f>
        <v>0</v>
      </c>
      <c r="K8" s="565"/>
      <c r="L8" s="2937"/>
      <c r="M8" s="2938"/>
      <c r="N8" s="2938"/>
      <c r="O8" s="2938"/>
      <c r="P8" s="3304" t="s">
        <v>2365</v>
      </c>
      <c r="Q8" s="3305"/>
      <c r="R8" s="707" t="s">
        <v>17</v>
      </c>
      <c r="S8" s="708">
        <f t="shared" si="0"/>
        <v>0</v>
      </c>
      <c r="T8" s="707" t="s">
        <v>17</v>
      </c>
      <c r="U8" s="708">
        <f t="shared" si="1"/>
        <v>0</v>
      </c>
      <c r="V8" s="707" t="s">
        <v>17</v>
      </c>
      <c r="W8" s="708">
        <f t="shared" si="2"/>
        <v>0</v>
      </c>
      <c r="X8" s="709"/>
      <c r="Y8" s="3304" t="s">
        <v>2365</v>
      </c>
      <c r="Z8" s="3305"/>
      <c r="AA8" s="710" t="e">
        <f t="shared" ref="AA8:AA40" si="3">D8/F8</f>
        <v>#DIV/0!</v>
      </c>
      <c r="AB8" s="710" t="e">
        <f t="shared" ref="AB8:AB40" si="4">D8/H8</f>
        <v>#DIV/0!</v>
      </c>
      <c r="AC8" s="710" t="e">
        <f t="shared" ref="AC8:AC40" si="5">D8/J8</f>
        <v>#DIV/0!</v>
      </c>
    </row>
    <row r="9" spans="1:29" s="112" customFormat="1">
      <c r="A9" s="372" t="s">
        <v>2366</v>
      </c>
      <c r="B9" s="67" t="s">
        <v>2367</v>
      </c>
      <c r="C9" s="2159"/>
      <c r="D9" s="128">
        <v>100</v>
      </c>
      <c r="E9" s="2159"/>
      <c r="F9" s="128">
        <f>SUMIF(70:70,E9,71:71)-SUMIF(70:70,C9,71:71)+100</f>
        <v>100</v>
      </c>
      <c r="G9" s="2159"/>
      <c r="H9" s="128">
        <f>SUMIF(70:70,G9,71:71)-SUMIF(70:70,C9,71:71)+100</f>
        <v>100</v>
      </c>
      <c r="I9" s="2159"/>
      <c r="J9" s="128">
        <f>SUMIF(70:70,I9,71:71)-SUMIF(70:70,C9,71:71)+100</f>
        <v>100</v>
      </c>
      <c r="K9" s="565"/>
      <c r="L9" s="2937"/>
      <c r="M9" s="2938"/>
      <c r="N9" s="2938"/>
      <c r="O9" s="2992"/>
      <c r="P9" s="3336" t="s">
        <v>2368</v>
      </c>
      <c r="Q9" s="1525" t="str">
        <f t="shared" ref="Q9:Q15" si="6">B9</f>
        <v>用途</v>
      </c>
      <c r="R9" s="707" t="s">
        <v>17</v>
      </c>
      <c r="S9" s="708">
        <f t="shared" si="0"/>
        <v>100</v>
      </c>
      <c r="T9" s="707" t="s">
        <v>17</v>
      </c>
      <c r="U9" s="708">
        <f t="shared" si="1"/>
        <v>100</v>
      </c>
      <c r="V9" s="707" t="s">
        <v>17</v>
      </c>
      <c r="W9" s="708">
        <f t="shared" si="2"/>
        <v>100</v>
      </c>
      <c r="X9" s="709"/>
      <c r="Y9" s="3245" t="s">
        <v>2369</v>
      </c>
      <c r="Z9" s="55" t="str">
        <f t="shared" ref="Z9:Z15" si="7">Q9</f>
        <v>用途</v>
      </c>
      <c r="AA9" s="710">
        <f t="shared" si="3"/>
        <v>1</v>
      </c>
      <c r="AB9" s="710">
        <f t="shared" si="4"/>
        <v>1</v>
      </c>
      <c r="AC9" s="710">
        <f t="shared" si="5"/>
        <v>1</v>
      </c>
    </row>
    <row r="10" spans="1:29" s="383" customFormat="1" ht="27">
      <c r="A10" s="377"/>
      <c r="B10" s="378" t="s">
        <v>2370</v>
      </c>
      <c r="C10" s="388"/>
      <c r="D10" s="129">
        <v>100</v>
      </c>
      <c r="E10" s="388"/>
      <c r="F10" s="129">
        <f>ROUND(100/'数据-取费表'!G16,0)</f>
        <v>105</v>
      </c>
      <c r="G10" s="388"/>
      <c r="H10" s="129">
        <f>ROUND(100/'数据-取费表'!G16,0)</f>
        <v>105</v>
      </c>
      <c r="I10" s="388"/>
      <c r="J10" s="129">
        <f>ROUND(100/'数据-取费表'!G16,0)</f>
        <v>105</v>
      </c>
      <c r="K10" s="625"/>
      <c r="L10" s="2939"/>
      <c r="M10" s="2940"/>
      <c r="N10" s="2940"/>
      <c r="O10" s="2993"/>
      <c r="P10" s="3336"/>
      <c r="Q10" s="1525" t="str">
        <f t="shared" si="6"/>
        <v>土地使用年限（年）</v>
      </c>
      <c r="R10" s="707" t="s">
        <v>17</v>
      </c>
      <c r="S10" s="708">
        <f t="shared" si="0"/>
        <v>105</v>
      </c>
      <c r="T10" s="707" t="s">
        <v>17</v>
      </c>
      <c r="U10" s="708">
        <f t="shared" si="1"/>
        <v>105</v>
      </c>
      <c r="V10" s="707" t="s">
        <v>17</v>
      </c>
      <c r="W10" s="708">
        <f t="shared" si="2"/>
        <v>105</v>
      </c>
      <c r="X10" s="709"/>
      <c r="Y10" s="3245"/>
      <c r="Z10" s="55" t="str">
        <f t="shared" si="7"/>
        <v>土地使用年限（年）</v>
      </c>
      <c r="AA10" s="710">
        <f t="shared" si="3"/>
        <v>0.95238095238095233</v>
      </c>
      <c r="AB10" s="710">
        <f t="shared" si="4"/>
        <v>0.95238095238095233</v>
      </c>
      <c r="AC10" s="710">
        <f t="shared" si="5"/>
        <v>0.95238095238095233</v>
      </c>
    </row>
    <row r="11" spans="1:29" ht="15">
      <c r="A11" s="384"/>
      <c r="B11" s="378" t="s">
        <v>2371</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1"/>
      <c r="M11" s="2936"/>
      <c r="N11" s="2936"/>
      <c r="O11" s="2994"/>
      <c r="P11" s="3336"/>
      <c r="Q11" s="1525" t="str">
        <f t="shared" si="6"/>
        <v>容积率</v>
      </c>
      <c r="R11" s="707" t="s">
        <v>17</v>
      </c>
      <c r="S11" s="708" t="e">
        <f t="shared" si="0"/>
        <v>#N/A</v>
      </c>
      <c r="T11" s="707" t="s">
        <v>17</v>
      </c>
      <c r="U11" s="708" t="e">
        <f t="shared" si="1"/>
        <v>#N/A</v>
      </c>
      <c r="V11" s="707" t="s">
        <v>17</v>
      </c>
      <c r="W11" s="708" t="e">
        <f t="shared" si="2"/>
        <v>#N/A</v>
      </c>
      <c r="X11" s="709"/>
      <c r="Y11" s="3245"/>
      <c r="Z11" s="55" t="str">
        <f t="shared" si="7"/>
        <v>容积率</v>
      </c>
      <c r="AA11" s="710" t="e">
        <f t="shared" si="3"/>
        <v>#N/A</v>
      </c>
      <c r="AB11" s="710" t="e">
        <f t="shared" si="4"/>
        <v>#N/A</v>
      </c>
      <c r="AC11" s="710" t="e">
        <f t="shared" si="5"/>
        <v>#N/A</v>
      </c>
    </row>
    <row r="12" spans="1:29" s="112" customFormat="1" ht="15">
      <c r="A12" s="387"/>
      <c r="B12" s="2075">
        <v>111</v>
      </c>
      <c r="C12" s="388"/>
      <c r="D12" s="389">
        <v>100</v>
      </c>
      <c r="E12" s="503"/>
      <c r="F12" s="129">
        <f>SUMIF(77:77,E12,78:78)-SUMIF(77:77,C12,78:78)+100</f>
        <v>100</v>
      </c>
      <c r="G12" s="627"/>
      <c r="H12" s="129">
        <f>SUMIF(77:77,G12,78:78)-SUMIF(77:77,C12,78:78)+100</f>
        <v>100</v>
      </c>
      <c r="I12" s="503"/>
      <c r="J12" s="129">
        <f>SUMIF(77:77,I12,78:78)-SUMIF(77:77,C12,78:78)+100</f>
        <v>100</v>
      </c>
      <c r="K12" s="625"/>
      <c r="L12" s="2937"/>
      <c r="M12" s="2938"/>
      <c r="N12" s="2938"/>
      <c r="O12" s="2992"/>
      <c r="P12" s="3336"/>
      <c r="Q12" s="1525">
        <f t="shared" si="6"/>
        <v>111</v>
      </c>
      <c r="R12" s="707" t="s">
        <v>17</v>
      </c>
      <c r="S12" s="708">
        <f t="shared" si="0"/>
        <v>100</v>
      </c>
      <c r="T12" s="707" t="s">
        <v>17</v>
      </c>
      <c r="U12" s="708">
        <f t="shared" si="1"/>
        <v>100</v>
      </c>
      <c r="V12" s="707" t="s">
        <v>17</v>
      </c>
      <c r="W12" s="708">
        <f t="shared" si="2"/>
        <v>100</v>
      </c>
      <c r="X12" s="709"/>
      <c r="Y12" s="3245"/>
      <c r="Z12" s="55">
        <f t="shared" si="7"/>
        <v>111</v>
      </c>
      <c r="AA12" s="710">
        <f>D12/F12</f>
        <v>1</v>
      </c>
      <c r="AB12" s="710">
        <f>D12/H12</f>
        <v>1</v>
      </c>
      <c r="AC12" s="710">
        <f>D12/J12</f>
        <v>1</v>
      </c>
    </row>
    <row r="13" spans="1:29" ht="15">
      <c r="A13" s="384"/>
      <c r="B13" s="2075">
        <v>111</v>
      </c>
      <c r="C13" s="390"/>
      <c r="D13" s="391">
        <v>100</v>
      </c>
      <c r="E13" s="503"/>
      <c r="F13" s="129">
        <f>SUMIF(79:79,E13,80:80)-SUMIF(79:79,C13,80:80)+100</f>
        <v>100</v>
      </c>
      <c r="G13" s="627"/>
      <c r="H13" s="391">
        <f>SUMIF(79:79,G13,80:80)-SUMIF(79:79,C13,80:80)+100</f>
        <v>100</v>
      </c>
      <c r="I13" s="503"/>
      <c r="J13" s="391">
        <f>SUMIF(79:79,I13,80:80)-SUMIF(79:79,C13,80:80)+100</f>
        <v>100</v>
      </c>
      <c r="K13" s="625"/>
      <c r="L13" s="2942"/>
      <c r="M13" s="2936"/>
      <c r="N13" s="2936"/>
      <c r="O13" s="2994"/>
      <c r="P13" s="3336"/>
      <c r="Q13" s="1525">
        <f t="shared" si="6"/>
        <v>111</v>
      </c>
      <c r="R13" s="707" t="s">
        <v>17</v>
      </c>
      <c r="S13" s="708">
        <f t="shared" si="0"/>
        <v>100</v>
      </c>
      <c r="T13" s="707" t="s">
        <v>17</v>
      </c>
      <c r="U13" s="708">
        <f t="shared" si="1"/>
        <v>100</v>
      </c>
      <c r="V13" s="707" t="s">
        <v>17</v>
      </c>
      <c r="W13" s="708">
        <f t="shared" si="2"/>
        <v>100</v>
      </c>
      <c r="X13" s="709"/>
      <c r="Y13" s="3245"/>
      <c r="Z13" s="55">
        <f t="shared" si="7"/>
        <v>111</v>
      </c>
      <c r="AA13" s="710">
        <f t="shared" si="3"/>
        <v>1</v>
      </c>
      <c r="AB13" s="710">
        <f t="shared" si="4"/>
        <v>1</v>
      </c>
      <c r="AC13" s="710">
        <f t="shared" si="5"/>
        <v>1</v>
      </c>
    </row>
    <row r="14" spans="1:29" ht="15.75" thickBot="1">
      <c r="A14" s="392"/>
      <c r="B14" s="2077">
        <v>111</v>
      </c>
      <c r="C14" s="393"/>
      <c r="D14" s="394">
        <v>100</v>
      </c>
      <c r="E14" s="503"/>
      <c r="F14" s="394">
        <f>SUMIF(81:81,E14,82:82)-SUMIF(81:81,C14,82:82)+100</f>
        <v>100</v>
      </c>
      <c r="G14" s="627"/>
      <c r="H14" s="394">
        <f>SUMIF(81:81,G14,82:82)-SUMIF(81:81,C14,82:82)+100</f>
        <v>100</v>
      </c>
      <c r="I14" s="503"/>
      <c r="J14" s="394">
        <f>SUMIF(81:81,I14,82:82)-SUMIF(81:81,C14,82:82)+100</f>
        <v>100</v>
      </c>
      <c r="K14" s="625"/>
      <c r="L14" s="2942"/>
      <c r="M14" s="2936"/>
      <c r="N14" s="2936"/>
      <c r="O14" s="2994"/>
      <c r="P14" s="3336"/>
      <c r="Q14" s="1525">
        <f t="shared" si="6"/>
        <v>111</v>
      </c>
      <c r="R14" s="707" t="s">
        <v>17</v>
      </c>
      <c r="S14" s="708">
        <f t="shared" si="0"/>
        <v>100</v>
      </c>
      <c r="T14" s="707" t="s">
        <v>17</v>
      </c>
      <c r="U14" s="708">
        <f t="shared" si="1"/>
        <v>100</v>
      </c>
      <c r="V14" s="707" t="s">
        <v>17</v>
      </c>
      <c r="W14" s="708">
        <f t="shared" si="2"/>
        <v>100</v>
      </c>
      <c r="X14" s="709"/>
      <c r="Y14" s="3245"/>
      <c r="Z14" s="55">
        <f t="shared" si="7"/>
        <v>111</v>
      </c>
      <c r="AA14" s="710">
        <f t="shared" si="3"/>
        <v>1</v>
      </c>
      <c r="AB14" s="710">
        <f t="shared" si="4"/>
        <v>1</v>
      </c>
      <c r="AC14" s="710">
        <f t="shared" si="5"/>
        <v>1</v>
      </c>
    </row>
    <row r="15" spans="1:29" ht="57">
      <c r="A15" s="396" t="s">
        <v>2372</v>
      </c>
      <c r="B15" s="582" t="s">
        <v>2611</v>
      </c>
      <c r="C15" s="2153"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2"/>
      <c r="M15" s="2936"/>
      <c r="N15" s="2936"/>
      <c r="O15" s="2994"/>
      <c r="P15" s="3338" t="s">
        <v>2373</v>
      </c>
      <c r="Q15" s="1534" t="str">
        <f t="shared" si="6"/>
        <v>产业集聚程度</v>
      </c>
      <c r="R15" s="711" t="s">
        <v>17</v>
      </c>
      <c r="S15" s="712">
        <f t="shared" si="0"/>
        <v>100</v>
      </c>
      <c r="T15" s="711" t="s">
        <v>17</v>
      </c>
      <c r="U15" s="712">
        <f t="shared" si="1"/>
        <v>100</v>
      </c>
      <c r="V15" s="711" t="s">
        <v>17</v>
      </c>
      <c r="W15" s="712">
        <f t="shared" si="2"/>
        <v>100</v>
      </c>
      <c r="X15" s="1537"/>
      <c r="Y15" s="3338" t="s">
        <v>2373</v>
      </c>
      <c r="Z15" s="1538" t="str">
        <f t="shared" si="7"/>
        <v>产业集聚程度</v>
      </c>
      <c r="AA15" s="1535">
        <f t="shared" si="3"/>
        <v>1</v>
      </c>
      <c r="AB15" s="1535">
        <f t="shared" si="4"/>
        <v>1</v>
      </c>
      <c r="AC15" s="1535">
        <f t="shared" si="5"/>
        <v>1</v>
      </c>
    </row>
    <row r="16" spans="1:29" ht="15">
      <c r="A16" s="384"/>
      <c r="B16" s="583"/>
      <c r="C16" s="403"/>
      <c r="D16" s="404"/>
      <c r="E16" s="2086"/>
      <c r="F16" s="404"/>
      <c r="G16" s="2086"/>
      <c r="H16" s="406"/>
      <c r="I16" s="2086"/>
      <c r="J16" s="404"/>
      <c r="K16" s="625"/>
      <c r="L16" s="2942"/>
      <c r="M16" s="2936"/>
      <c r="N16" s="2936"/>
      <c r="O16" s="2994"/>
      <c r="P16" s="3339"/>
      <c r="Q16" s="1534"/>
      <c r="R16" s="711"/>
      <c r="S16" s="712"/>
      <c r="T16" s="711"/>
      <c r="U16" s="712"/>
      <c r="V16" s="711"/>
      <c r="W16" s="712"/>
      <c r="X16" s="1537"/>
      <c r="Y16" s="3339"/>
      <c r="Z16" s="1538"/>
      <c r="AA16" s="1535">
        <v>1</v>
      </c>
      <c r="AB16" s="1535">
        <v>1</v>
      </c>
      <c r="AC16" s="1535">
        <v>1</v>
      </c>
    </row>
    <row r="17" spans="1:29" ht="85.5">
      <c r="A17" s="384"/>
      <c r="B17" s="584" t="s">
        <v>2522</v>
      </c>
      <c r="C17" s="2082"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2"/>
      <c r="M17" s="2936"/>
      <c r="N17" s="2936"/>
      <c r="O17" s="2994"/>
      <c r="P17" s="3339"/>
      <c r="Q17" s="1534" t="str">
        <f>B17</f>
        <v>交通便捷度</v>
      </c>
      <c r="R17" s="711" t="s">
        <v>17</v>
      </c>
      <c r="S17" s="712">
        <f>F17</f>
        <v>100</v>
      </c>
      <c r="T17" s="711" t="s">
        <v>17</v>
      </c>
      <c r="U17" s="712">
        <f>H17</f>
        <v>100</v>
      </c>
      <c r="V17" s="711" t="s">
        <v>17</v>
      </c>
      <c r="W17" s="712">
        <f>J17</f>
        <v>100</v>
      </c>
      <c r="X17" s="1537"/>
      <c r="Y17" s="3339"/>
      <c r="Z17" s="1538" t="str">
        <f>Q17</f>
        <v>交通便捷度</v>
      </c>
      <c r="AA17" s="1535">
        <f t="shared" si="3"/>
        <v>1</v>
      </c>
      <c r="AB17" s="1535">
        <f t="shared" si="4"/>
        <v>1</v>
      </c>
      <c r="AC17" s="1535">
        <f t="shared" si="5"/>
        <v>1</v>
      </c>
    </row>
    <row r="18" spans="1:29" ht="15">
      <c r="A18" s="384"/>
      <c r="B18" s="585"/>
      <c r="C18" s="403"/>
      <c r="D18" s="404"/>
      <c r="E18" s="2080"/>
      <c r="F18" s="404"/>
      <c r="G18" s="2080"/>
      <c r="H18" s="404"/>
      <c r="I18" s="2079"/>
      <c r="J18" s="404"/>
      <c r="K18" s="625"/>
      <c r="L18" s="2942"/>
      <c r="M18" s="2936"/>
      <c r="N18" s="2936"/>
      <c r="O18" s="2994"/>
      <c r="P18" s="3339"/>
      <c r="Q18" s="1534"/>
      <c r="R18" s="711"/>
      <c r="S18" s="712"/>
      <c r="T18" s="711"/>
      <c r="U18" s="712"/>
      <c r="V18" s="711"/>
      <c r="W18" s="712"/>
      <c r="X18" s="1537"/>
      <c r="Y18" s="3339"/>
      <c r="Z18" s="1538"/>
      <c r="AA18" s="1535">
        <v>1</v>
      </c>
      <c r="AB18" s="1535">
        <v>1</v>
      </c>
      <c r="AC18" s="1535">
        <v>1</v>
      </c>
    </row>
    <row r="19" spans="1:29" ht="15">
      <c r="A19" s="384"/>
      <c r="B19" s="584" t="s">
        <v>2561</v>
      </c>
      <c r="C19" s="208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2"/>
      <c r="M19" s="2936"/>
      <c r="N19" s="2936"/>
      <c r="O19" s="2994"/>
      <c r="P19" s="3339"/>
      <c r="Q19" s="1534" t="str">
        <f t="shared" ref="Q19:Q33" si="8">B19</f>
        <v>区域土地利用方向</v>
      </c>
      <c r="R19" s="711" t="s">
        <v>17</v>
      </c>
      <c r="S19" s="712">
        <f>F19</f>
        <v>100</v>
      </c>
      <c r="T19" s="711" t="s">
        <v>17</v>
      </c>
      <c r="U19" s="712">
        <f>H19</f>
        <v>100</v>
      </c>
      <c r="V19" s="711" t="s">
        <v>17</v>
      </c>
      <c r="W19" s="712">
        <f>J19</f>
        <v>100</v>
      </c>
      <c r="X19" s="1537"/>
      <c r="Y19" s="3339"/>
      <c r="Z19" s="1538" t="str">
        <f>Q19</f>
        <v>区域土地利用方向</v>
      </c>
      <c r="AA19" s="1535">
        <f t="shared" si="3"/>
        <v>1</v>
      </c>
      <c r="AB19" s="1535">
        <f t="shared" si="4"/>
        <v>1</v>
      </c>
      <c r="AC19" s="1535">
        <f t="shared" si="5"/>
        <v>1</v>
      </c>
    </row>
    <row r="20" spans="1:29" ht="15">
      <c r="A20" s="361"/>
      <c r="B20" s="585"/>
      <c r="C20" s="403"/>
      <c r="D20" s="404"/>
      <c r="E20" s="2080"/>
      <c r="F20" s="404"/>
      <c r="G20" s="2080"/>
      <c r="H20" s="404"/>
      <c r="I20" s="2080"/>
      <c r="J20" s="404"/>
      <c r="K20" s="748"/>
      <c r="L20" s="2942"/>
      <c r="M20" s="2936"/>
      <c r="N20" s="2936"/>
      <c r="O20" s="2994"/>
      <c r="P20" s="3339"/>
      <c r="Q20" s="1534"/>
      <c r="R20" s="711"/>
      <c r="S20" s="712"/>
      <c r="T20" s="711"/>
      <c r="U20" s="712"/>
      <c r="V20" s="711"/>
      <c r="W20" s="712"/>
      <c r="X20" s="1537"/>
      <c r="Y20" s="3339"/>
      <c r="Z20" s="1538"/>
      <c r="AA20" s="1535"/>
      <c r="AB20" s="1535"/>
      <c r="AC20" s="1535"/>
    </row>
    <row r="21" spans="1:29" ht="71.25">
      <c r="A21" s="361"/>
      <c r="B21" s="584" t="s">
        <v>2612</v>
      </c>
      <c r="C21" s="2082"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2"/>
      <c r="M21" s="2936"/>
      <c r="N21" s="2936"/>
      <c r="O21" s="2994"/>
      <c r="P21" s="3339"/>
      <c r="Q21" s="1534" t="str">
        <f t="shared" si="8"/>
        <v>环境状况</v>
      </c>
      <c r="R21" s="711" t="s">
        <v>17</v>
      </c>
      <c r="S21" s="712">
        <f>F21</f>
        <v>100</v>
      </c>
      <c r="T21" s="711" t="s">
        <v>17</v>
      </c>
      <c r="U21" s="712">
        <f>H21</f>
        <v>100</v>
      </c>
      <c r="V21" s="711" t="s">
        <v>17</v>
      </c>
      <c r="W21" s="712">
        <f>J21</f>
        <v>100</v>
      </c>
      <c r="X21" s="1537"/>
      <c r="Y21" s="3339"/>
      <c r="Z21" s="1538" t="str">
        <f>Q21</f>
        <v>环境状况</v>
      </c>
      <c r="AA21" s="1535">
        <f t="shared" si="3"/>
        <v>1</v>
      </c>
      <c r="AB21" s="1535">
        <f t="shared" si="4"/>
        <v>1</v>
      </c>
      <c r="AC21" s="1535">
        <f t="shared" si="5"/>
        <v>1</v>
      </c>
    </row>
    <row r="22" spans="1:29" ht="15">
      <c r="A22" s="361"/>
      <c r="B22" s="585"/>
      <c r="C22" s="403"/>
      <c r="D22" s="404"/>
      <c r="E22" s="2086"/>
      <c r="F22" s="404"/>
      <c r="G22" s="2086"/>
      <c r="H22" s="404"/>
      <c r="I22" s="403"/>
      <c r="J22" s="404"/>
      <c r="K22" s="625"/>
      <c r="L22" s="2942"/>
      <c r="M22" s="2936"/>
      <c r="N22" s="2936"/>
      <c r="O22" s="2994"/>
      <c r="P22" s="3339"/>
      <c r="Q22" s="1534"/>
      <c r="R22" s="711"/>
      <c r="S22" s="712"/>
      <c r="T22" s="711"/>
      <c r="U22" s="712"/>
      <c r="V22" s="711"/>
      <c r="W22" s="712"/>
      <c r="X22" s="1537"/>
      <c r="Y22" s="3339"/>
      <c r="Z22" s="1538"/>
      <c r="AA22" s="1535">
        <v>1</v>
      </c>
      <c r="AB22" s="1535">
        <v>1</v>
      </c>
      <c r="AC22" s="1535">
        <v>1</v>
      </c>
    </row>
    <row r="23" spans="1:29" s="112" customFormat="1" ht="42.75">
      <c r="A23" s="602"/>
      <c r="B23" s="586" t="s">
        <v>2467</v>
      </c>
      <c r="C23" s="2082"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37"/>
      <c r="M23" s="2938"/>
      <c r="N23" s="2938"/>
      <c r="O23" s="2992"/>
      <c r="P23" s="3339"/>
      <c r="Q23" s="1525" t="str">
        <f t="shared" si="8"/>
        <v>公共配套设施</v>
      </c>
      <c r="R23" s="707" t="s">
        <v>17</v>
      </c>
      <c r="S23" s="708">
        <f>F23</f>
        <v>100</v>
      </c>
      <c r="T23" s="707" t="s">
        <v>17</v>
      </c>
      <c r="U23" s="708">
        <f>H23</f>
        <v>100</v>
      </c>
      <c r="V23" s="707" t="s">
        <v>17</v>
      </c>
      <c r="W23" s="708">
        <f>J23</f>
        <v>100</v>
      </c>
      <c r="X23" s="709"/>
      <c r="Y23" s="3339"/>
      <c r="Z23" s="55" t="str">
        <f>Q23</f>
        <v>公共配套设施</v>
      </c>
      <c r="AA23" s="1535">
        <f>D23/F23</f>
        <v>1</v>
      </c>
      <c r="AB23" s="1535">
        <f>D23/H23</f>
        <v>1</v>
      </c>
      <c r="AC23" s="1535">
        <f>D23/J23</f>
        <v>1</v>
      </c>
    </row>
    <row r="24" spans="1:29" s="112" customFormat="1" ht="15">
      <c r="A24" s="602"/>
      <c r="B24" s="585"/>
      <c r="C24" s="2160"/>
      <c r="D24" s="404"/>
      <c r="E24" s="2086"/>
      <c r="F24" s="404"/>
      <c r="G24" s="2086"/>
      <c r="H24" s="404"/>
      <c r="I24" s="403"/>
      <c r="J24" s="404"/>
      <c r="K24" s="625"/>
      <c r="L24" s="2937"/>
      <c r="M24" s="2938"/>
      <c r="N24" s="2938"/>
      <c r="O24" s="2992"/>
      <c r="P24" s="3339"/>
      <c r="Q24" s="1525"/>
      <c r="R24" s="707"/>
      <c r="S24" s="708"/>
      <c r="T24" s="707"/>
      <c r="U24" s="708"/>
      <c r="V24" s="707"/>
      <c r="W24" s="708"/>
      <c r="X24" s="709"/>
      <c r="Y24" s="3339"/>
      <c r="Z24" s="55"/>
      <c r="AA24" s="710">
        <v>1</v>
      </c>
      <c r="AB24" s="710">
        <v>1</v>
      </c>
      <c r="AC24" s="710">
        <v>1</v>
      </c>
    </row>
    <row r="25" spans="1:29" s="112" customFormat="1" ht="28.5">
      <c r="A25" s="602"/>
      <c r="B25" s="586" t="s">
        <v>2468</v>
      </c>
      <c r="C25" s="208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37"/>
      <c r="M25" s="2938"/>
      <c r="N25" s="2938"/>
      <c r="O25" s="2992"/>
      <c r="P25" s="3339"/>
      <c r="Q25" s="1525" t="str">
        <f t="shared" ref="Q25" si="9">B25</f>
        <v>基础设施水平</v>
      </c>
      <c r="R25" s="707" t="s">
        <v>17</v>
      </c>
      <c r="S25" s="708">
        <f>F25</f>
        <v>100</v>
      </c>
      <c r="T25" s="707" t="s">
        <v>17</v>
      </c>
      <c r="U25" s="708">
        <f>H25</f>
        <v>100</v>
      </c>
      <c r="V25" s="707" t="s">
        <v>17</v>
      </c>
      <c r="W25" s="708">
        <f>J25</f>
        <v>100</v>
      </c>
      <c r="X25" s="709"/>
      <c r="Y25" s="3339"/>
      <c r="Z25" s="55" t="str">
        <f>Q25</f>
        <v>基础设施水平</v>
      </c>
      <c r="AA25" s="1535">
        <f>D25/F25</f>
        <v>1</v>
      </c>
      <c r="AB25" s="1535">
        <f>D25/H25</f>
        <v>1</v>
      </c>
      <c r="AC25" s="1535">
        <f>D25/J25</f>
        <v>1</v>
      </c>
    </row>
    <row r="26" spans="1:29" s="112" customFormat="1" ht="15">
      <c r="A26" s="602"/>
      <c r="B26" s="585"/>
      <c r="C26" s="2160"/>
      <c r="D26" s="404"/>
      <c r="E26" s="2161"/>
      <c r="F26" s="404"/>
      <c r="G26" s="2161"/>
      <c r="H26" s="404"/>
      <c r="I26" s="2161"/>
      <c r="J26" s="404"/>
      <c r="K26" s="625"/>
      <c r="L26" s="2937"/>
      <c r="M26" s="2938"/>
      <c r="N26" s="2938"/>
      <c r="O26" s="2992"/>
      <c r="P26" s="3339"/>
      <c r="Q26" s="1525"/>
      <c r="R26" s="707"/>
      <c r="S26" s="708"/>
      <c r="T26" s="707"/>
      <c r="U26" s="708"/>
      <c r="V26" s="707"/>
      <c r="W26" s="708"/>
      <c r="X26" s="709"/>
      <c r="Y26" s="3339"/>
      <c r="Z26" s="55"/>
      <c r="AA26" s="710">
        <v>1</v>
      </c>
      <c r="AB26" s="710">
        <v>1</v>
      </c>
      <c r="AC26" s="710">
        <v>1</v>
      </c>
    </row>
    <row r="27" spans="1:29" ht="15">
      <c r="A27" s="384"/>
      <c r="B27" s="585" t="s">
        <v>2469</v>
      </c>
      <c r="C27" s="570"/>
      <c r="D27" s="391">
        <v>100</v>
      </c>
      <c r="E27" s="587"/>
      <c r="F27" s="391">
        <f>SUMIF(95:95,E27,96:96)-SUMIF(95:95,C27,96:96)+100</f>
        <v>100</v>
      </c>
      <c r="G27" s="587"/>
      <c r="H27" s="391">
        <f>SUMIF(95:95,G27,96:96)-SUMIF(95:95,C27,96:96)+100</f>
        <v>100</v>
      </c>
      <c r="I27" s="587"/>
      <c r="J27" s="391">
        <f>SUMIF(95:95,I27,96:96)-SUMIF(95:95,C27,96:96)+100</f>
        <v>100</v>
      </c>
      <c r="K27" s="626"/>
      <c r="L27" s="2942"/>
      <c r="M27" s="2936"/>
      <c r="N27" s="2936"/>
      <c r="O27" s="2994"/>
      <c r="P27" s="3339"/>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39"/>
      <c r="Z27" s="1538" t="str">
        <f t="shared" ref="Z27:Z40" si="13">Q27</f>
        <v>临街状况</v>
      </c>
      <c r="AA27" s="1535">
        <f t="shared" si="3"/>
        <v>1</v>
      </c>
      <c r="AB27" s="1535">
        <f t="shared" si="4"/>
        <v>1</v>
      </c>
      <c r="AC27" s="1535">
        <f t="shared" si="5"/>
        <v>1</v>
      </c>
    </row>
    <row r="28" spans="1:29" ht="27">
      <c r="A28" s="384"/>
      <c r="B28" s="586" t="s">
        <v>2504</v>
      </c>
      <c r="C28" s="2173">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2"/>
      <c r="M28" s="2936"/>
      <c r="N28" s="2936"/>
      <c r="O28" s="2994"/>
      <c r="P28" s="3339"/>
      <c r="Q28" s="1534" t="str">
        <f t="shared" si="8"/>
        <v>毗邻道路的类型与等级</v>
      </c>
      <c r="R28" s="711" t="s">
        <v>17</v>
      </c>
      <c r="S28" s="712">
        <f t="shared" si="10"/>
        <v>100</v>
      </c>
      <c r="T28" s="711" t="s">
        <v>17</v>
      </c>
      <c r="U28" s="712">
        <f t="shared" si="11"/>
        <v>100</v>
      </c>
      <c r="V28" s="711" t="s">
        <v>17</v>
      </c>
      <c r="W28" s="712">
        <f t="shared" si="12"/>
        <v>100</v>
      </c>
      <c r="X28" s="1537"/>
      <c r="Y28" s="3339"/>
      <c r="Z28" s="1538" t="str">
        <f t="shared" si="13"/>
        <v>毗邻道路的类型与等级</v>
      </c>
      <c r="AA28" s="1535">
        <f t="shared" si="3"/>
        <v>1</v>
      </c>
      <c r="AB28" s="1535">
        <f t="shared" si="4"/>
        <v>1</v>
      </c>
      <c r="AC28" s="1535">
        <f t="shared" si="5"/>
        <v>1</v>
      </c>
    </row>
    <row r="29" spans="1:29" ht="15">
      <c r="A29" s="384"/>
      <c r="B29" s="585"/>
      <c r="C29" s="403"/>
      <c r="D29" s="404"/>
      <c r="E29" s="2086"/>
      <c r="F29" s="404"/>
      <c r="G29" s="2086"/>
      <c r="H29" s="404"/>
      <c r="I29" s="2086"/>
      <c r="J29" s="404"/>
      <c r="K29" s="567"/>
      <c r="L29" s="2942"/>
      <c r="M29" s="2936"/>
      <c r="N29" s="2936"/>
      <c r="O29" s="2994"/>
      <c r="P29" s="3339"/>
      <c r="Q29" s="1534"/>
      <c r="R29" s="711"/>
      <c r="S29" s="712"/>
      <c r="T29" s="711"/>
      <c r="U29" s="712"/>
      <c r="V29" s="711"/>
      <c r="W29" s="712"/>
      <c r="X29" s="1537"/>
      <c r="Y29" s="3339"/>
      <c r="Z29" s="1538"/>
      <c r="AA29" s="1535">
        <v>1</v>
      </c>
      <c r="AB29" s="1535">
        <v>1</v>
      </c>
      <c r="AC29" s="1535">
        <v>1</v>
      </c>
    </row>
    <row r="30" spans="1:29" ht="15">
      <c r="A30" s="384"/>
      <c r="B30" s="607" t="s">
        <v>2563</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2"/>
      <c r="M30" s="2936"/>
      <c r="N30" s="2936"/>
      <c r="O30" s="2994"/>
      <c r="P30" s="3339"/>
      <c r="Q30" s="1534" t="str">
        <f t="shared" si="8"/>
        <v>土地级别</v>
      </c>
      <c r="R30" s="711" t="s">
        <v>17</v>
      </c>
      <c r="S30" s="712">
        <f t="shared" si="10"/>
        <v>100</v>
      </c>
      <c r="T30" s="711" t="s">
        <v>17</v>
      </c>
      <c r="U30" s="712">
        <f t="shared" si="11"/>
        <v>100</v>
      </c>
      <c r="V30" s="711" t="s">
        <v>17</v>
      </c>
      <c r="W30" s="712">
        <f t="shared" si="12"/>
        <v>100</v>
      </c>
      <c r="X30" s="1537"/>
      <c r="Y30" s="3339"/>
      <c r="Z30" s="1538" t="str">
        <f t="shared" si="13"/>
        <v>土地级别</v>
      </c>
      <c r="AA30" s="1535">
        <f t="shared" si="3"/>
        <v>1</v>
      </c>
      <c r="AB30" s="1535">
        <f t="shared" si="4"/>
        <v>1</v>
      </c>
      <c r="AC30" s="1535">
        <f t="shared" si="5"/>
        <v>1</v>
      </c>
    </row>
    <row r="31" spans="1:29" ht="15">
      <c r="A31" s="361"/>
      <c r="B31" s="214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2"/>
      <c r="M31" s="2936"/>
      <c r="N31" s="2936"/>
      <c r="O31" s="2994"/>
      <c r="P31" s="3339"/>
      <c r="Q31" s="1534">
        <f t="shared" si="8"/>
        <v>111</v>
      </c>
      <c r="R31" s="711" t="s">
        <v>17</v>
      </c>
      <c r="S31" s="712">
        <f t="shared" si="10"/>
        <v>100</v>
      </c>
      <c r="T31" s="711" t="s">
        <v>17</v>
      </c>
      <c r="U31" s="712">
        <f t="shared" si="11"/>
        <v>100</v>
      </c>
      <c r="V31" s="711" t="s">
        <v>17</v>
      </c>
      <c r="W31" s="712">
        <f t="shared" si="12"/>
        <v>100</v>
      </c>
      <c r="X31" s="1537"/>
      <c r="Y31" s="3339"/>
      <c r="Z31" s="1538">
        <f t="shared" si="13"/>
        <v>111</v>
      </c>
      <c r="AA31" s="1535">
        <f t="shared" si="3"/>
        <v>1</v>
      </c>
      <c r="AB31" s="1535">
        <f t="shared" si="4"/>
        <v>1</v>
      </c>
      <c r="AC31" s="1535">
        <f t="shared" si="5"/>
        <v>1</v>
      </c>
    </row>
    <row r="32" spans="1:29" ht="15">
      <c r="A32" s="628"/>
      <c r="B32" s="217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2"/>
      <c r="M32" s="2936"/>
      <c r="N32" s="2936"/>
      <c r="O32" s="2994"/>
      <c r="P32" s="3362" t="s">
        <v>2378</v>
      </c>
      <c r="Q32" s="1534">
        <f t="shared" si="8"/>
        <v>111</v>
      </c>
      <c r="R32" s="711" t="s">
        <v>17</v>
      </c>
      <c r="S32" s="712">
        <f t="shared" si="10"/>
        <v>100</v>
      </c>
      <c r="T32" s="711" t="s">
        <v>17</v>
      </c>
      <c r="U32" s="712">
        <f t="shared" si="11"/>
        <v>100</v>
      </c>
      <c r="V32" s="711" t="s">
        <v>17</v>
      </c>
      <c r="W32" s="712">
        <f t="shared" si="12"/>
        <v>100</v>
      </c>
      <c r="X32" s="1537"/>
      <c r="Y32" s="3343" t="s">
        <v>2378</v>
      </c>
      <c r="Z32" s="1538">
        <f t="shared" si="13"/>
        <v>111</v>
      </c>
      <c r="AA32" s="1535">
        <f t="shared" si="3"/>
        <v>1</v>
      </c>
      <c r="AB32" s="1535">
        <f t="shared" si="4"/>
        <v>1</v>
      </c>
      <c r="AC32" s="1535">
        <f t="shared" si="5"/>
        <v>1</v>
      </c>
    </row>
    <row r="33" spans="1:31" s="427" customFormat="1" ht="15.75" thickBot="1">
      <c r="A33" s="629"/>
      <c r="B33" s="217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1"/>
      <c r="M33" s="2943"/>
      <c r="N33" s="2943"/>
      <c r="O33" s="2995"/>
      <c r="P33" s="3343"/>
      <c r="Q33" s="1534">
        <f t="shared" si="8"/>
        <v>111</v>
      </c>
      <c r="R33" s="714" t="s">
        <v>17</v>
      </c>
      <c r="S33" s="715">
        <f t="shared" si="10"/>
        <v>100</v>
      </c>
      <c r="T33" s="714" t="s">
        <v>17</v>
      </c>
      <c r="U33" s="715">
        <f t="shared" si="11"/>
        <v>100</v>
      </c>
      <c r="V33" s="714" t="s">
        <v>17</v>
      </c>
      <c r="W33" s="715">
        <f t="shared" si="12"/>
        <v>100</v>
      </c>
      <c r="X33" s="716"/>
      <c r="Y33" s="3343"/>
      <c r="Z33" s="717">
        <f t="shared" si="13"/>
        <v>111</v>
      </c>
      <c r="AA33" s="1535">
        <f t="shared" si="3"/>
        <v>1</v>
      </c>
      <c r="AB33" s="1535">
        <f t="shared" si="4"/>
        <v>1</v>
      </c>
      <c r="AC33" s="1535">
        <f t="shared" si="5"/>
        <v>1</v>
      </c>
    </row>
    <row r="34" spans="1:31" ht="15">
      <c r="A34" s="396" t="s">
        <v>2376</v>
      </c>
      <c r="B34" s="412" t="s">
        <v>2564</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2"/>
      <c r="M34" s="2936"/>
      <c r="N34" s="2936"/>
      <c r="O34" s="2994"/>
      <c r="P34" s="3343"/>
      <c r="Q34" s="1534" t="str">
        <f>B34</f>
        <v>宗地面积</v>
      </c>
      <c r="R34" s="711" t="s">
        <v>17</v>
      </c>
      <c r="S34" s="712" t="e">
        <f t="shared" si="10"/>
        <v>#N/A</v>
      </c>
      <c r="T34" s="711" t="s">
        <v>17</v>
      </c>
      <c r="U34" s="712" t="e">
        <f t="shared" si="11"/>
        <v>#N/A</v>
      </c>
      <c r="V34" s="711" t="s">
        <v>17</v>
      </c>
      <c r="W34" s="712" t="e">
        <f t="shared" si="12"/>
        <v>#N/A</v>
      </c>
      <c r="X34" s="1537"/>
      <c r="Y34" s="3343"/>
      <c r="Z34" s="1538" t="str">
        <f t="shared" si="13"/>
        <v>宗地面积</v>
      </c>
      <c r="AA34" s="1535" t="e">
        <f t="shared" si="3"/>
        <v>#N/A</v>
      </c>
      <c r="AB34" s="1535" t="e">
        <f t="shared" si="4"/>
        <v>#N/A</v>
      </c>
      <c r="AC34" s="1535" t="e">
        <f t="shared" si="5"/>
        <v>#N/A</v>
      </c>
    </row>
    <row r="35" spans="1:31" ht="15">
      <c r="A35" s="428"/>
      <c r="B35" s="378" t="s">
        <v>2565</v>
      </c>
      <c r="C35" s="2088"/>
      <c r="D35" s="391">
        <v>100</v>
      </c>
      <c r="E35" s="2088"/>
      <c r="F35" s="391">
        <f>SUMIF(110:110,E35,111:111)-SUMIF(110:110,C35,111:111)+100</f>
        <v>100</v>
      </c>
      <c r="G35" s="2088"/>
      <c r="H35" s="391">
        <f>SUMIF(110:110,G35,111:111)-SUMIF(110:110,C35,111:111)+100</f>
        <v>100</v>
      </c>
      <c r="I35" s="2088"/>
      <c r="J35" s="391">
        <f>SUMIF(110:110,I35,111:111)-SUMIF(110:110,C35,111:111)+100</f>
        <v>100</v>
      </c>
      <c r="K35" s="566"/>
      <c r="L35" s="2942"/>
      <c r="M35" s="2936"/>
      <c r="N35" s="2936"/>
      <c r="O35" s="2994"/>
      <c r="P35" s="3343"/>
      <c r="Q35" s="1534" t="str">
        <f t="shared" ref="Q35:Q40" si="14">B35</f>
        <v>宗地形状</v>
      </c>
      <c r="R35" s="711" t="s">
        <v>17</v>
      </c>
      <c r="S35" s="712">
        <f t="shared" si="10"/>
        <v>100</v>
      </c>
      <c r="T35" s="711" t="s">
        <v>17</v>
      </c>
      <c r="U35" s="712">
        <f t="shared" si="11"/>
        <v>100</v>
      </c>
      <c r="V35" s="711" t="s">
        <v>17</v>
      </c>
      <c r="W35" s="712">
        <f t="shared" si="12"/>
        <v>100</v>
      </c>
      <c r="X35" s="1537"/>
      <c r="Y35" s="3343"/>
      <c r="Z35" s="1538" t="str">
        <f t="shared" si="13"/>
        <v>宗地形状</v>
      </c>
      <c r="AA35" s="1535">
        <f t="shared" si="3"/>
        <v>1</v>
      </c>
      <c r="AB35" s="1535">
        <f t="shared" si="4"/>
        <v>1</v>
      </c>
      <c r="AC35" s="1535">
        <f t="shared" si="5"/>
        <v>1</v>
      </c>
    </row>
    <row r="36" spans="1:31" s="112" customFormat="1" ht="15">
      <c r="A36" s="429"/>
      <c r="B36" s="378" t="s">
        <v>2567</v>
      </c>
      <c r="C36" s="2162"/>
      <c r="D36" s="129">
        <v>100</v>
      </c>
      <c r="E36" s="2162"/>
      <c r="F36" s="391">
        <f>SUMIF(112:112,E36,113:113)-SUMIF(112:112,C36,113:113)+100</f>
        <v>100</v>
      </c>
      <c r="G36" s="2162"/>
      <c r="H36" s="391">
        <f>SUMIF(112:112,G36,113:113)-SUMIF(112:112,C36,113:113)+100</f>
        <v>100</v>
      </c>
      <c r="I36" s="2162"/>
      <c r="J36" s="391">
        <f>SUMIF(112:112,I36,113:113)-SUMIF(112:112,C36,113:113)+100</f>
        <v>100</v>
      </c>
      <c r="K36" s="566"/>
      <c r="L36" s="2937"/>
      <c r="M36" s="2938"/>
      <c r="N36" s="2938"/>
      <c r="O36" s="2992"/>
      <c r="P36" s="3343"/>
      <c r="Q36" s="1534" t="str">
        <f t="shared" si="14"/>
        <v>宗地开发程度</v>
      </c>
      <c r="R36" s="707" t="s">
        <v>17</v>
      </c>
      <c r="S36" s="708">
        <f t="shared" si="10"/>
        <v>100</v>
      </c>
      <c r="T36" s="707" t="s">
        <v>17</v>
      </c>
      <c r="U36" s="708">
        <f t="shared" si="11"/>
        <v>100</v>
      </c>
      <c r="V36" s="707" t="s">
        <v>17</v>
      </c>
      <c r="W36" s="708">
        <f t="shared" si="12"/>
        <v>100</v>
      </c>
      <c r="X36" s="709"/>
      <c r="Y36" s="3343"/>
      <c r="Z36" s="55" t="str">
        <f t="shared" si="13"/>
        <v>宗地开发程度</v>
      </c>
      <c r="AA36" s="710">
        <f t="shared" si="3"/>
        <v>1</v>
      </c>
      <c r="AB36" s="710">
        <f t="shared" si="4"/>
        <v>1</v>
      </c>
      <c r="AC36" s="710">
        <f t="shared" si="5"/>
        <v>1</v>
      </c>
    </row>
    <row r="37" spans="1:31" ht="15">
      <c r="A37" s="428"/>
      <c r="B37" s="378" t="s">
        <v>2568</v>
      </c>
      <c r="C37" s="2088"/>
      <c r="D37" s="391">
        <v>100</v>
      </c>
      <c r="E37" s="2088"/>
      <c r="F37" s="391">
        <f>SUMIF(114:114,E37,115:115)-SUMIF(114:114,C37,115:115)+100</f>
        <v>100</v>
      </c>
      <c r="G37" s="2088"/>
      <c r="H37" s="391">
        <f>SUMIF(114:114,G37,115:115)-SUMIF(114:114,C37,115:115)+100</f>
        <v>100</v>
      </c>
      <c r="I37" s="2088"/>
      <c r="J37" s="391">
        <f>SUMIF(114:114,I37,115:115)-SUMIF(114:114,C37,115:115)+100</f>
        <v>100</v>
      </c>
      <c r="K37" s="566"/>
      <c r="L37" s="2942"/>
      <c r="M37" s="2936"/>
      <c r="N37" s="2936"/>
      <c r="O37" s="2994"/>
      <c r="P37" s="3343" t="s">
        <v>2378</v>
      </c>
      <c r="Q37" s="1534" t="str">
        <f t="shared" si="14"/>
        <v>工程地质条件</v>
      </c>
      <c r="R37" s="711" t="s">
        <v>17</v>
      </c>
      <c r="S37" s="712">
        <f t="shared" si="10"/>
        <v>100</v>
      </c>
      <c r="T37" s="711" t="s">
        <v>17</v>
      </c>
      <c r="U37" s="712">
        <f t="shared" si="11"/>
        <v>100</v>
      </c>
      <c r="V37" s="711" t="s">
        <v>17</v>
      </c>
      <c r="W37" s="712">
        <f t="shared" si="12"/>
        <v>100</v>
      </c>
      <c r="X37" s="1537"/>
      <c r="Y37" s="3343" t="s">
        <v>2378</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2"/>
      <c r="M38" s="2936"/>
      <c r="N38" s="2936"/>
      <c r="O38" s="2994"/>
      <c r="P38" s="3343"/>
      <c r="Q38" s="1534">
        <f t="shared" si="14"/>
        <v>111</v>
      </c>
      <c r="R38" s="711" t="s">
        <v>17</v>
      </c>
      <c r="S38" s="712">
        <f t="shared" si="10"/>
        <v>100</v>
      </c>
      <c r="T38" s="711" t="s">
        <v>17</v>
      </c>
      <c r="U38" s="712">
        <f t="shared" si="11"/>
        <v>100</v>
      </c>
      <c r="V38" s="711" t="s">
        <v>17</v>
      </c>
      <c r="W38" s="712">
        <f t="shared" si="12"/>
        <v>100</v>
      </c>
      <c r="X38" s="1537"/>
      <c r="Y38" s="3343"/>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2"/>
      <c r="M39" s="2936"/>
      <c r="N39" s="2936"/>
      <c r="O39" s="2994"/>
      <c r="P39" s="3343"/>
      <c r="Q39" s="1534">
        <f t="shared" si="14"/>
        <v>111</v>
      </c>
      <c r="R39" s="711" t="s">
        <v>17</v>
      </c>
      <c r="S39" s="712">
        <f t="shared" si="10"/>
        <v>100</v>
      </c>
      <c r="T39" s="711" t="s">
        <v>17</v>
      </c>
      <c r="U39" s="712">
        <f t="shared" si="11"/>
        <v>100</v>
      </c>
      <c r="V39" s="711" t="s">
        <v>17</v>
      </c>
      <c r="W39" s="712">
        <f t="shared" si="12"/>
        <v>100</v>
      </c>
      <c r="X39" s="1537"/>
      <c r="Y39" s="3343"/>
      <c r="Z39" s="1538">
        <f t="shared" si="13"/>
        <v>111</v>
      </c>
      <c r="AA39" s="1535">
        <f t="shared" si="3"/>
        <v>1</v>
      </c>
      <c r="AB39" s="1535">
        <f t="shared" si="4"/>
        <v>1</v>
      </c>
      <c r="AC39" s="1535">
        <f t="shared" si="5"/>
        <v>1</v>
      </c>
    </row>
    <row r="40" spans="1:31" s="427" customFormat="1" ht="15.75" thickBot="1">
      <c r="A40" s="424"/>
      <c r="B40" s="1293">
        <v>111</v>
      </c>
      <c r="C40" s="2163"/>
      <c r="D40" s="130">
        <v>100</v>
      </c>
      <c r="E40" s="627"/>
      <c r="F40" s="394">
        <f>SUMIF(120:120,E40,121:121)-SUMIF(120:120,C40,121:121)+100</f>
        <v>100</v>
      </c>
      <c r="G40" s="627"/>
      <c r="H40" s="394">
        <f>SUMIF(120:120,G40,121:121)-SUMIF(120:120,C40,121:121)+100</f>
        <v>100</v>
      </c>
      <c r="I40" s="503"/>
      <c r="J40" s="394">
        <f>SUMIF(120:120,I40,121:121)-SUMIF(120:120,C40,121:121)+100</f>
        <v>100</v>
      </c>
      <c r="K40" s="634"/>
      <c r="L40" s="2941"/>
      <c r="M40" s="2943"/>
      <c r="N40" s="2943"/>
      <c r="O40" s="2995"/>
      <c r="P40" s="3343"/>
      <c r="Q40" s="1534">
        <f t="shared" si="14"/>
        <v>111</v>
      </c>
      <c r="R40" s="714" t="s">
        <v>17</v>
      </c>
      <c r="S40" s="715">
        <f t="shared" si="10"/>
        <v>100</v>
      </c>
      <c r="T40" s="714" t="s">
        <v>17</v>
      </c>
      <c r="U40" s="715">
        <f t="shared" si="11"/>
        <v>100</v>
      </c>
      <c r="V40" s="714" t="s">
        <v>17</v>
      </c>
      <c r="W40" s="715">
        <f t="shared" si="12"/>
        <v>100</v>
      </c>
      <c r="X40" s="716"/>
      <c r="Y40" s="3343"/>
      <c r="Z40" s="717">
        <f t="shared" si="13"/>
        <v>111</v>
      </c>
      <c r="AA40" s="1535">
        <f t="shared" si="3"/>
        <v>1</v>
      </c>
      <c r="AB40" s="1535">
        <f t="shared" si="4"/>
        <v>1</v>
      </c>
      <c r="AC40" s="1535">
        <f t="shared" si="5"/>
        <v>1</v>
      </c>
    </row>
    <row r="41" spans="1:31" ht="15">
      <c r="A41" s="435" t="s">
        <v>2533</v>
      </c>
      <c r="B41" s="2164" t="s">
        <v>2613</v>
      </c>
      <c r="C41" s="635" t="s">
        <v>1</v>
      </c>
      <c r="D41" s="437"/>
      <c r="E41" s="438"/>
      <c r="F41" s="439"/>
      <c r="G41" s="440"/>
      <c r="H41" s="441"/>
      <c r="I41" s="438"/>
      <c r="J41" s="441"/>
      <c r="K41" s="720"/>
      <c r="L41" s="2944"/>
      <c r="M41" s="2936"/>
      <c r="N41" s="2936"/>
      <c r="O41" s="2945"/>
      <c r="P41" s="3336" t="str">
        <f>A41</f>
        <v>成交单价</v>
      </c>
      <c r="Q41" s="3336"/>
      <c r="R41" s="3331">
        <f>E41</f>
        <v>0</v>
      </c>
      <c r="S41" s="3331"/>
      <c r="T41" s="3331">
        <f>G41</f>
        <v>0</v>
      </c>
      <c r="U41" s="3331"/>
      <c r="V41" s="3331">
        <f>I41</f>
        <v>0</v>
      </c>
      <c r="W41" s="3331"/>
      <c r="X41" s="696"/>
      <c r="Y41" s="718"/>
      <c r="Z41" s="696"/>
      <c r="AA41" s="696"/>
      <c r="AB41" s="696"/>
      <c r="AC41" s="696"/>
    </row>
    <row r="42" spans="1:31" ht="15.75" thickBot="1">
      <c r="A42" s="442" t="s">
        <v>2482</v>
      </c>
      <c r="B42" s="636"/>
      <c r="C42" s="445" t="e">
        <f>R43</f>
        <v>#DIV/0!</v>
      </c>
      <c r="D42" s="2534" t="s">
        <v>2871</v>
      </c>
      <c r="E42" s="445" t="e">
        <f>R42</f>
        <v>#DIV/0!</v>
      </c>
      <c r="F42" s="2535"/>
      <c r="G42" s="444" t="e">
        <f>T42</f>
        <v>#DIV/0!</v>
      </c>
      <c r="H42" s="2535"/>
      <c r="I42" s="445" t="e">
        <f>V42</f>
        <v>#DIV/0!</v>
      </c>
      <c r="J42" s="2535"/>
      <c r="K42" s="2537">
        <f>F42+H42+J42</f>
        <v>0</v>
      </c>
      <c r="L42" s="2944"/>
      <c r="M42" s="2936"/>
      <c r="N42" s="2936"/>
      <c r="O42" s="2945"/>
      <c r="P42" s="3336" t="str">
        <f>A42</f>
        <v>比较价值（元/平方米）</v>
      </c>
      <c r="Q42" s="3336"/>
      <c r="R42" s="3364" t="e">
        <f>ROUND(PRODUCT(R41,AA7:AA40),0)</f>
        <v>#DIV/0!</v>
      </c>
      <c r="S42" s="3364"/>
      <c r="T42" s="3364" t="e">
        <f>ROUND(PRODUCT(T41,AB7:AB40),0)</f>
        <v>#DIV/0!</v>
      </c>
      <c r="U42" s="3364"/>
      <c r="V42" s="3364" t="e">
        <f>ROUND(PRODUCT(V41,AC7:AC40),0)</f>
        <v>#DIV/0!</v>
      </c>
      <c r="W42" s="3364"/>
      <c r="X42" s="696"/>
      <c r="Y42" s="696"/>
      <c r="Z42" s="696"/>
      <c r="AA42" s="696"/>
      <c r="AB42" s="696"/>
      <c r="AC42" s="696"/>
    </row>
    <row r="43" spans="1:31" ht="15.75" thickBot="1">
      <c r="A43" s="446" t="s">
        <v>2483</v>
      </c>
      <c r="B43" s="447"/>
      <c r="C43" s="448" t="e">
        <f>R43</f>
        <v>#DIV/0!</v>
      </c>
      <c r="D43" s="448"/>
      <c r="E43" s="448"/>
      <c r="F43" s="448"/>
      <c r="G43" s="448"/>
      <c r="H43" s="448"/>
      <c r="I43" s="448"/>
      <c r="J43" s="448"/>
      <c r="K43" s="721"/>
      <c r="L43" s="2944"/>
      <c r="M43" s="2936"/>
      <c r="N43" s="2936"/>
      <c r="O43" s="2945"/>
      <c r="P43" s="3333" t="str">
        <f>A43</f>
        <v>估价对象XX用房的比较价值（楼面单价，元/平方米）</v>
      </c>
      <c r="Q43" s="3334"/>
      <c r="R43" s="3365" t="e">
        <f>ROUND(IF(D42="简单平均",AVERAGE(R42:W42),R42*F42+T42*H42+V42*J42),0)</f>
        <v>#DIV/0!</v>
      </c>
      <c r="S43" s="3365"/>
      <c r="T43" s="3365"/>
      <c r="U43" s="3365"/>
      <c r="V43" s="3365"/>
      <c r="W43" s="3365"/>
      <c r="X43" s="696"/>
      <c r="Y43" s="696"/>
      <c r="Z43" s="696"/>
      <c r="AA43" s="696"/>
      <c r="AB43" s="696"/>
      <c r="AC43" s="696"/>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1" t="s">
        <v>2484</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1" t="s">
        <v>2485</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6" customFormat="1" ht="13.5" customHeight="1">
      <c r="A48" s="2948"/>
      <c r="B48" s="2948"/>
      <c r="C48" s="451" t="s">
        <v>2486</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6" customFormat="1" ht="15" thickBot="1">
      <c r="A49" s="2948"/>
      <c r="B49" s="2951"/>
      <c r="C49" s="699"/>
      <c r="D49" s="697"/>
      <c r="E49" s="697"/>
      <c r="F49" s="697"/>
      <c r="G49" s="697"/>
      <c r="H49" s="697"/>
      <c r="I49" s="697"/>
      <c r="J49" s="697"/>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37" t="s">
        <v>2571</v>
      </c>
      <c r="B50" s="638" t="s">
        <v>2572</v>
      </c>
      <c r="C50" s="2165" t="s">
        <v>2573</v>
      </c>
      <c r="D50" s="2166" t="s">
        <v>2574</v>
      </c>
      <c r="E50" s="639" t="s">
        <v>2575</v>
      </c>
      <c r="F50" s="640" t="s">
        <v>2576</v>
      </c>
      <c r="G50" s="3319" t="s">
        <v>2577</v>
      </c>
      <c r="H50" s="3366"/>
      <c r="I50" s="1538" t="s">
        <v>2614</v>
      </c>
      <c r="J50" s="1538" t="str">
        <f>项目基本情况!F35</f>
        <v>四川省雅安市</v>
      </c>
      <c r="K50" s="2168" t="s">
        <v>2579</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5" customFormat="1">
      <c r="A51" s="641" t="s">
        <v>2580</v>
      </c>
      <c r="B51" s="642" t="e">
        <f>C43</f>
        <v>#DIV/0!</v>
      </c>
      <c r="C51" s="643">
        <v>1</v>
      </c>
      <c r="D51" s="1072">
        <v>1</v>
      </c>
      <c r="E51" s="643">
        <f>'数据-汇总表'!E8+'数据-汇总表'!E9</f>
        <v>96962.430000000008</v>
      </c>
      <c r="F51" s="644" t="e">
        <f t="shared" ref="F51:F60" si="15">ROUND(B51*E51/10000,0)</f>
        <v>#DIV/0!</v>
      </c>
      <c r="G51" s="3318"/>
      <c r="H51" s="3336"/>
      <c r="I51" s="876">
        <v>1</v>
      </c>
      <c r="J51" s="876">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5" customFormat="1">
      <c r="A52" s="646" t="s">
        <v>2581</v>
      </c>
      <c r="B52" s="221" t="e">
        <f>ROUND($C$43*C52*D52,0)</f>
        <v>#DIV/0!</v>
      </c>
      <c r="C52" s="173">
        <f t="shared" ref="C52:C60" si="16">IF($C$50="北京市系数",I52,J52)</f>
        <v>0</v>
      </c>
      <c r="D52" s="1073">
        <v>0.25</v>
      </c>
      <c r="E52" s="647"/>
      <c r="F52" s="644" t="e">
        <f t="shared" si="15"/>
        <v>#DIV/0!</v>
      </c>
      <c r="G52" s="3367" t="s">
        <v>2582</v>
      </c>
      <c r="H52" s="1015">
        <f>项目基本情况!B37</f>
        <v>0</v>
      </c>
      <c r="I52" s="876">
        <f>SUMIF(修正!A45:A56,H52,修正!B45:B56)</f>
        <v>0</v>
      </c>
      <c r="J52" s="877"/>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5" customFormat="1">
      <c r="A53" s="646" t="s">
        <v>2583</v>
      </c>
      <c r="B53" s="221" t="e">
        <f t="shared" ref="B53:B60" si="17">ROUND($C$43*C53*D53,0)</f>
        <v>#DIV/0!</v>
      </c>
      <c r="C53" s="173">
        <f t="shared" si="16"/>
        <v>0</v>
      </c>
      <c r="D53" s="1073">
        <v>0.25</v>
      </c>
      <c r="E53" s="647"/>
      <c r="F53" s="644" t="e">
        <f t="shared" si="15"/>
        <v>#DIV/0!</v>
      </c>
      <c r="G53" s="3367"/>
      <c r="H53" s="1015">
        <f>项目基本情况!B37</f>
        <v>0</v>
      </c>
      <c r="I53" s="876">
        <f>SUMIF(修正!A45:A56,H53,修正!C45:C56)</f>
        <v>0</v>
      </c>
      <c r="J53" s="877"/>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5" customFormat="1">
      <c r="A54" s="646" t="s">
        <v>2584</v>
      </c>
      <c r="B54" s="221" t="e">
        <f t="shared" si="17"/>
        <v>#DIV/0!</v>
      </c>
      <c r="C54" s="173">
        <f t="shared" si="16"/>
        <v>0</v>
      </c>
      <c r="D54" s="1073">
        <v>0.25</v>
      </c>
      <c r="E54" s="647"/>
      <c r="F54" s="644" t="e">
        <f t="shared" si="15"/>
        <v>#DIV/0!</v>
      </c>
      <c r="G54" s="3367"/>
      <c r="H54" s="1015">
        <f>项目基本情况!B37</f>
        <v>0</v>
      </c>
      <c r="I54" s="876">
        <f>SUMIF(修正!A45:A56,H54,修正!D45:D56)</f>
        <v>0</v>
      </c>
      <c r="J54" s="877"/>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5" customFormat="1">
      <c r="A55" s="646" t="s">
        <v>2585</v>
      </c>
      <c r="B55" s="221" t="e">
        <f t="shared" si="17"/>
        <v>#DIV/0!</v>
      </c>
      <c r="C55" s="173">
        <f t="shared" si="16"/>
        <v>0</v>
      </c>
      <c r="D55" s="1073">
        <v>0.25</v>
      </c>
      <c r="E55" s="647"/>
      <c r="F55" s="644" t="e">
        <f t="shared" si="15"/>
        <v>#DIV/0!</v>
      </c>
      <c r="G55" s="3367"/>
      <c r="H55" s="1015">
        <f>项目基本情况!B37</f>
        <v>0</v>
      </c>
      <c r="I55" s="876">
        <f>SUMIF(修正!A45:A56,H55,修正!E45:E56)</f>
        <v>0</v>
      </c>
      <c r="J55" s="877"/>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5" customFormat="1">
      <c r="A56" s="646" t="s">
        <v>2586</v>
      </c>
      <c r="B56" s="221" t="e">
        <f t="shared" si="17"/>
        <v>#DIV/0!</v>
      </c>
      <c r="C56" s="173">
        <f t="shared" si="16"/>
        <v>0</v>
      </c>
      <c r="D56" s="1073">
        <v>0.25</v>
      </c>
      <c r="E56" s="220">
        <f>'数据-汇总表'!E11</f>
        <v>0</v>
      </c>
      <c r="F56" s="644" t="e">
        <f t="shared" si="15"/>
        <v>#DIV/0!</v>
      </c>
      <c r="G56" s="2169" t="s">
        <v>2587</v>
      </c>
      <c r="H56" s="1015">
        <f>项目基本情况!C37</f>
        <v>0</v>
      </c>
      <c r="I56" s="876">
        <f>SUMIF(修正!A45:A56,H56,修正!F45:F56)</f>
        <v>0</v>
      </c>
      <c r="J56" s="877"/>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5" customFormat="1">
      <c r="A57" s="646" t="s">
        <v>2588</v>
      </c>
      <c r="B57" s="221" t="e">
        <f t="shared" si="17"/>
        <v>#DIV/0!</v>
      </c>
      <c r="C57" s="173">
        <f t="shared" si="16"/>
        <v>0</v>
      </c>
      <c r="D57" s="1073">
        <v>0.25</v>
      </c>
      <c r="E57" s="220">
        <f>'数据-汇总表'!E12</f>
        <v>0</v>
      </c>
      <c r="F57" s="644" t="e">
        <f t="shared" si="15"/>
        <v>#DIV/0!</v>
      </c>
      <c r="G57" s="1020" t="s">
        <v>2589</v>
      </c>
      <c r="H57" s="1015">
        <f>IF(G57="商业",项目基本情况!B37,IF(G57="办公",项目基本情况!C37,IF(G57="住宅",项目基本情况!D37,项目基本情况!E37)))</f>
        <v>0</v>
      </c>
      <c r="I57" s="876">
        <f>SUMIF(修正!A45:A56,H57,修正!G45:G56)</f>
        <v>0</v>
      </c>
      <c r="J57" s="877"/>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5" customFormat="1">
      <c r="A58" s="646" t="s">
        <v>2590</v>
      </c>
      <c r="B58" s="221" t="e">
        <f t="shared" si="17"/>
        <v>#DIV/0!</v>
      </c>
      <c r="C58" s="173">
        <f t="shared" si="16"/>
        <v>0</v>
      </c>
      <c r="D58" s="1073">
        <v>0.25</v>
      </c>
      <c r="E58" s="220">
        <f>'数据-汇总表'!E13</f>
        <v>0</v>
      </c>
      <c r="F58" s="644" t="e">
        <f t="shared" si="15"/>
        <v>#DIV/0!</v>
      </c>
      <c r="G58" s="1020" t="s">
        <v>2591</v>
      </c>
      <c r="H58" s="1015">
        <f>IF(G58="商业",项目基本情况!B37,IF(G58="办公",项目基本情况!C37,IF(G58="住宅",项目基本情况!D37,项目基本情况!E37)))</f>
        <v>0</v>
      </c>
      <c r="I58" s="876">
        <f>SUMIF(修正!A45:A56,H58,修正!H45:H56)</f>
        <v>0</v>
      </c>
      <c r="J58" s="877"/>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5" customFormat="1">
      <c r="A59" s="646" t="s">
        <v>2592</v>
      </c>
      <c r="B59" s="221" t="e">
        <f t="shared" si="17"/>
        <v>#DIV/0!</v>
      </c>
      <c r="C59" s="173">
        <f t="shared" si="16"/>
        <v>0</v>
      </c>
      <c r="D59" s="1073">
        <v>0.25</v>
      </c>
      <c r="E59" s="220">
        <f>'数据-汇总表'!E14</f>
        <v>0</v>
      </c>
      <c r="F59" s="644" t="e">
        <f t="shared" si="15"/>
        <v>#DIV/0!</v>
      </c>
      <c r="G59" s="2169" t="s">
        <v>2582</v>
      </c>
      <c r="H59" s="1015">
        <f>项目基本情况!B37</f>
        <v>0</v>
      </c>
      <c r="I59" s="876">
        <f>SUMIF(修正!A45:A56,H59,修正!H45:H56)</f>
        <v>0</v>
      </c>
      <c r="J59" s="877"/>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5" customFormat="1" ht="15" thickBot="1">
      <c r="A60" s="646" t="s">
        <v>2593</v>
      </c>
      <c r="B60" s="221" t="e">
        <f t="shared" si="17"/>
        <v>#DIV/0!</v>
      </c>
      <c r="C60" s="173">
        <f t="shared" si="16"/>
        <v>0</v>
      </c>
      <c r="D60" s="1073">
        <v>0.25</v>
      </c>
      <c r="E60" s="220">
        <f>'数据-汇总表'!E15</f>
        <v>0</v>
      </c>
      <c r="F60" s="644" t="e">
        <f t="shared" si="15"/>
        <v>#DIV/0!</v>
      </c>
      <c r="G60" s="2170" t="s">
        <v>2587</v>
      </c>
      <c r="H60" s="1025">
        <f>项目基本情况!C37</f>
        <v>0</v>
      </c>
      <c r="I60" s="876">
        <f>SUMIF(修正!A45:A56,H60,修正!H45:H56)</f>
        <v>0</v>
      </c>
      <c r="J60" s="877"/>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5" customFormat="1" ht="15" thickBot="1">
      <c r="A61" s="648" t="s">
        <v>2594</v>
      </c>
      <c r="B61" s="649" t="s">
        <v>28</v>
      </c>
      <c r="C61" s="649" t="s">
        <v>29</v>
      </c>
      <c r="D61" s="649" t="s">
        <v>997</v>
      </c>
      <c r="E61" s="649">
        <f>IF(B41="楼面地价",SUM(E51:E60),'数据-汇总表'!D3)</f>
        <v>47924.04</v>
      </c>
      <c r="F61" s="650" t="e">
        <f>IF(B41="楼面地价",SUM(F51:F60),ROUND(C43*E61/10000,0))</f>
        <v>#DIV/0!</v>
      </c>
      <c r="G61" s="1067"/>
      <c r="H61" s="1067"/>
      <c r="I61" s="1067"/>
      <c r="J61" s="1067"/>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5"/>
      <c r="B62" s="1057"/>
      <c r="C62" s="1059"/>
      <c r="D62" s="1055"/>
      <c r="E62" s="1055"/>
      <c r="F62" s="1055"/>
      <c r="G62" s="1055"/>
      <c r="H62" s="1055"/>
      <c r="I62" s="1055"/>
      <c r="J62" s="1055"/>
      <c r="K62" s="1016"/>
      <c r="L62" s="1017"/>
      <c r="M62" s="1055"/>
      <c r="N62" s="1055"/>
      <c r="O62" s="1055"/>
      <c r="P62" s="2945"/>
      <c r="Q62" s="2945"/>
      <c r="R62" s="2945"/>
      <c r="S62" s="2945"/>
      <c r="T62" s="2945"/>
      <c r="U62" s="2945"/>
      <c r="V62" s="2945"/>
      <c r="W62" s="2945"/>
      <c r="X62" s="2945"/>
      <c r="Y62" s="2945"/>
      <c r="Z62" s="2945"/>
      <c r="AA62" s="2945"/>
      <c r="AB62" s="2945"/>
      <c r="AC62" s="2945"/>
      <c r="AD62" s="2945"/>
      <c r="AE62" s="2945"/>
    </row>
    <row r="63" spans="1:31">
      <c r="A63" s="1055"/>
      <c r="B63" s="1057"/>
      <c r="C63" s="698" t="str">
        <f>YEAR(C7)&amp;"-"&amp;MONTH(C7)&amp;"-1"</f>
        <v>2021-6-1</v>
      </c>
      <c r="D63" s="698">
        <f>EDATE(C63,-3)</f>
        <v>44256</v>
      </c>
      <c r="E63" s="698">
        <f>EDATE(D63,-3)</f>
        <v>44166</v>
      </c>
      <c r="F63" s="698">
        <f t="shared" ref="F63:O63" si="18">EDATE(E63,-3)</f>
        <v>44075</v>
      </c>
      <c r="G63" s="698">
        <f t="shared" si="18"/>
        <v>43983</v>
      </c>
      <c r="H63" s="698">
        <f t="shared" si="18"/>
        <v>43891</v>
      </c>
      <c r="I63" s="698">
        <f t="shared" si="18"/>
        <v>43800</v>
      </c>
      <c r="J63" s="698">
        <f t="shared" si="18"/>
        <v>43709</v>
      </c>
      <c r="K63" s="698">
        <f t="shared" si="18"/>
        <v>43617</v>
      </c>
      <c r="L63" s="698">
        <f t="shared" si="18"/>
        <v>43525</v>
      </c>
      <c r="M63" s="698">
        <f t="shared" si="18"/>
        <v>43435</v>
      </c>
      <c r="N63" s="698">
        <f t="shared" si="18"/>
        <v>43344</v>
      </c>
      <c r="O63" s="698">
        <f t="shared" si="18"/>
        <v>43252</v>
      </c>
      <c r="P63" s="2945"/>
      <c r="Q63" s="2945"/>
      <c r="R63" s="2945"/>
      <c r="S63" s="2945"/>
      <c r="T63" s="2945"/>
      <c r="U63" s="2945"/>
      <c r="V63" s="2945"/>
      <c r="W63" s="2945"/>
      <c r="X63" s="2945"/>
      <c r="Y63" s="2945"/>
      <c r="Z63" s="2945"/>
      <c r="AA63" s="2945"/>
      <c r="AB63" s="2945"/>
      <c r="AC63" s="2945"/>
      <c r="AD63" s="2945"/>
      <c r="AE63" s="2945"/>
    </row>
    <row r="64" spans="1:31" ht="21.75" thickBot="1">
      <c r="A64" s="700" t="s">
        <v>2487</v>
      </c>
      <c r="B64" s="696"/>
      <c r="C64" s="701"/>
      <c r="D64" s="701"/>
      <c r="E64" s="701"/>
      <c r="F64" s="702"/>
      <c r="G64" s="702"/>
      <c r="H64" s="701"/>
      <c r="I64" s="701"/>
      <c r="J64" s="701"/>
      <c r="K64" s="703"/>
      <c r="L64" s="704"/>
      <c r="M64" s="701"/>
      <c r="N64" s="701"/>
      <c r="O64" s="1068"/>
      <c r="P64" s="2989"/>
      <c r="Q64" s="2959"/>
      <c r="R64" s="2945"/>
      <c r="S64" s="2945"/>
      <c r="T64" s="2945"/>
      <c r="U64" s="2945"/>
      <c r="V64" s="2945"/>
      <c r="W64" s="2945"/>
      <c r="X64" s="2945"/>
      <c r="Y64" s="2945"/>
      <c r="Z64" s="2945"/>
      <c r="AA64" s="2945"/>
      <c r="AB64" s="2945"/>
      <c r="AC64" s="2945"/>
      <c r="AD64" s="2945"/>
      <c r="AE64" s="2945"/>
    </row>
    <row r="65" spans="1:31" s="462" customFormat="1" ht="15">
      <c r="A65" s="2171" t="s">
        <v>2595</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2996"/>
      <c r="Q65" s="2961"/>
      <c r="R65" s="2961"/>
      <c r="S65" s="2961"/>
      <c r="T65" s="2961"/>
      <c r="U65" s="2961"/>
      <c r="V65" s="2961"/>
      <c r="W65" s="2961"/>
      <c r="X65" s="2961"/>
      <c r="Y65" s="2961"/>
      <c r="Z65" s="2961"/>
      <c r="AA65" s="2961"/>
      <c r="AB65" s="2961"/>
      <c r="AC65" s="2961"/>
      <c r="AD65" s="2961"/>
      <c r="AE65" s="2961"/>
    </row>
    <row r="66" spans="1:31" s="112" customFormat="1" ht="30.75" customHeight="1">
      <c r="A66" s="2176" t="s">
        <v>2615</v>
      </c>
      <c r="B66" s="291" t="str">
        <f>"北京市平均增长率"&amp;TEXT(基准地价修正!P24,"0.00%")</f>
        <v>北京市平均增长率0.00%</v>
      </c>
      <c r="C66" s="557">
        <v>100</v>
      </c>
      <c r="D66" s="549"/>
      <c r="E66" s="549"/>
      <c r="F66" s="549"/>
      <c r="G66" s="549"/>
      <c r="H66" s="549"/>
      <c r="I66" s="549"/>
      <c r="J66" s="549"/>
      <c r="K66" s="549"/>
      <c r="L66" s="549"/>
      <c r="M66" s="1337"/>
      <c r="N66" s="1337"/>
      <c r="O66" s="1339"/>
      <c r="P66" s="2959"/>
      <c r="Q66" s="2879"/>
      <c r="R66" s="2879"/>
      <c r="S66" s="2879"/>
      <c r="T66" s="2879"/>
      <c r="U66" s="2879"/>
      <c r="V66" s="2879"/>
      <c r="W66" s="2879"/>
      <c r="X66" s="2879"/>
      <c r="Y66" s="2879"/>
      <c r="Z66" s="2879"/>
      <c r="AA66" s="2879"/>
      <c r="AB66" s="2879"/>
      <c r="AC66" s="2879"/>
      <c r="AD66" s="2879"/>
      <c r="AE66" s="2879"/>
    </row>
    <row r="67" spans="1:31" s="112" customFormat="1" ht="15.75" thickBot="1">
      <c r="A67" s="469" t="s">
        <v>2398</v>
      </c>
      <c r="B67" s="470"/>
      <c r="C67" s="471"/>
      <c r="D67" s="472"/>
      <c r="E67" s="472"/>
      <c r="F67" s="472"/>
      <c r="G67" s="472"/>
      <c r="H67" s="472"/>
      <c r="I67" s="472"/>
      <c r="J67" s="472"/>
      <c r="K67" s="472"/>
      <c r="L67" s="472"/>
      <c r="M67" s="473"/>
      <c r="N67" s="473"/>
      <c r="O67" s="474"/>
      <c r="P67" s="2959"/>
      <c r="Q67" s="2959"/>
      <c r="R67" s="2879"/>
      <c r="S67" s="2879"/>
      <c r="T67" s="2879"/>
      <c r="U67" s="2879"/>
      <c r="V67" s="2879"/>
      <c r="W67" s="2879"/>
      <c r="X67" s="2879"/>
      <c r="Y67" s="2879"/>
      <c r="Z67" s="2879"/>
      <c r="AA67" s="2879"/>
      <c r="AB67" s="2879"/>
      <c r="AC67" s="2879"/>
      <c r="AD67" s="2879"/>
      <c r="AE67" s="2879"/>
    </row>
    <row r="68" spans="1:31" s="112" customFormat="1" ht="15">
      <c r="A68" s="475" t="s">
        <v>2363</v>
      </c>
      <c r="B68" s="464"/>
      <c r="C68" s="476" t="s">
        <v>2465</v>
      </c>
      <c r="D68" s="477"/>
      <c r="E68" s="477"/>
      <c r="F68" s="477"/>
      <c r="G68" s="477"/>
      <c r="H68" s="477"/>
      <c r="I68" s="477"/>
      <c r="J68" s="477"/>
      <c r="K68" s="477"/>
      <c r="L68" s="478"/>
      <c r="M68" s="479"/>
      <c r="N68" s="2972"/>
      <c r="O68" s="2972"/>
      <c r="P68" s="2997"/>
      <c r="Q68" s="2959"/>
      <c r="R68" s="2879"/>
      <c r="S68" s="2879"/>
      <c r="T68" s="2879"/>
      <c r="U68" s="2879"/>
      <c r="V68" s="2879"/>
      <c r="W68" s="2879"/>
      <c r="X68" s="2879"/>
      <c r="Y68" s="2879"/>
      <c r="Z68" s="2879"/>
      <c r="AA68" s="2879"/>
      <c r="AB68" s="2879"/>
      <c r="AC68" s="2879"/>
      <c r="AD68" s="2879"/>
      <c r="AE68" s="2879"/>
    </row>
    <row r="69" spans="1:31" s="112" customFormat="1" ht="15.75" thickBot="1">
      <c r="A69" s="475"/>
      <c r="B69" s="464"/>
      <c r="C69" s="592">
        <v>100</v>
      </c>
      <c r="D69" s="466"/>
      <c r="E69" s="466"/>
      <c r="F69" s="466"/>
      <c r="G69" s="466"/>
      <c r="H69" s="466"/>
      <c r="I69" s="466"/>
      <c r="J69" s="466"/>
      <c r="K69" s="466"/>
      <c r="L69" s="466"/>
      <c r="M69" s="468"/>
      <c r="N69" s="2972"/>
      <c r="O69" s="2972"/>
      <c r="P69" s="2959"/>
      <c r="Q69" s="2959"/>
      <c r="R69" s="2879"/>
      <c r="S69" s="2879"/>
      <c r="T69" s="2879"/>
      <c r="U69" s="2879"/>
      <c r="V69" s="2879"/>
      <c r="W69" s="2879"/>
      <c r="X69" s="2879"/>
      <c r="Y69" s="2879"/>
      <c r="Z69" s="2879"/>
      <c r="AA69" s="2879"/>
      <c r="AB69" s="2879"/>
      <c r="AC69" s="2879"/>
      <c r="AD69" s="2879"/>
      <c r="AE69" s="2879"/>
    </row>
    <row r="70" spans="1:31">
      <c r="A70" s="481" t="s">
        <v>2401</v>
      </c>
      <c r="B70" s="482" t="s">
        <v>2367</v>
      </c>
      <c r="C70" s="484"/>
      <c r="D70" s="484"/>
      <c r="E70" s="484"/>
      <c r="F70" s="484"/>
      <c r="G70" s="484"/>
      <c r="H70" s="484"/>
      <c r="I70" s="484"/>
      <c r="J70" s="484"/>
      <c r="K70" s="485"/>
      <c r="L70" s="486"/>
      <c r="M70" s="487"/>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88"/>
      <c r="B71" s="489"/>
      <c r="C71" s="490"/>
      <c r="D71" s="490"/>
      <c r="E71" s="490"/>
      <c r="F71" s="490"/>
      <c r="G71" s="490"/>
      <c r="H71" s="490"/>
      <c r="I71" s="490"/>
      <c r="J71" s="490"/>
      <c r="K71" s="490"/>
      <c r="L71" s="490"/>
      <c r="M71" s="491"/>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88"/>
      <c r="B72" s="492" t="s">
        <v>2370</v>
      </c>
      <c r="C72" s="493"/>
      <c r="D72" s="493"/>
      <c r="E72" s="493"/>
      <c r="F72" s="493"/>
      <c r="G72" s="493"/>
      <c r="H72" s="493"/>
      <c r="I72" s="493"/>
      <c r="J72" s="493"/>
      <c r="K72" s="494"/>
      <c r="L72" s="495"/>
      <c r="M72" s="496"/>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88"/>
      <c r="B73" s="497"/>
      <c r="C73" s="498"/>
      <c r="D73" s="498"/>
      <c r="E73" s="498"/>
      <c r="F73" s="498"/>
      <c r="G73" s="498"/>
      <c r="H73" s="498"/>
      <c r="I73" s="498"/>
      <c r="J73" s="498"/>
      <c r="K73" s="498"/>
      <c r="L73" s="498"/>
      <c r="M73" s="499"/>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88"/>
      <c r="B74" s="500" t="s">
        <v>2371</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88"/>
      <c r="B75" s="502"/>
      <c r="C75" s="503"/>
      <c r="D75" s="503"/>
      <c r="E75" s="503"/>
      <c r="F75" s="503"/>
      <c r="G75" s="503"/>
      <c r="H75" s="503"/>
      <c r="I75" s="503"/>
      <c r="J75" s="503"/>
      <c r="K75" s="504"/>
      <c r="L75" s="505"/>
      <c r="M75" s="506"/>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27" customFormat="1" ht="15.75" thickTop="1">
      <c r="A77" s="507"/>
      <c r="B77" s="492">
        <f>B12</f>
        <v>111</v>
      </c>
      <c r="C77" s="508"/>
      <c r="D77" s="508"/>
      <c r="E77" s="508"/>
      <c r="F77" s="508"/>
      <c r="G77" s="508"/>
      <c r="H77" s="509"/>
      <c r="I77" s="509"/>
      <c r="J77" s="509"/>
      <c r="K77" s="509"/>
      <c r="L77" s="510"/>
      <c r="M77" s="511"/>
      <c r="N77" s="2975"/>
      <c r="O77" s="2975"/>
      <c r="P77" s="2999"/>
      <c r="Q77" s="2966"/>
      <c r="R77" s="2967"/>
      <c r="S77" s="2967"/>
      <c r="T77" s="2967"/>
      <c r="U77" s="2967"/>
      <c r="V77" s="2967"/>
      <c r="W77" s="2967"/>
      <c r="X77" s="2967"/>
      <c r="Y77" s="2967"/>
      <c r="Z77" s="2967"/>
      <c r="AA77" s="2967"/>
      <c r="AB77" s="2967"/>
      <c r="AC77" s="2967"/>
      <c r="AD77" s="2967"/>
      <c r="AE77" s="2967"/>
    </row>
    <row r="78" spans="1:31" s="427" customFormat="1" ht="15.75" thickBot="1">
      <c r="A78" s="507"/>
      <c r="B78" s="497"/>
      <c r="C78" s="514"/>
      <c r="D78" s="490"/>
      <c r="E78" s="490"/>
      <c r="F78" s="490"/>
      <c r="G78" s="490"/>
      <c r="H78" s="490"/>
      <c r="I78" s="490"/>
      <c r="J78" s="490"/>
      <c r="K78" s="490"/>
      <c r="L78" s="490"/>
      <c r="M78" s="491"/>
      <c r="N78" s="2974"/>
      <c r="O78" s="2974"/>
      <c r="P78" s="2999"/>
      <c r="Q78" s="2966"/>
      <c r="R78" s="2967"/>
      <c r="S78" s="2967"/>
      <c r="T78" s="2967"/>
      <c r="U78" s="2967"/>
      <c r="V78" s="2967"/>
      <c r="W78" s="2967"/>
      <c r="X78" s="2967"/>
      <c r="Y78" s="2967"/>
      <c r="Z78" s="2967"/>
      <c r="AA78" s="2967"/>
      <c r="AB78" s="2967"/>
      <c r="AC78" s="2967"/>
      <c r="AD78" s="2967"/>
      <c r="AE78" s="2967"/>
    </row>
    <row r="79" spans="1:31" s="427" customFormat="1" ht="15.75" thickTop="1">
      <c r="A79" s="507"/>
      <c r="B79" s="492">
        <f>B13</f>
        <v>111</v>
      </c>
      <c r="C79" s="508"/>
      <c r="D79" s="508"/>
      <c r="E79" s="508"/>
      <c r="F79" s="508"/>
      <c r="G79" s="508"/>
      <c r="H79" s="509"/>
      <c r="I79" s="509"/>
      <c r="J79" s="509"/>
      <c r="K79" s="509"/>
      <c r="L79" s="510"/>
      <c r="M79" s="511"/>
      <c r="N79" s="2975"/>
      <c r="O79" s="2975"/>
      <c r="P79" s="2943"/>
      <c r="Q79" s="2969"/>
      <c r="R79" s="2967"/>
      <c r="S79" s="2967"/>
      <c r="T79" s="2967"/>
      <c r="U79" s="2967"/>
      <c r="V79" s="2967"/>
      <c r="W79" s="2967"/>
      <c r="X79" s="2967"/>
      <c r="Y79" s="2967"/>
      <c r="Z79" s="2967"/>
      <c r="AA79" s="2967"/>
      <c r="AB79" s="2967"/>
      <c r="AC79" s="2967"/>
      <c r="AD79" s="2967"/>
      <c r="AE79" s="2967"/>
    </row>
    <row r="80" spans="1:31" s="427" customFormat="1" ht="15.75" thickBot="1">
      <c r="A80" s="507"/>
      <c r="B80" s="497"/>
      <c r="C80" s="514"/>
      <c r="D80" s="514"/>
      <c r="E80" s="514"/>
      <c r="F80" s="514"/>
      <c r="G80" s="514"/>
      <c r="H80" s="516"/>
      <c r="I80" s="516"/>
      <c r="J80" s="516"/>
      <c r="K80" s="516"/>
      <c r="L80" s="516"/>
      <c r="M80" s="517"/>
      <c r="N80" s="2975"/>
      <c r="O80" s="2975"/>
      <c r="P80" s="2999"/>
      <c r="Q80" s="2966"/>
      <c r="R80" s="2967"/>
      <c r="S80" s="2967"/>
      <c r="T80" s="2967"/>
      <c r="U80" s="2967"/>
      <c r="V80" s="2967"/>
      <c r="W80" s="2967"/>
      <c r="X80" s="2967"/>
      <c r="Y80" s="2967"/>
      <c r="Z80" s="2967"/>
      <c r="AA80" s="2967"/>
      <c r="AB80" s="2967"/>
      <c r="AC80" s="2967"/>
      <c r="AD80" s="2967"/>
      <c r="AE80" s="2967"/>
    </row>
    <row r="81" spans="1:31" s="427" customFormat="1" ht="15.75" thickTop="1">
      <c r="A81" s="507"/>
      <c r="B81" s="500">
        <f>B14</f>
        <v>111</v>
      </c>
      <c r="C81" s="477"/>
      <c r="D81" s="477"/>
      <c r="E81" s="477"/>
      <c r="F81" s="477"/>
      <c r="G81" s="477"/>
      <c r="H81" s="518"/>
      <c r="I81" s="518"/>
      <c r="J81" s="518"/>
      <c r="K81" s="518"/>
      <c r="L81" s="519"/>
      <c r="M81" s="520"/>
      <c r="N81" s="2975"/>
      <c r="O81" s="2975"/>
      <c r="P81" s="3004"/>
      <c r="Q81" s="2966"/>
      <c r="R81" s="2967"/>
      <c r="S81" s="2967"/>
      <c r="T81" s="2967"/>
      <c r="U81" s="2967"/>
      <c r="V81" s="2967"/>
      <c r="W81" s="2967"/>
      <c r="X81" s="2967"/>
      <c r="Y81" s="2967"/>
      <c r="Z81" s="2967"/>
      <c r="AA81" s="2967"/>
      <c r="AB81" s="2967"/>
      <c r="AC81" s="2967"/>
      <c r="AD81" s="2967"/>
      <c r="AE81" s="2967"/>
    </row>
    <row r="82" spans="1:31" s="427" customFormat="1" ht="15.75" thickBot="1">
      <c r="A82" s="522"/>
      <c r="B82" s="523"/>
      <c r="C82" s="524"/>
      <c r="D82" s="524"/>
      <c r="E82" s="524"/>
      <c r="F82" s="524"/>
      <c r="G82" s="524"/>
      <c r="H82" s="525"/>
      <c r="I82" s="525"/>
      <c r="J82" s="525"/>
      <c r="K82" s="525"/>
      <c r="L82" s="525"/>
      <c r="M82" s="526"/>
      <c r="N82" s="2975"/>
      <c r="O82" s="2975"/>
      <c r="P82" s="2999"/>
      <c r="Q82" s="2966"/>
      <c r="R82" s="2967"/>
      <c r="S82" s="2967"/>
      <c r="T82" s="2967"/>
      <c r="U82" s="2967"/>
      <c r="V82" s="2967"/>
      <c r="W82" s="2967"/>
      <c r="X82" s="2967"/>
      <c r="Y82" s="2967"/>
      <c r="Z82" s="2967"/>
      <c r="AA82" s="2967"/>
      <c r="AB82" s="2967"/>
      <c r="AC82" s="2967"/>
      <c r="AD82" s="2967"/>
      <c r="AE82" s="2967"/>
    </row>
    <row r="83" spans="1:31">
      <c r="A83" s="481" t="s">
        <v>2372</v>
      </c>
      <c r="B83" s="482" t="s">
        <v>2518</v>
      </c>
      <c r="C83" s="527" t="s">
        <v>2410</v>
      </c>
      <c r="D83" s="527" t="s">
        <v>2411</v>
      </c>
      <c r="E83" s="527" t="s">
        <v>2412</v>
      </c>
      <c r="F83" s="527" t="s">
        <v>2413</v>
      </c>
      <c r="G83" s="527" t="s">
        <v>2414</v>
      </c>
      <c r="H83" s="483"/>
      <c r="I83" s="483"/>
      <c r="J83" s="483"/>
      <c r="K83" s="528"/>
      <c r="L83" s="529"/>
      <c r="M83" s="530"/>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88"/>
      <c r="B85" s="492" t="s">
        <v>2415</v>
      </c>
      <c r="C85" s="532" t="s">
        <v>2410</v>
      </c>
      <c r="D85" s="532" t="s">
        <v>2411</v>
      </c>
      <c r="E85" s="532" t="s">
        <v>2412</v>
      </c>
      <c r="F85" s="532" t="s">
        <v>2413</v>
      </c>
      <c r="G85" s="532" t="s">
        <v>2414</v>
      </c>
      <c r="H85" s="493"/>
      <c r="I85" s="493"/>
      <c r="J85" s="493"/>
      <c r="K85" s="494"/>
      <c r="L85" s="495"/>
      <c r="M85" s="496"/>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74"/>
      <c r="O86" s="2974"/>
      <c r="P86" s="2998"/>
      <c r="Q86" s="2959"/>
      <c r="R86" s="2945"/>
      <c r="S86" s="2945"/>
      <c r="T86" s="2945"/>
      <c r="U86" s="2945"/>
      <c r="V86" s="2945"/>
      <c r="W86" s="2945"/>
      <c r="X86" s="2945"/>
      <c r="Y86" s="2945"/>
      <c r="Z86" s="2945"/>
      <c r="AA86" s="2945"/>
      <c r="AB86" s="2945"/>
      <c r="AC86" s="2945"/>
      <c r="AD86" s="2945"/>
      <c r="AE86" s="2945"/>
    </row>
    <row r="87" spans="1:31" s="112" customFormat="1" ht="15.75" thickTop="1">
      <c r="A87" s="533"/>
      <c r="B87" s="492" t="s">
        <v>2598</v>
      </c>
      <c r="C87" s="527" t="s">
        <v>2410</v>
      </c>
      <c r="D87" s="527" t="s">
        <v>2411</v>
      </c>
      <c r="E87" s="527" t="s">
        <v>2412</v>
      </c>
      <c r="F87" s="527" t="s">
        <v>2413</v>
      </c>
      <c r="G87" s="527" t="s">
        <v>2414</v>
      </c>
      <c r="H87" s="532"/>
      <c r="I87" s="532"/>
      <c r="J87" s="532"/>
      <c r="K87" s="532"/>
      <c r="L87" s="651"/>
      <c r="M87" s="575"/>
      <c r="N87" s="2972"/>
      <c r="O87" s="2972"/>
      <c r="P87" s="2998"/>
      <c r="Q87" s="2959"/>
      <c r="R87" s="2879"/>
      <c r="S87" s="2879"/>
      <c r="T87" s="2879"/>
      <c r="U87" s="2879"/>
      <c r="V87" s="2879"/>
      <c r="W87" s="2879"/>
      <c r="X87" s="2879"/>
      <c r="Y87" s="2879"/>
      <c r="Z87" s="2879"/>
      <c r="AA87" s="2879"/>
      <c r="AB87" s="2879"/>
      <c r="AC87" s="2879"/>
      <c r="AD87" s="2879"/>
      <c r="AE87" s="2879"/>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74"/>
      <c r="O88" s="2974"/>
      <c r="P88" s="2998"/>
      <c r="Q88" s="2959"/>
      <c r="R88" s="2879"/>
      <c r="S88" s="2879"/>
      <c r="T88" s="2879"/>
      <c r="U88" s="2879"/>
      <c r="V88" s="2879"/>
      <c r="W88" s="2879"/>
      <c r="X88" s="2879"/>
      <c r="Y88" s="2879"/>
      <c r="Z88" s="2879"/>
      <c r="AA88" s="2879"/>
      <c r="AB88" s="2879"/>
      <c r="AC88" s="2879"/>
      <c r="AD88" s="2879"/>
      <c r="AE88" s="2879"/>
    </row>
    <row r="89" spans="1:31" s="112" customFormat="1" ht="27.75" thickTop="1">
      <c r="A89" s="533"/>
      <c r="B89" s="492" t="s">
        <v>2599</v>
      </c>
      <c r="C89" s="527" t="s">
        <v>2410</v>
      </c>
      <c r="D89" s="527" t="s">
        <v>2411</v>
      </c>
      <c r="E89" s="527" t="s">
        <v>2412</v>
      </c>
      <c r="F89" s="527" t="s">
        <v>2413</v>
      </c>
      <c r="G89" s="527" t="s">
        <v>2414</v>
      </c>
      <c r="H89" s="532"/>
      <c r="I89" s="532"/>
      <c r="J89" s="532"/>
      <c r="K89" s="532"/>
      <c r="L89" s="532"/>
      <c r="M89" s="575"/>
      <c r="N89" s="2972"/>
      <c r="O89" s="2972"/>
      <c r="P89" s="2998"/>
      <c r="Q89" s="2959"/>
      <c r="R89" s="2879"/>
      <c r="S89" s="2879"/>
      <c r="T89" s="2879"/>
      <c r="U89" s="2879"/>
      <c r="V89" s="2879"/>
      <c r="W89" s="2879"/>
      <c r="X89" s="2879"/>
      <c r="Y89" s="2879"/>
      <c r="Z89" s="2879"/>
      <c r="AA89" s="2879"/>
      <c r="AB89" s="2879"/>
      <c r="AC89" s="2879"/>
      <c r="AD89" s="2879"/>
      <c r="AE89" s="2879"/>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74"/>
      <c r="O90" s="2974"/>
      <c r="P90" s="2998"/>
      <c r="Q90" s="2959"/>
      <c r="R90" s="2879"/>
      <c r="S90" s="2879"/>
      <c r="T90" s="2879"/>
      <c r="U90" s="2879"/>
      <c r="V90" s="2879"/>
      <c r="W90" s="2879"/>
      <c r="X90" s="2879"/>
      <c r="Y90" s="2879"/>
      <c r="Z90" s="2879"/>
      <c r="AA90" s="2879"/>
      <c r="AB90" s="2879"/>
      <c r="AC90" s="2879"/>
      <c r="AD90" s="2879"/>
      <c r="AE90" s="2879"/>
    </row>
    <row r="91" spans="1:31" s="427" customFormat="1" ht="15.75" thickTop="1">
      <c r="A91" s="507"/>
      <c r="B91" s="492" t="s">
        <v>2467</v>
      </c>
      <c r="C91" s="527" t="s">
        <v>2410</v>
      </c>
      <c r="D91" s="527" t="s">
        <v>2411</v>
      </c>
      <c r="E91" s="527" t="s">
        <v>2412</v>
      </c>
      <c r="F91" s="527" t="s">
        <v>2413</v>
      </c>
      <c r="G91" s="527" t="s">
        <v>2414</v>
      </c>
      <c r="H91" s="554"/>
      <c r="I91" s="554"/>
      <c r="J91" s="554"/>
      <c r="K91" s="554"/>
      <c r="L91" s="555"/>
      <c r="M91" s="556"/>
      <c r="N91" s="2975"/>
      <c r="O91" s="2975"/>
      <c r="P91" s="2999"/>
      <c r="Q91" s="2966"/>
      <c r="R91" s="2967"/>
      <c r="S91" s="2967"/>
      <c r="T91" s="2967"/>
      <c r="U91" s="2967"/>
      <c r="V91" s="2967"/>
      <c r="W91" s="2967"/>
      <c r="X91" s="2967"/>
      <c r="Y91" s="2967"/>
      <c r="Z91" s="2967"/>
      <c r="AA91" s="2967"/>
      <c r="AB91" s="2967"/>
      <c r="AC91" s="2967"/>
      <c r="AD91" s="2967"/>
      <c r="AE91" s="2967"/>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75"/>
      <c r="O92" s="2975"/>
      <c r="P92" s="2999"/>
      <c r="Q92" s="2966"/>
      <c r="R92" s="2967"/>
      <c r="S92" s="2967"/>
      <c r="T92" s="2967"/>
      <c r="U92" s="2967"/>
      <c r="V92" s="2967"/>
      <c r="W92" s="2967"/>
      <c r="X92" s="2967"/>
      <c r="Y92" s="2967"/>
      <c r="Z92" s="2967"/>
      <c r="AA92" s="2967"/>
      <c r="AB92" s="2967"/>
      <c r="AC92" s="2967"/>
      <c r="AD92" s="2967"/>
      <c r="AE92" s="2967"/>
    </row>
    <row r="93" spans="1:31" s="427" customFormat="1" ht="15.75" thickTop="1">
      <c r="A93" s="507"/>
      <c r="B93" s="500" t="s">
        <v>2616</v>
      </c>
      <c r="C93" s="613" t="s">
        <v>2488</v>
      </c>
      <c r="D93" s="613" t="s">
        <v>2489</v>
      </c>
      <c r="E93" s="613" t="s">
        <v>2490</v>
      </c>
      <c r="F93" s="613" t="s">
        <v>2491</v>
      </c>
      <c r="G93" s="613" t="s">
        <v>2492</v>
      </c>
      <c r="H93" s="554"/>
      <c r="I93" s="554"/>
      <c r="J93" s="554"/>
      <c r="K93" s="554"/>
      <c r="L93" s="554"/>
      <c r="M93" s="556"/>
      <c r="N93" s="2975"/>
      <c r="O93" s="2975"/>
      <c r="P93" s="2999"/>
      <c r="Q93" s="2966"/>
      <c r="R93" s="2967"/>
      <c r="S93" s="2967"/>
      <c r="T93" s="2967"/>
      <c r="U93" s="2967"/>
      <c r="V93" s="2967"/>
      <c r="W93" s="2967"/>
      <c r="X93" s="2967"/>
      <c r="Y93" s="2967"/>
      <c r="Z93" s="2967"/>
      <c r="AA93" s="2967"/>
      <c r="AB93" s="2967"/>
      <c r="AC93" s="2967"/>
      <c r="AD93" s="2967"/>
      <c r="AE93" s="2967"/>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88"/>
      <c r="B95" s="492" t="str">
        <f>B27</f>
        <v>临街状况</v>
      </c>
      <c r="C95" s="493" t="s">
        <v>2600</v>
      </c>
      <c r="D95" s="493" t="s">
        <v>2601</v>
      </c>
      <c r="E95" s="493" t="s">
        <v>2602</v>
      </c>
      <c r="F95" s="493" t="s">
        <v>2603</v>
      </c>
      <c r="G95" s="493"/>
      <c r="H95" s="493"/>
      <c r="I95" s="493"/>
      <c r="J95" s="493"/>
      <c r="K95" s="494"/>
      <c r="L95" s="495"/>
      <c r="M95" s="496"/>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88"/>
      <c r="B97" s="492" t="s">
        <v>2504</v>
      </c>
      <c r="C97" s="508"/>
      <c r="D97" s="508"/>
      <c r="E97" s="508"/>
      <c r="F97" s="508"/>
      <c r="G97" s="508"/>
      <c r="H97" s="537"/>
      <c r="I97" s="537"/>
      <c r="J97" s="537"/>
      <c r="K97" s="538"/>
      <c r="L97" s="539"/>
      <c r="M97" s="540"/>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88"/>
      <c r="B99" s="492" t="s">
        <v>2563</v>
      </c>
      <c r="C99" s="537"/>
      <c r="D99" s="537"/>
      <c r="E99" s="537"/>
      <c r="F99" s="537"/>
      <c r="G99" s="537"/>
      <c r="H99" s="537"/>
      <c r="I99" s="537"/>
      <c r="J99" s="537"/>
      <c r="K99" s="538"/>
      <c r="L99" s="539"/>
      <c r="M99" s="540"/>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88"/>
      <c r="B101" s="500">
        <f>B31</f>
        <v>111</v>
      </c>
      <c r="C101" s="508"/>
      <c r="D101" s="508"/>
      <c r="E101" s="508"/>
      <c r="F101" s="508"/>
      <c r="G101" s="541"/>
      <c r="H101" s="541"/>
      <c r="I101" s="541"/>
      <c r="J101" s="541"/>
      <c r="K101" s="542"/>
      <c r="L101" s="543"/>
      <c r="M101" s="544"/>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88"/>
      <c r="B102" s="523"/>
      <c r="C102" s="514"/>
      <c r="D102" s="490"/>
      <c r="E102" s="490"/>
      <c r="F102" s="490"/>
      <c r="G102" s="545"/>
      <c r="H102" s="545"/>
      <c r="I102" s="545"/>
      <c r="J102" s="545"/>
      <c r="K102" s="545"/>
      <c r="L102" s="545"/>
      <c r="M102" s="546"/>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28"/>
      <c r="B103" s="492">
        <f>B32</f>
        <v>111</v>
      </c>
      <c r="C103" s="508"/>
      <c r="D103" s="508"/>
      <c r="E103" s="508"/>
      <c r="F103" s="508"/>
      <c r="G103" s="537"/>
      <c r="H103" s="537"/>
      <c r="I103" s="537"/>
      <c r="J103" s="537"/>
      <c r="K103" s="538"/>
      <c r="L103" s="539"/>
      <c r="M103" s="540"/>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88"/>
      <c r="B104" s="497"/>
      <c r="C104" s="514"/>
      <c r="D104" s="514"/>
      <c r="E104" s="514"/>
      <c r="F104" s="514"/>
      <c r="G104" s="490"/>
      <c r="H104" s="490"/>
      <c r="I104" s="490"/>
      <c r="J104" s="490"/>
      <c r="K104" s="490"/>
      <c r="L104" s="490"/>
      <c r="M104" s="491"/>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27" customFormat="1" ht="15" thickTop="1">
      <c r="A105" s="547"/>
      <c r="B105" s="548">
        <f>B33</f>
        <v>111</v>
      </c>
      <c r="C105" s="477"/>
      <c r="D105" s="477"/>
      <c r="E105" s="477"/>
      <c r="F105" s="477"/>
      <c r="G105" s="549"/>
      <c r="H105" s="549"/>
      <c r="I105" s="549"/>
      <c r="J105" s="550"/>
      <c r="K105" s="550"/>
      <c r="L105" s="551"/>
      <c r="M105" s="552"/>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27" customFormat="1" ht="15.75" thickBot="1">
      <c r="A106" s="507"/>
      <c r="B106" s="500"/>
      <c r="C106" s="524"/>
      <c r="D106" s="524"/>
      <c r="E106" s="524"/>
      <c r="F106" s="524"/>
      <c r="G106" s="630"/>
      <c r="H106" s="630"/>
      <c r="I106" s="630"/>
      <c r="J106" s="630"/>
      <c r="K106" s="630"/>
      <c r="L106" s="630"/>
      <c r="M106" s="652"/>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1" t="s">
        <v>2376</v>
      </c>
      <c r="B107" s="482" t="s">
        <v>2604</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88"/>
      <c r="B108" s="500"/>
      <c r="C108" s="549"/>
      <c r="D108" s="549"/>
      <c r="E108" s="549"/>
      <c r="F108" s="549"/>
      <c r="G108" s="549"/>
      <c r="H108" s="549"/>
      <c r="I108" s="549"/>
      <c r="J108" s="550"/>
      <c r="K108" s="550"/>
      <c r="L108" s="551"/>
      <c r="M108" s="552"/>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88"/>
      <c r="B109" s="497"/>
      <c r="C109" s="524"/>
      <c r="D109" s="545"/>
      <c r="E109" s="545"/>
      <c r="F109" s="545"/>
      <c r="G109" s="545"/>
      <c r="H109" s="545"/>
      <c r="I109" s="545"/>
      <c r="J109" s="545"/>
      <c r="K109" s="545"/>
      <c r="L109" s="545"/>
      <c r="M109" s="546"/>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3"/>
      <c r="B110" s="492" t="s">
        <v>2605</v>
      </c>
      <c r="C110" s="537"/>
      <c r="D110" s="537"/>
      <c r="E110" s="537"/>
      <c r="F110" s="537"/>
      <c r="G110" s="537"/>
      <c r="H110" s="537"/>
      <c r="I110" s="537"/>
      <c r="J110" s="537"/>
      <c r="K110" s="538"/>
      <c r="L110" s="539"/>
      <c r="M110" s="540"/>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27" customFormat="1" ht="15" thickTop="1">
      <c r="A112" s="547"/>
      <c r="B112" s="492" t="s">
        <v>2607</v>
      </c>
      <c r="C112" s="508"/>
      <c r="D112" s="508"/>
      <c r="E112" s="508"/>
      <c r="F112" s="508"/>
      <c r="G112" s="508"/>
      <c r="H112" s="537"/>
      <c r="I112" s="537"/>
      <c r="J112" s="537"/>
      <c r="K112" s="538"/>
      <c r="L112" s="539"/>
      <c r="M112" s="540"/>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3"/>
      <c r="B114" s="492" t="s">
        <v>2608</v>
      </c>
      <c r="C114" s="508"/>
      <c r="D114" s="508"/>
      <c r="E114" s="537"/>
      <c r="F114" s="537"/>
      <c r="G114" s="537"/>
      <c r="H114" s="537"/>
      <c r="I114" s="537"/>
      <c r="J114" s="537"/>
      <c r="K114" s="538"/>
      <c r="L114" s="539"/>
      <c r="M114" s="540"/>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3"/>
      <c r="B116" s="492">
        <f>B38</f>
        <v>111</v>
      </c>
      <c r="C116" s="508"/>
      <c r="D116" s="508"/>
      <c r="E116" s="508"/>
      <c r="F116" s="508"/>
      <c r="G116" s="508"/>
      <c r="H116" s="537"/>
      <c r="I116" s="537"/>
      <c r="J116" s="537"/>
      <c r="K116" s="538"/>
      <c r="L116" s="539"/>
      <c r="M116" s="540"/>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88"/>
      <c r="B117" s="497"/>
      <c r="C117" s="514"/>
      <c r="D117" s="490"/>
      <c r="E117" s="490"/>
      <c r="F117" s="490"/>
      <c r="G117" s="490"/>
      <c r="H117" s="490"/>
      <c r="I117" s="490"/>
      <c r="J117" s="490"/>
      <c r="K117" s="490"/>
      <c r="L117" s="490"/>
      <c r="M117" s="491"/>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3"/>
      <c r="B118" s="492">
        <f>B39</f>
        <v>111</v>
      </c>
      <c r="C118" s="508"/>
      <c r="D118" s="508"/>
      <c r="E118" s="508"/>
      <c r="F118" s="508"/>
      <c r="G118" s="537"/>
      <c r="H118" s="537"/>
      <c r="I118" s="537"/>
      <c r="J118" s="537"/>
      <c r="K118" s="538"/>
      <c r="L118" s="539"/>
      <c r="M118" s="540"/>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88"/>
      <c r="B119" s="497"/>
      <c r="C119" s="514"/>
      <c r="D119" s="514"/>
      <c r="E119" s="514"/>
      <c r="F119" s="514"/>
      <c r="G119" s="490"/>
      <c r="H119" s="490"/>
      <c r="I119" s="490"/>
      <c r="J119" s="490"/>
      <c r="K119" s="490"/>
      <c r="L119" s="490"/>
      <c r="M119" s="491"/>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27" customFormat="1" ht="15" thickTop="1">
      <c r="A120" s="547"/>
      <c r="B120" s="492">
        <f>B40</f>
        <v>111</v>
      </c>
      <c r="C120" s="477"/>
      <c r="D120" s="477"/>
      <c r="E120" s="477"/>
      <c r="F120" s="477"/>
      <c r="G120" s="509"/>
      <c r="H120" s="509"/>
      <c r="I120" s="509"/>
      <c r="J120" s="509"/>
      <c r="K120" s="509"/>
      <c r="L120" s="510"/>
      <c r="M120" s="511"/>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27" customFormat="1" ht="15.75" thickBot="1">
      <c r="A121" s="522"/>
      <c r="B121" s="653"/>
      <c r="C121" s="524"/>
      <c r="D121" s="524"/>
      <c r="E121" s="524"/>
      <c r="F121" s="524"/>
      <c r="G121" s="545"/>
      <c r="H121" s="545"/>
      <c r="I121" s="545"/>
      <c r="J121" s="545"/>
      <c r="K121" s="545"/>
      <c r="L121" s="545"/>
      <c r="M121" s="546"/>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Q45" sqref="Q45"/>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199" t="s">
        <v>2617</v>
      </c>
      <c r="B1" s="200"/>
      <c r="C1" s="204" t="s">
        <v>2618</v>
      </c>
      <c r="D1" s="345">
        <f>SUM(D29:D30,D33:D39)</f>
        <v>96983.22</v>
      </c>
      <c r="E1" s="2177"/>
      <c r="F1" s="2177"/>
      <c r="G1" s="2177"/>
      <c r="H1" s="2177"/>
      <c r="I1" s="2177"/>
      <c r="J1" s="2177"/>
      <c r="K1" s="1277"/>
      <c r="L1" s="2178" t="s">
        <v>2619</v>
      </c>
      <c r="M1" s="991">
        <f>SUMPRODUCT((区片价!B5:B9=I2)*(区片价!C3:F3=E2)*(区片价!C5:F9))</f>
        <v>0</v>
      </c>
      <c r="N1" s="994">
        <f>SUMPRODUCT((因素修正幅度!B5:B9=I2)*(因素修正幅度!C3:F3=E2)*(因素修正幅度!C5:F9))</f>
        <v>0</v>
      </c>
      <c r="O1" s="2179"/>
      <c r="P1" s="2179"/>
      <c r="Q1" s="1277"/>
      <c r="R1" s="1371" t="s">
        <v>2620</v>
      </c>
      <c r="S1" s="1371" t="s">
        <v>2621</v>
      </c>
      <c r="T1" s="1371" t="s">
        <v>2622</v>
      </c>
      <c r="U1" s="1371" t="s">
        <v>2623</v>
      </c>
      <c r="V1" s="1371" t="s">
        <v>2624</v>
      </c>
      <c r="W1" s="1375"/>
      <c r="X1" s="1375"/>
      <c r="Y1" s="1375"/>
      <c r="Z1" s="1375"/>
      <c r="AA1" s="1375"/>
      <c r="AB1" s="1375"/>
      <c r="AC1" s="1376"/>
      <c r="AD1" s="1377"/>
      <c r="AE1" s="1377"/>
      <c r="AF1" s="1377"/>
      <c r="AG1" s="1377"/>
      <c r="AH1" s="1377"/>
      <c r="AI1" s="1377"/>
      <c r="AJ1" s="1378"/>
    </row>
    <row r="2" spans="1:36" ht="15.75">
      <c r="A2" s="204" t="s">
        <v>2625</v>
      </c>
      <c r="B2" s="207" t="e">
        <f ca="1">C26</f>
        <v>#DIV/0!</v>
      </c>
      <c r="C2" s="2181" t="s">
        <v>2626</v>
      </c>
      <c r="D2" s="2182" t="s">
        <v>2627</v>
      </c>
      <c r="E2" s="2183" t="s">
        <v>1343</v>
      </c>
      <c r="F2" s="2182" t="s">
        <v>2628</v>
      </c>
      <c r="G2" s="2184">
        <f>IF(E2="商业",项目基本情况!B37,IF(E2="办公",项目基本情况!C37,IF(E2="住宅",项目基本情况!D37,项目基本情况!E37)))</f>
        <v>0</v>
      </c>
      <c r="H2" s="2182" t="s">
        <v>2629</v>
      </c>
      <c r="I2" s="2184">
        <f>IF(E2="商业",项目基本情况!B38,IF(E2="办公",项目基本情况!C38,IF(E2="住宅",项目基本情况!D38,项目基本情况!E38)))</f>
        <v>0</v>
      </c>
      <c r="J2" s="2185"/>
      <c r="K2" s="1277"/>
      <c r="L2" s="2186" t="s">
        <v>2630</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 ca="1">ROUND($C$5*$C$18*$C$19*$C$20*S2*$C$24,0)</f>
        <v>#DIV/0!</v>
      </c>
      <c r="U2" s="1372">
        <f>面积表!G3</f>
        <v>0</v>
      </c>
      <c r="V2" s="1371" t="e">
        <f ca="1">ROUND(T2*U2/10000,0)</f>
        <v>#DIV/0!</v>
      </c>
      <c r="W2" s="1375"/>
      <c r="X2" s="1375"/>
      <c r="Y2" s="1375"/>
      <c r="Z2" s="1375"/>
      <c r="AA2" s="1375"/>
      <c r="AB2" s="1375"/>
      <c r="AC2" s="1376"/>
      <c r="AD2" s="1377"/>
      <c r="AE2" s="1377"/>
      <c r="AF2" s="1377"/>
      <c r="AG2" s="1377"/>
      <c r="AH2" s="1377"/>
      <c r="AI2" s="1377"/>
      <c r="AJ2" s="1378"/>
    </row>
    <row r="3" spans="1:36" ht="15.75">
      <c r="A3" s="206" t="s">
        <v>2631</v>
      </c>
      <c r="B3" s="207" t="e">
        <f ca="1">ROUND(B2*10000/D1,0)</f>
        <v>#DIV/0!</v>
      </c>
      <c r="C3" s="2181" t="s">
        <v>2632</v>
      </c>
      <c r="D3" s="2182" t="s">
        <v>2633</v>
      </c>
      <c r="E3" s="2187" t="s">
        <v>3084</v>
      </c>
      <c r="F3" s="2188" t="s">
        <v>3052</v>
      </c>
      <c r="G3" s="852">
        <f>IF(F3="宗地容积率",'数据-汇总表'!I4,IF(F3="估价对象容积率",'数据-汇总表'!I6,'数据-汇总表'!I7))</f>
        <v>0</v>
      </c>
      <c r="H3" s="172" t="s">
        <v>2634</v>
      </c>
      <c r="I3" s="878"/>
      <c r="J3" s="2185" t="s">
        <v>2635</v>
      </c>
      <c r="K3" s="1277"/>
      <c r="L3" s="2186" t="s">
        <v>2636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ca="1" si="0">ROUND($C$5*$C$18*$C$19*$C$20*S3*$C$24,0)</f>
        <v>#DIV/0!</v>
      </c>
      <c r="U3" s="1372">
        <f>面积表!G4+面积表!G7</f>
        <v>0</v>
      </c>
      <c r="V3" s="1371" t="e">
        <f t="shared" ref="V3:V16" ca="1" si="1">ROUND(T3*U3/10000,0)</f>
        <v>#DIV/0!</v>
      </c>
      <c r="W3" s="1375"/>
      <c r="X3" s="1375"/>
      <c r="Y3" s="1375"/>
      <c r="Z3" s="1375"/>
      <c r="AA3" s="1375"/>
      <c r="AB3" s="1375"/>
      <c r="AC3" s="1376"/>
      <c r="AD3" s="1377"/>
      <c r="AE3" s="1377"/>
      <c r="AF3" s="1377"/>
      <c r="AG3" s="1377"/>
      <c r="AH3" s="1377"/>
      <c r="AI3" s="1377"/>
      <c r="AJ3" s="1378"/>
    </row>
    <row r="4" spans="1:36" ht="15.75">
      <c r="A4" s="3391"/>
      <c r="B4" s="3392"/>
      <c r="C4" s="3392"/>
      <c r="D4" s="3393"/>
      <c r="E4" s="3393"/>
      <c r="F4" s="3393"/>
      <c r="G4" s="3393"/>
      <c r="H4" s="3393"/>
      <c r="I4" s="3393"/>
      <c r="J4" s="3394"/>
      <c r="K4" s="1277"/>
      <c r="L4" s="2186" t="s">
        <v>2637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ca="1" si="0"/>
        <v>#DIV/0!</v>
      </c>
      <c r="U4" s="1372" t="e">
        <f>面积表!G5+面积表!G6+面积表!G8</f>
        <v>#VALUE!</v>
      </c>
      <c r="V4" s="1371" t="e">
        <f t="shared" ca="1" si="1"/>
        <v>#DIV/0!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2638</v>
      </c>
      <c r="C5" s="853" t="e">
        <f>ROUND(IF(E2="商业",C6*C7+C16,(IF(E2="住宅",C6*C12+C16,C6+C16))),0)</f>
        <v>#DIV/0!</v>
      </c>
      <c r="D5" s="1521" t="e">
        <f>ROUND(C6+C16,0)</f>
        <v>#DIV/0!</v>
      </c>
      <c r="E5" s="1521"/>
      <c r="F5" s="2191"/>
      <c r="G5" s="2192"/>
      <c r="H5" s="2192"/>
      <c r="I5" s="2192"/>
      <c r="J5" s="2193"/>
      <c r="K5" s="2194"/>
      <c r="L5" s="2186" t="s">
        <v>2639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ca="1" si="0"/>
        <v>#DIV/0!</v>
      </c>
      <c r="U5" s="1372"/>
      <c r="V5" s="1371" t="e">
        <f t="shared" ca="1" si="1"/>
        <v>#DIV/0!</v>
      </c>
      <c r="W5" s="1375"/>
      <c r="X5" s="1375"/>
      <c r="Y5" s="1375"/>
      <c r="Z5" s="1375"/>
      <c r="AA5" s="1375"/>
      <c r="AB5" s="1375"/>
      <c r="AC5" s="2195"/>
      <c r="AD5" s="2196"/>
      <c r="AE5" s="2196"/>
      <c r="AF5" s="2196"/>
      <c r="AG5" s="2196"/>
      <c r="AH5" s="2196"/>
      <c r="AI5" s="2196"/>
      <c r="AJ5" s="2197"/>
    </row>
    <row r="6" spans="1:36" ht="15.75" thickBot="1">
      <c r="A6" s="2199" t="s">
        <v>2640</v>
      </c>
      <c r="B6" s="2200" t="s">
        <v>2641</v>
      </c>
      <c r="C6" s="854">
        <f>SUMIF(L1:L12,G2,M1:M12)</f>
        <v>0</v>
      </c>
      <c r="D6" s="2201" t="s">
        <v>2642</v>
      </c>
      <c r="E6" s="2202"/>
      <c r="F6" s="2202"/>
      <c r="G6" s="2203"/>
      <c r="H6" s="2203"/>
      <c r="I6" s="2203"/>
      <c r="J6" s="2204"/>
      <c r="K6" s="1566"/>
      <c r="L6" s="2186" t="s">
        <v>2643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ca="1" si="0"/>
        <v>#DIV/0!</v>
      </c>
      <c r="U6" s="1372"/>
      <c r="V6" s="1371" t="e">
        <f t="shared" ca="1" si="1"/>
        <v>#DIV/0!</v>
      </c>
      <c r="W6" s="1375"/>
      <c r="X6" s="1375"/>
      <c r="Y6" s="1375"/>
      <c r="Z6" s="1375"/>
      <c r="AA6" s="1375"/>
      <c r="AB6" s="1375"/>
      <c r="AC6" s="2195"/>
      <c r="AD6" s="2196"/>
      <c r="AE6" s="2196"/>
      <c r="AF6" s="2196"/>
      <c r="AG6" s="2196"/>
      <c r="AH6" s="2196"/>
      <c r="AI6" s="2196"/>
      <c r="AJ6" s="2197"/>
    </row>
    <row r="7" spans="1:36" ht="24">
      <c r="A7" s="3372" t="str">
        <f>IF(E2="商业",IF(C8="不临58条商业街","",2),"")</f>
        <v/>
      </c>
      <c r="B7" s="2205" t="s">
        <v>2644</v>
      </c>
      <c r="C7" s="855">
        <f>IF(C8="不临58条商业街",1,ROUND(1+(1.6*E8+1.2*E9+0.8*E10+0.4*E11)*C9,4))</f>
        <v>1</v>
      </c>
      <c r="D7" s="2206" t="s">
        <v>2645</v>
      </c>
      <c r="E7" s="879"/>
      <c r="F7" s="2207"/>
      <c r="G7" s="2208"/>
      <c r="H7" s="2208"/>
      <c r="I7" s="2208"/>
      <c r="J7" s="2209"/>
      <c r="K7" s="1566"/>
      <c r="L7" s="2186" t="s">
        <v>2646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ca="1" si="0"/>
        <v>#DIV/0!</v>
      </c>
      <c r="U7" s="1372"/>
      <c r="V7" s="1371" t="e">
        <f t="shared" ca="1" si="1"/>
        <v>#DIV/0!</v>
      </c>
      <c r="W7" s="1540" t="s">
        <v>2647</v>
      </c>
      <c r="X7" s="1373">
        <f>G2</f>
        <v>0</v>
      </c>
      <c r="Y7" s="1373" t="s">
        <v>2648</v>
      </c>
      <c r="Z7" s="1374">
        <f>G3</f>
        <v>0</v>
      </c>
      <c r="AA7" s="1375"/>
      <c r="AB7" s="1375"/>
      <c r="AC7" s="1376"/>
      <c r="AD7" s="1377"/>
      <c r="AE7" s="1377"/>
      <c r="AF7" s="1377"/>
      <c r="AG7" s="1377"/>
      <c r="AH7" s="1377"/>
      <c r="AI7" s="1377"/>
      <c r="AJ7" s="1378"/>
    </row>
    <row r="8" spans="1:36" ht="25.5">
      <c r="A8" s="3395"/>
      <c r="B8" s="172" t="s">
        <v>2649</v>
      </c>
      <c r="C8" s="2210" t="s">
        <v>3088</v>
      </c>
      <c r="D8" s="856" t="s">
        <v>139</v>
      </c>
      <c r="E8" s="857" t="e">
        <f>ROUND(C11/E7,4)</f>
        <v>#DIV/0!</v>
      </c>
      <c r="F8" s="2211" t="s">
        <v>2650</v>
      </c>
      <c r="G8" s="2212"/>
      <c r="H8" s="2212"/>
      <c r="I8" s="2212"/>
      <c r="J8" s="2213"/>
      <c r="K8" s="1277"/>
      <c r="L8" s="2186" t="s">
        <v>2651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ca="1" si="0"/>
        <v>#DIV/0!</v>
      </c>
      <c r="U8" s="1372"/>
      <c r="V8" s="1371" t="e">
        <f t="shared" ca="1" si="1"/>
        <v>#DIV/0!</v>
      </c>
      <c r="W8" s="3388" t="s">
        <v>2652</v>
      </c>
      <c r="X8" s="3389"/>
      <c r="Y8" s="1379" t="s">
        <v>2653</v>
      </c>
      <c r="Z8" s="1379" t="s">
        <v>2654</v>
      </c>
      <c r="AA8" s="1379" t="s">
        <v>2655</v>
      </c>
      <c r="AB8" s="1379" t="s">
        <v>2656</v>
      </c>
      <c r="AC8" s="1379" t="s">
        <v>2657</v>
      </c>
      <c r="AD8" s="1379" t="s">
        <v>2658</v>
      </c>
      <c r="AE8" s="1379" t="s">
        <v>2659</v>
      </c>
      <c r="AF8" s="1379" t="s">
        <v>2660</v>
      </c>
      <c r="AG8" s="1379" t="s">
        <v>2661</v>
      </c>
      <c r="AH8" s="1379" t="s">
        <v>2662</v>
      </c>
      <c r="AI8" s="1379" t="s">
        <v>2663</v>
      </c>
      <c r="AJ8" s="1379" t="s">
        <v>2664</v>
      </c>
    </row>
    <row r="9" spans="1:36" ht="15">
      <c r="A9" s="3395"/>
      <c r="B9" s="172" t="s">
        <v>2665</v>
      </c>
      <c r="C9" s="858">
        <f>SUMIF(修正!C59:C119,C8,修正!E59:E119)</f>
        <v>0</v>
      </c>
      <c r="D9" s="173" t="s">
        <v>140</v>
      </c>
      <c r="E9" s="173" t="e">
        <f>ROUND(C11/E7,4)</f>
        <v>#DIV/0!</v>
      </c>
      <c r="F9" s="2211" t="s">
        <v>2666</v>
      </c>
      <c r="G9" s="2212"/>
      <c r="H9" s="2212"/>
      <c r="I9" s="2212"/>
      <c r="J9" s="2213"/>
      <c r="K9" s="1277"/>
      <c r="L9" s="2186" t="s">
        <v>2667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ca="1" si="0"/>
        <v>#DIV/0!</v>
      </c>
      <c r="U9" s="1372"/>
      <c r="V9" s="1371" t="e">
        <f t="shared" ca="1" si="1"/>
        <v>#DIV/0!</v>
      </c>
      <c r="W9" s="3390" t="s">
        <v>2668</v>
      </c>
      <c r="X9" s="1380" t="s">
        <v>2669</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95"/>
      <c r="B10" s="172" t="s">
        <v>2670</v>
      </c>
      <c r="C10" s="173">
        <f>SUMIF(修正!C59:C119,C8,修正!F59:F119)</f>
        <v>0</v>
      </c>
      <c r="D10" s="173" t="s">
        <v>141</v>
      </c>
      <c r="E10" s="173" t="e">
        <f>ROUND(C11/E7,4)</f>
        <v>#DIV/0!</v>
      </c>
      <c r="F10" s="2211" t="s">
        <v>2671</v>
      </c>
      <c r="G10" s="2212"/>
      <c r="H10" s="2212"/>
      <c r="I10" s="2212"/>
      <c r="J10" s="2213"/>
      <c r="K10" s="1277"/>
      <c r="L10" s="2186" t="s">
        <v>2672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ca="1" si="0"/>
        <v>#DIV/0!</v>
      </c>
      <c r="U10" s="1372"/>
      <c r="V10" s="1371" t="e">
        <f t="shared" ca="1" si="1"/>
        <v>#DIV/0!</v>
      </c>
      <c r="W10" s="3390"/>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95"/>
      <c r="B11" s="2214" t="s">
        <v>2673</v>
      </c>
      <c r="C11" s="859">
        <f>C10/4</f>
        <v>0</v>
      </c>
      <c r="D11" s="859" t="s">
        <v>142</v>
      </c>
      <c r="E11" s="859" t="e">
        <f>ROUND(C11/E7,4)</f>
        <v>#DIV/0!</v>
      </c>
      <c r="F11" s="2215" t="s">
        <v>2674</v>
      </c>
      <c r="G11" s="2216"/>
      <c r="H11" s="2216"/>
      <c r="I11" s="2216"/>
      <c r="J11" s="2217"/>
      <c r="K11" s="1277"/>
      <c r="L11" s="2186" t="s">
        <v>2675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ca="1" si="0"/>
        <v>#DIV/0!</v>
      </c>
      <c r="U11" s="1372"/>
      <c r="V11" s="1371" t="e">
        <f t="shared" ca="1" si="1"/>
        <v>#DIV/0!</v>
      </c>
      <c r="W11" s="3390" t="s">
        <v>2676</v>
      </c>
      <c r="X11" s="1383" t="s">
        <v>2677</v>
      </c>
      <c r="Y11" s="1384">
        <f>$G$3</f>
        <v>0</v>
      </c>
      <c r="Z11" s="1384">
        <f t="shared" ref="Z11:AJ11" si="3">$G$3</f>
        <v>0</v>
      </c>
      <c r="AA11" s="1384">
        <f t="shared" si="3"/>
        <v>0</v>
      </c>
      <c r="AB11" s="1384">
        <f t="shared" si="3"/>
        <v>0</v>
      </c>
      <c r="AC11" s="1384">
        <f t="shared" si="3"/>
        <v>0</v>
      </c>
      <c r="AD11" s="1384">
        <f t="shared" si="3"/>
        <v>0</v>
      </c>
      <c r="AE11" s="1384">
        <f t="shared" si="3"/>
        <v>0</v>
      </c>
      <c r="AF11" s="1384">
        <f t="shared" si="3"/>
        <v>0</v>
      </c>
      <c r="AG11" s="1384">
        <f t="shared" si="3"/>
        <v>0</v>
      </c>
      <c r="AH11" s="1384">
        <f t="shared" si="3"/>
        <v>0</v>
      </c>
      <c r="AI11" s="1384">
        <f t="shared" si="3"/>
        <v>0</v>
      </c>
      <c r="AJ11" s="1384">
        <f t="shared" si="3"/>
        <v>0</v>
      </c>
    </row>
    <row r="12" spans="1:36" ht="25.5" thickBot="1">
      <c r="A12" s="3372" t="s">
        <v>2678</v>
      </c>
      <c r="B12" s="2218" t="s">
        <v>2679</v>
      </c>
      <c r="C12" s="855">
        <f>ROUND(C15*D15*E15*F15*G15*H15*I15*J15,4)</f>
        <v>1</v>
      </c>
      <c r="D12" s="2219" t="s">
        <v>2680</v>
      </c>
      <c r="E12" s="2220"/>
      <c r="F12" s="2220"/>
      <c r="G12" s="2221"/>
      <c r="H12" s="2221"/>
      <c r="I12" s="2221"/>
      <c r="J12" s="2222"/>
      <c r="K12" s="1277"/>
      <c r="L12" s="2223" t="s">
        <v>2681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ca="1" si="0"/>
        <v>#DIV/0!</v>
      </c>
      <c r="U12" s="1372"/>
      <c r="V12" s="1371" t="e">
        <f t="shared" ca="1" si="1"/>
        <v>#DIV/0!</v>
      </c>
      <c r="W12" s="3390"/>
      <c r="X12" s="1385" t="s">
        <v>2682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96"/>
      <c r="B13" s="2224" t="s">
        <v>2683</v>
      </c>
      <c r="C13" s="2225" t="s">
        <v>2684</v>
      </c>
      <c r="D13" s="1532" t="s">
        <v>2685</v>
      </c>
      <c r="E13" s="1532" t="s">
        <v>2686</v>
      </c>
      <c r="F13" s="30" t="s">
        <v>2687</v>
      </c>
      <c r="G13" s="2226" t="s">
        <v>2688</v>
      </c>
      <c r="H13" s="2226" t="s">
        <v>2688</v>
      </c>
      <c r="I13" s="2226" t="s">
        <v>2688</v>
      </c>
      <c r="J13" s="2227" t="s">
        <v>2688</v>
      </c>
      <c r="K13" s="1277"/>
      <c r="L13" s="1277"/>
      <c r="M13" s="1277"/>
      <c r="N13" s="1277"/>
      <c r="O13" s="1277"/>
      <c r="P13" s="1277"/>
      <c r="Q13" s="1277"/>
      <c r="R13" s="1371">
        <v>12</v>
      </c>
      <c r="S13" s="1372"/>
      <c r="T13" s="1371" t="e">
        <f t="shared" ca="1" si="0"/>
        <v>#DIV/0!</v>
      </c>
      <c r="U13" s="1372"/>
      <c r="V13" s="1371" t="e">
        <f t="shared" ca="1" si="1"/>
        <v>#DIV/0!</v>
      </c>
      <c r="W13" s="3390"/>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96"/>
      <c r="B14" s="2228"/>
      <c r="C14" s="2229"/>
      <c r="D14" s="2230"/>
      <c r="E14" s="2230"/>
      <c r="F14" s="2231"/>
      <c r="G14" s="2232" t="s">
        <v>2689</v>
      </c>
      <c r="H14" s="2233"/>
      <c r="I14" s="2234"/>
      <c r="J14" s="2235"/>
      <c r="K14" s="1277"/>
      <c r="L14" s="1277"/>
      <c r="M14" s="1277"/>
      <c r="N14" s="1277"/>
      <c r="O14" s="1277"/>
      <c r="P14" s="1277"/>
      <c r="Q14" s="1277"/>
      <c r="R14" s="1371">
        <v>13</v>
      </c>
      <c r="S14" s="1372"/>
      <c r="T14" s="1371" t="e">
        <f t="shared" ca="1" si="0"/>
        <v>#DIV/0!</v>
      </c>
      <c r="U14" s="1372"/>
      <c r="V14" s="1371" t="e">
        <f t="shared" ca="1" si="1"/>
        <v>#DIV/0!</v>
      </c>
      <c r="W14" s="1375"/>
      <c r="X14" s="1375"/>
      <c r="Y14" s="1375"/>
      <c r="Z14" s="1375"/>
      <c r="AA14" s="1375"/>
      <c r="AB14" s="1375"/>
      <c r="AC14" s="1376"/>
      <c r="AD14" s="3011"/>
      <c r="AE14" s="3011"/>
      <c r="AF14" s="3011"/>
      <c r="AG14" s="3011"/>
      <c r="AH14" s="3011"/>
      <c r="AI14" s="3011"/>
      <c r="AJ14" s="3012"/>
    </row>
    <row r="15" spans="1:36" ht="15.75" thickBot="1">
      <c r="A15" s="3397"/>
      <c r="B15" s="2236" t="s">
        <v>2690</v>
      </c>
      <c r="C15" s="190">
        <f>IF(C14="有",1.1,1)</f>
        <v>1</v>
      </c>
      <c r="D15" s="190">
        <f>IF(D14="有",1.1,1)</f>
        <v>1</v>
      </c>
      <c r="E15" s="190">
        <f>IF(E14="有",1.1,1)</f>
        <v>1</v>
      </c>
      <c r="F15" s="190">
        <f>IF(F14="500米范围内",1.2,IF(F14="500-1000米",1.1,1))</f>
        <v>1</v>
      </c>
      <c r="G15" s="880">
        <v>1</v>
      </c>
      <c r="H15" s="880">
        <v>1</v>
      </c>
      <c r="I15" s="880">
        <v>1</v>
      </c>
      <c r="J15" s="881">
        <v>1</v>
      </c>
      <c r="K15" s="1277"/>
      <c r="L15" s="2179"/>
      <c r="M15" s="2179"/>
      <c r="N15" s="2179"/>
      <c r="O15" s="2179"/>
      <c r="P15" s="2179"/>
      <c r="Q15" s="1277"/>
      <c r="R15" s="1371">
        <v>14</v>
      </c>
      <c r="S15" s="1372"/>
      <c r="T15" s="1371" t="e">
        <f t="shared" ca="1" si="0"/>
        <v>#DIV/0!</v>
      </c>
      <c r="U15" s="1372"/>
      <c r="V15" s="1371" t="e">
        <f t="shared" ca="1" si="1"/>
        <v>#DIV/0!</v>
      </c>
      <c r="W15" s="1375"/>
      <c r="X15" s="1375"/>
      <c r="Y15" s="1375"/>
      <c r="Z15" s="1375"/>
      <c r="AA15" s="1375"/>
      <c r="AB15" s="1375"/>
      <c r="AC15" s="1376"/>
      <c r="AD15" s="3011"/>
      <c r="AE15" s="3011"/>
      <c r="AF15" s="3011"/>
      <c r="AG15" s="3011"/>
      <c r="AH15" s="3011"/>
      <c r="AI15" s="3011"/>
      <c r="AJ15" s="3012"/>
    </row>
    <row r="16" spans="1:36" ht="24.6" customHeight="1">
      <c r="A16" s="3372" t="s">
        <v>2695</v>
      </c>
      <c r="B16" s="2205" t="s">
        <v>2696</v>
      </c>
      <c r="C16" s="2367" t="e">
        <f>ROUND(IF(F17="与级别开发程度一致",0,(G17-E17)/C17),0)</f>
        <v>#DIV/0!</v>
      </c>
      <c r="D16" s="3385" t="s">
        <v>2700</v>
      </c>
      <c r="E16" s="3386"/>
      <c r="F16" s="3385" t="s">
        <v>2697</v>
      </c>
      <c r="G16" s="3386"/>
      <c r="H16" s="2237" t="s">
        <v>3053</v>
      </c>
      <c r="I16" s="2237" t="s">
        <v>3054</v>
      </c>
      <c r="J16" s="2371" t="s">
        <v>3055</v>
      </c>
      <c r="K16" s="2237" t="s">
        <v>3056</v>
      </c>
      <c r="L16" s="2237" t="s">
        <v>3057</v>
      </c>
      <c r="M16" s="2237" t="s">
        <v>70</v>
      </c>
      <c r="N16" s="2237" t="s">
        <v>70</v>
      </c>
      <c r="O16" s="2238" t="s">
        <v>3059</v>
      </c>
      <c r="P16" s="2179"/>
      <c r="Q16" s="1277"/>
      <c r="R16" s="1371">
        <v>15</v>
      </c>
      <c r="S16" s="1372"/>
      <c r="T16" s="1371" t="e">
        <f t="shared" ca="1" si="0"/>
        <v>#DIV/0!</v>
      </c>
      <c r="U16" s="1372"/>
      <c r="V16" s="1371" t="e">
        <f t="shared" ca="1" si="1"/>
        <v>#DIV/0!</v>
      </c>
      <c r="W16" s="1375"/>
      <c r="X16" s="1375"/>
      <c r="Y16" s="1375"/>
      <c r="Z16" s="1375"/>
      <c r="AA16" s="1375"/>
      <c r="AB16" s="1375"/>
      <c r="AC16" s="1376"/>
      <c r="AD16" s="3011"/>
      <c r="AE16" s="3011"/>
      <c r="AF16" s="3011"/>
      <c r="AG16" s="3011"/>
      <c r="AH16" s="3011"/>
      <c r="AI16" s="3011"/>
      <c r="AJ16" s="3012"/>
    </row>
    <row r="17" spans="1:37" ht="26.25" thickBot="1">
      <c r="A17" s="3373"/>
      <c r="B17" s="2378" t="s">
        <v>2699</v>
      </c>
      <c r="C17" s="2379">
        <f>SUMPRODUCT((修正!A2:A5=E2)*(修正!B1:M1=G2)*(修正!B2:M5))</f>
        <v>0</v>
      </c>
      <c r="D17" s="190" t="str">
        <f>IF(OR(G2="八级",G2="九级",G2="十级",G2="十一级",G2="十二级"),"五通一平","七通一平")</f>
        <v>七通一平</v>
      </c>
      <c r="E17" s="2368">
        <f>SUMPRODUCT((修正!B1:M1=G2)*(修正!B15:M15))</f>
        <v>0</v>
      </c>
      <c r="F17" s="2369" t="s">
        <v>3089</v>
      </c>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2702</v>
      </c>
      <c r="C18" s="2374">
        <f>SUMIF(修正!C18:C39,E3,修正!E18:E39)</f>
        <v>1</v>
      </c>
      <c r="D18" s="2375"/>
      <c r="E18" s="2376"/>
      <c r="F18" s="2376"/>
      <c r="G18" s="2376"/>
      <c r="H18" s="2376"/>
      <c r="I18" s="2376"/>
      <c r="J18" s="2377"/>
      <c r="K18" s="1284"/>
      <c r="L18" s="3010"/>
      <c r="M18" s="3010"/>
      <c r="N18" s="3010"/>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10"/>
    </row>
    <row r="19" spans="1:37" s="2198" customFormat="1" ht="29.25" thickBot="1">
      <c r="A19" s="2242" t="s">
        <v>809</v>
      </c>
      <c r="B19" s="2243" t="s">
        <v>2703</v>
      </c>
      <c r="C19" s="860">
        <f>ROUND(IF(H19="按公示增长率计算",SUMPRODUCT((地价!A3:A33=YEAR(G19)&amp;"-"&amp;ROUNDUP(MONTH(G19)/3,0))*(地价!X2:AB2=E2)*(地价!X3:AB33)),IF(H19="地价指数",M20/M19,(1+I19)^O19)),4)</f>
        <v>1.3734</v>
      </c>
      <c r="D19" s="2247" t="s">
        <v>2704</v>
      </c>
      <c r="E19" s="861">
        <v>41640</v>
      </c>
      <c r="F19" s="2247" t="s">
        <v>2705</v>
      </c>
      <c r="G19" s="862">
        <f>'数据-取费表'!B2</f>
        <v>44362</v>
      </c>
      <c r="H19" s="2248" t="s">
        <v>3090</v>
      </c>
      <c r="I19" s="863">
        <f>IF(H19="季度增幅（自定义）",SUMIF(N21:N24,E2,O21:O24),"")</f>
        <v>1.0999999999999999E-2</v>
      </c>
      <c r="J19" s="2245"/>
      <c r="K19" s="1284"/>
      <c r="L19" s="2249" t="s">
        <v>2706</v>
      </c>
      <c r="M19" s="1494">
        <f>ROUND(SUMIF(地价!B2:F2,E2,地价!B33:F33),0)</f>
        <v>258</v>
      </c>
      <c r="N19" s="2250" t="s">
        <v>2707</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3"/>
      <c r="AH19" s="2336"/>
      <c r="AI19" s="3014"/>
      <c r="AJ19" s="3014"/>
      <c r="AK19" s="2251"/>
    </row>
    <row r="20" spans="1:37" s="2198" customFormat="1" ht="27.75" thickBot="1">
      <c r="A20" s="2252" t="s">
        <v>810</v>
      </c>
      <c r="B20" s="2253" t="s">
        <v>2708</v>
      </c>
      <c r="C20" s="865">
        <f ca="1">ROUND(POWER(1+G20,J20-I20)*(POWER(1+G20,I20)-1)/(POWER(1+G20,J20)-1),4)</f>
        <v>0.94879999999999998</v>
      </c>
      <c r="D20" s="2254" t="s">
        <v>2709</v>
      </c>
      <c r="E20" s="1503">
        <f ca="1">存贷款利率!D4/100</f>
        <v>3.85E-2</v>
      </c>
      <c r="F20" s="2254" t="s">
        <v>2701</v>
      </c>
      <c r="G20" s="870">
        <f ca="1">SUMIF(M26:P26,E2,M28:P28)</f>
        <v>4.8000000000000001E-2</v>
      </c>
      <c r="H20" s="2254" t="s">
        <v>2710</v>
      </c>
      <c r="I20" s="871">
        <f>SUMIF('数据-取费表'!C6:C15,E2,'数据-取费表'!F6:F15)/COUNTIF('数据-取费表'!C6:C15,E2)</f>
        <v>34.69</v>
      </c>
      <c r="J20" s="872">
        <f>IF(E2="住宅",70,IF(E2="商业",40,50))</f>
        <v>40</v>
      </c>
      <c r="K20" s="1284"/>
      <c r="L20" s="2255" t="s">
        <v>2711</v>
      </c>
      <c r="M20" s="1495">
        <f>ROUND(SUMPRODUCT((地价!A4:A33=YEAR(G19)&amp;"-"&amp;ROUNDUP(MONTH(G19)/3,0))*(地价!B2:F2=E2)*(地价!B4:F33)),0)</f>
        <v>0</v>
      </c>
      <c r="N20" s="2256" t="s">
        <v>2712</v>
      </c>
      <c r="O20" s="2257" t="s">
        <v>2713</v>
      </c>
      <c r="P20" s="2258" t="s">
        <v>2714</v>
      </c>
      <c r="Q20" s="3010"/>
      <c r="R20" s="1283"/>
      <c r="S20" s="1283"/>
      <c r="T20" s="1278"/>
      <c r="U20" s="1278"/>
      <c r="V20" s="1278"/>
      <c r="W20" s="1277"/>
      <c r="X20" s="1277"/>
      <c r="Y20" s="1277"/>
      <c r="Z20" s="1284"/>
      <c r="AA20" s="1284"/>
      <c r="AB20" s="1284"/>
      <c r="AC20" s="1284"/>
      <c r="AD20" s="1284"/>
      <c r="AE20" s="1284"/>
      <c r="AF20" s="1284"/>
      <c r="AG20" s="3010"/>
      <c r="AH20" s="3010"/>
      <c r="AI20" s="3010"/>
      <c r="AJ20" s="3010"/>
    </row>
    <row r="21" spans="1:37" s="2198" customFormat="1" ht="15">
      <c r="A21" s="2259" t="s">
        <v>811</v>
      </c>
      <c r="B21" s="2260" t="s">
        <v>3098</v>
      </c>
      <c r="C21" s="873" t="e">
        <f>IF(B21="容积率修正",IF(G3&lt;=10,D22,J22),C23)</f>
        <v>#DIV/0!</v>
      </c>
      <c r="D21" s="2261"/>
      <c r="E21" s="2261"/>
      <c r="F21" s="2261"/>
      <c r="G21" s="2261"/>
      <c r="H21" s="2261"/>
      <c r="I21" s="2261"/>
      <c r="J21" s="2262"/>
      <c r="K21" s="1284"/>
      <c r="L21" s="3010"/>
      <c r="M21" s="3010"/>
      <c r="N21" s="2263" t="s">
        <v>2715</v>
      </c>
      <c r="O21" s="1332">
        <v>1.0999999999999999E-2</v>
      </c>
      <c r="P21" s="1333">
        <f>SUMPRODUCT((地价!A3:A33=YEAR(G19)&amp;"-"&amp;ROUNDUP(MONTH(G19)/3,0))*(地价!AD2:AH2=N21)*(地价!AD3:AH33))</f>
        <v>0</v>
      </c>
      <c r="Q21" s="3010"/>
      <c r="R21" s="1283"/>
      <c r="S21" s="1283"/>
      <c r="T21" s="1278"/>
      <c r="U21" s="1278"/>
      <c r="V21" s="1278"/>
      <c r="W21" s="1277"/>
      <c r="X21" s="1277"/>
      <c r="Y21" s="1277"/>
      <c r="Z21" s="1284"/>
      <c r="AA21" s="1284"/>
      <c r="AB21" s="1284"/>
      <c r="AC21" s="1284"/>
      <c r="AD21" s="1284"/>
      <c r="AE21" s="1284"/>
      <c r="AF21" s="1284"/>
      <c r="AG21" s="3010"/>
      <c r="AH21" s="3010"/>
      <c r="AI21" s="3010"/>
      <c r="AJ21" s="3010"/>
    </row>
    <row r="22" spans="1:37" s="2198" customFormat="1" ht="14.25">
      <c r="A22" s="2137" t="s">
        <v>2716</v>
      </c>
      <c r="B22" s="2264" t="s">
        <v>2717</v>
      </c>
      <c r="C22" s="1534" t="s">
        <v>2718</v>
      </c>
      <c r="D22" s="1534">
        <f>IF(E22=G22,F22,IF(G3&lt;=10,ROUND(F22+(H22-F22)*(G3-E22)/(G22-E22),4),"——"))</f>
        <v>0</v>
      </c>
      <c r="E22" s="852">
        <f>ROUNDDOWN(G3,1)</f>
        <v>0</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0</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4" t="str">
        <f>IF(G3&gt;10,D113,"——")</f>
        <v>——</v>
      </c>
      <c r="K22" s="1284"/>
      <c r="L22" s="3010"/>
      <c r="M22" s="3010"/>
      <c r="N22" s="2263" t="s">
        <v>2719</v>
      </c>
      <c r="O22" s="1332"/>
      <c r="P22" s="1333">
        <f>SUMPRODUCT((地价!A3:A33=YEAR(G19)&amp;"-"&amp;ROUNDUP(MONTH(G19)/3,0))*(地价!AD2:AH2=N22)*(地价!AD3:AH33))</f>
        <v>0</v>
      </c>
      <c r="Q22" s="3010"/>
      <c r="R22" s="1283"/>
      <c r="S22" s="1283"/>
      <c r="T22" s="1278"/>
      <c r="U22" s="1278"/>
      <c r="V22" s="1278"/>
      <c r="W22" s="1277"/>
      <c r="X22" s="1277"/>
      <c r="Y22" s="1277"/>
      <c r="Z22" s="1284"/>
      <c r="AA22" s="1284"/>
      <c r="AB22" s="1284"/>
      <c r="AC22" s="1284"/>
      <c r="AD22" s="1284"/>
      <c r="AE22" s="1284"/>
      <c r="AF22" s="1284"/>
      <c r="AG22" s="3010"/>
      <c r="AH22" s="3010"/>
      <c r="AI22" s="3010"/>
      <c r="AJ22" s="3010"/>
    </row>
    <row r="23" spans="1:37" ht="27.75" thickBot="1">
      <c r="A23" s="2137" t="s">
        <v>2720</v>
      </c>
      <c r="B23" s="2265" t="s">
        <v>2721</v>
      </c>
      <c r="C23" s="947" t="e">
        <f>ROUND(IF(G3&gt;1,IF(I3&lt;7,SUMPRODUCT((B93:B98=I3)*(C92:N92=G2)*(C93:N98)),SUMIF(C92:N92,G2,C100:N100)),IF(I3&lt;7,SUMPRODUCT((B102:B107=I3)*(C92:N92=G2)*(C102:N107)),SUMIF(C92:N92,G2,C109:N109))),4)</f>
        <v>#DIV/0!</v>
      </c>
      <c r="D23" s="2233"/>
      <c r="E23" s="2233"/>
      <c r="F23" s="2266"/>
      <c r="G23" s="2267"/>
      <c r="H23" s="2268"/>
      <c r="I23" s="2269"/>
      <c r="J23" s="2270"/>
      <c r="K23" s="1277"/>
      <c r="L23" s="2179"/>
      <c r="M23" s="2179"/>
      <c r="N23" s="2263" t="s">
        <v>2722</v>
      </c>
      <c r="O23" s="1332">
        <v>5.0000000000000001E-3</v>
      </c>
      <c r="P23" s="1333">
        <f>SUMPRODUCT((地价!A3:A33=YEAR(G19)&amp;"-"&amp;ROUNDUP(MONTH(G19)/3,0))*(地价!AD2:AH2=N23)*(地价!AD3:AH33))</f>
        <v>0</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2723</v>
      </c>
      <c r="C24" s="860">
        <f>SUMIF(A45:A88,E2,B45:B88)</f>
        <v>1.0243</v>
      </c>
      <c r="D24" s="2244"/>
      <c r="E24" s="2271"/>
      <c r="F24" s="2271"/>
      <c r="G24" s="2271"/>
      <c r="H24" s="2271"/>
      <c r="I24" s="2271"/>
      <c r="J24" s="2272"/>
      <c r="K24" s="1284"/>
      <c r="L24" s="3010"/>
      <c r="M24" s="3010"/>
      <c r="N24" s="2273" t="s">
        <v>2724</v>
      </c>
      <c r="O24" s="1334"/>
      <c r="P24" s="1335">
        <f>SUMPRODUCT((地价!A3:A33=YEAR(G19)&amp;"-"&amp;ROUNDUP(MONTH(G19)/3,0))*(地价!AD2:AH2=N24)*(地价!AD3:AH33))</f>
        <v>0</v>
      </c>
      <c r="Q24" s="3010"/>
      <c r="R24" s="1283"/>
      <c r="S24" s="1283"/>
      <c r="T24" s="1278"/>
      <c r="U24" s="1278"/>
      <c r="V24" s="1278"/>
      <c r="W24" s="1277"/>
      <c r="X24" s="1277"/>
      <c r="Y24" s="1277"/>
      <c r="Z24" s="1284"/>
      <c r="AA24" s="1284"/>
      <c r="AB24" s="1284"/>
      <c r="AC24" s="1284"/>
      <c r="AD24" s="1284"/>
      <c r="AE24" s="1284"/>
      <c r="AF24" s="1284"/>
      <c r="AG24" s="3010"/>
      <c r="AH24" s="3010"/>
      <c r="AI24" s="3010"/>
      <c r="AJ24" s="3010"/>
    </row>
    <row r="25" spans="1:37" ht="15.75" thickBot="1">
      <c r="A25" s="2252" t="s">
        <v>813</v>
      </c>
      <c r="B25" s="2274" t="s">
        <v>2725</v>
      </c>
      <c r="C25" s="866"/>
      <c r="D25" s="2208"/>
      <c r="E25" s="2208"/>
      <c r="F25" s="2275"/>
      <c r="G25" s="2208"/>
      <c r="H25" s="2208"/>
      <c r="I25" s="2208"/>
      <c r="J25" s="2209"/>
      <c r="K25" s="1277"/>
      <c r="L25" s="2179"/>
      <c r="M25" s="2179"/>
      <c r="N25" s="3005" t="s">
        <v>2726</v>
      </c>
      <c r="O25" s="3006"/>
      <c r="P25" s="3007">
        <f>SUMPRODUCT((地价!A3:A33=YEAR(G19)&amp;"-"&amp;ROUNDUP(MONTH(G19)/3,0))*(地价!AD2:AH2=N25)*(地价!AD3:AH33))</f>
        <v>0</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2727</v>
      </c>
      <c r="C26" s="2538" t="e">
        <f ca="1">IF(B21="容积率修正",E29+SUM(E33:E39),SUM(V2:V16)+SUM(E33:E39))</f>
        <v>#DIV/0!</v>
      </c>
      <c r="D26" s="2277"/>
      <c r="E26" s="2233"/>
      <c r="F26" s="2278"/>
      <c r="G26" s="2233"/>
      <c r="H26" s="2233"/>
      <c r="I26" s="2233"/>
      <c r="J26" s="2279"/>
      <c r="K26" s="1277"/>
      <c r="L26" s="3008" t="s">
        <v>2627</v>
      </c>
      <c r="M26" s="2206" t="s">
        <v>2691</v>
      </c>
      <c r="N26" s="2206" t="s">
        <v>2692</v>
      </c>
      <c r="O26" s="2206" t="s">
        <v>2693</v>
      </c>
      <c r="P26" s="3009" t="s">
        <v>2694</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2728</v>
      </c>
      <c r="C27" s="867" t="e">
        <f ca="1">E30+SUM(I33:I39)</f>
        <v>#DIV/0!</v>
      </c>
      <c r="D27" s="2281"/>
      <c r="E27" s="2282"/>
      <c r="F27" s="2283"/>
      <c r="G27" s="2282"/>
      <c r="H27" s="2282"/>
      <c r="I27" s="2282"/>
      <c r="J27" s="2284"/>
      <c r="K27" s="1277"/>
      <c r="L27" s="2239" t="s">
        <v>2698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2729</v>
      </c>
      <c r="C28" s="2287" t="s">
        <v>2730</v>
      </c>
      <c r="D28" s="2287" t="s">
        <v>2731</v>
      </c>
      <c r="E28" s="2288" t="s">
        <v>2732</v>
      </c>
      <c r="F28" s="2289"/>
      <c r="G28" s="2221"/>
      <c r="H28" s="2221"/>
      <c r="I28" s="2221"/>
      <c r="J28" s="2222"/>
      <c r="K28" s="1277"/>
      <c r="L28" s="2240" t="s">
        <v>2701</v>
      </c>
      <c r="M28" s="180">
        <f ca="1">ROUND($E$20*(1+M27),3)</f>
        <v>4.8000000000000001E-2</v>
      </c>
      <c r="N28" s="180">
        <f ca="1">ROUND($E$20*(1+N27),3)</f>
        <v>4.5999999999999999E-2</v>
      </c>
      <c r="O28" s="180">
        <f ca="1">ROUND($E$20*(1+O27),3)</f>
        <v>4.3999999999999997E-2</v>
      </c>
      <c r="P28" s="1280">
        <f ca="1">ROUND($E$20*(1+P27),3)</f>
        <v>4.2000000000000003E-2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2733</v>
      </c>
      <c r="C29" s="177" t="e">
        <f ca="1">ROUND(C5*C18*C19*C20*C21*C24,0)</f>
        <v>#DIV/0!</v>
      </c>
      <c r="D29" s="2292">
        <f>'数据-汇总表'!F19</f>
        <v>96962.430000000008</v>
      </c>
      <c r="E29" s="876" t="e">
        <f ca="1">ROUND(C29*D29/10000,0)</f>
        <v>#DIV/0!</v>
      </c>
      <c r="F29" s="2293" t="s">
        <v>2734</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2735</v>
      </c>
      <c r="C30" s="190" t="e">
        <f ca="1">ROUND(IF(E2="工业",C29*M39,C29*M38),0)</f>
        <v>#DIV/0!</v>
      </c>
      <c r="D30" s="2298"/>
      <c r="E30" s="876" t="e">
        <f ca="1">ROUND(C30*D30/10000,0)</f>
        <v>#DIV/0!</v>
      </c>
      <c r="F30" s="2299" t="s">
        <v>2736</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2737</v>
      </c>
      <c r="C31" s="2304" t="s">
        <v>2738</v>
      </c>
      <c r="D31" s="2221"/>
      <c r="E31" s="2304"/>
      <c r="F31" s="2304"/>
      <c r="G31" s="2219" t="s">
        <v>2739</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5" t="s">
        <v>2730</v>
      </c>
      <c r="D32" s="452" t="s">
        <v>2731</v>
      </c>
      <c r="E32" s="452" t="s">
        <v>2732</v>
      </c>
      <c r="F32" s="345" t="s">
        <v>2740</v>
      </c>
      <c r="G32" s="2307" t="s">
        <v>2730</v>
      </c>
      <c r="H32" s="2307" t="s">
        <v>2731</v>
      </c>
      <c r="I32" s="2307" t="s">
        <v>2732</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382"/>
      <c r="B33" s="2308" t="s">
        <v>2741</v>
      </c>
      <c r="C33" s="177" t="e">
        <f ca="1">ROUND(D5*C19*C20*C24*F33,0)</f>
        <v>#DIV/0!</v>
      </c>
      <c r="D33" s="2292">
        <f>'数据-汇总表'!G19</f>
        <v>20.79</v>
      </c>
      <c r="E33" s="173" t="e">
        <f ca="1">ROUND(C33*D33/10000,0)</f>
        <v>#DIV/0!</v>
      </c>
      <c r="F33" s="173">
        <f>SUMIF(修正!A45:A56,G2,修正!B45:B56)</f>
        <v>0</v>
      </c>
      <c r="G33" s="173" t="e">
        <f t="shared" ref="G33" ca="1" si="6">ROUND(IF(E2="工业",C33*$M$39,C33*$M$38),0)</f>
        <v>#DIV/0!</v>
      </c>
      <c r="H33" s="173">
        <f>D33</f>
        <v>20.79</v>
      </c>
      <c r="I33" s="173" t="e">
        <f ca="1">ROUND(G33*H33/10000,0)</f>
        <v>#DIV/0!</v>
      </c>
      <c r="J33" s="3387" t="s">
        <v>3038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383"/>
      <c r="B34" s="2225" t="s">
        <v>2742</v>
      </c>
      <c r="C34" s="177" t="e">
        <f ca="1">ROUND(D5*C19*C20*C24*F34,0)</f>
        <v>#DIV/0!</v>
      </c>
      <c r="D34" s="2292"/>
      <c r="E34" s="173" t="e">
        <f t="shared" ref="E34:E39" ca="1" si="7">ROUND(C34*D34/10000,0)</f>
        <v>#DIV/0!</v>
      </c>
      <c r="F34" s="173">
        <f>SUMIF(修正!A45:A56,G2,修正!C45:C56)</f>
        <v>0</v>
      </c>
      <c r="G34" s="173" t="e">
        <f ca="1">ROUND(IF(E2="工业",C34*$M$39,C34*$M$38),0)</f>
        <v>#DIV/0!</v>
      </c>
      <c r="H34" s="173">
        <f t="shared" ref="H34:H39" si="8">D34</f>
        <v>0</v>
      </c>
      <c r="I34" s="173" t="e">
        <f t="shared" ref="I34:I39" ca="1" si="9">ROUND(G34*H34/10000,0)</f>
        <v>#DIV/0!</v>
      </c>
      <c r="J34" s="3383"/>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383"/>
      <c r="B35" s="2225" t="s">
        <v>2743</v>
      </c>
      <c r="C35" s="177" t="e">
        <f ca="1">ROUND(D5*C19*C20*C24*F35,0)</f>
        <v>#DIV/0!</v>
      </c>
      <c r="D35" s="2292"/>
      <c r="E35" s="173" t="e">
        <f t="shared" ca="1" si="7"/>
        <v>#DIV/0!</v>
      </c>
      <c r="F35" s="173">
        <f>SUMIF(修正!A45:A56,G2,修正!D45:D56)</f>
        <v>0</v>
      </c>
      <c r="G35" s="173" t="e">
        <f ca="1">ROUND(IF(E2="工业",C35*$M$39,C35*$M$38),0)</f>
        <v>#DIV/0!</v>
      </c>
      <c r="H35" s="173">
        <f t="shared" si="8"/>
        <v>0</v>
      </c>
      <c r="I35" s="173" t="e">
        <f t="shared" ca="1" si="9"/>
        <v>#DIV/0!</v>
      </c>
      <c r="J35" s="3383"/>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384"/>
      <c r="B36" s="2225" t="s">
        <v>2744</v>
      </c>
      <c r="C36" s="177" t="e">
        <f ca="1">ROUND(D5*C19*C20*C24*F36,0)</f>
        <v>#DIV/0!</v>
      </c>
      <c r="D36" s="2292"/>
      <c r="E36" s="173" t="e">
        <f t="shared" ca="1" si="7"/>
        <v>#DIV/0!</v>
      </c>
      <c r="F36" s="173">
        <f>SUMIF(修正!A45:A56,G2,修正!E45:E56)</f>
        <v>0</v>
      </c>
      <c r="G36" s="173" t="e">
        <f ca="1">ROUND(IF(E2="工业",C36*$M$39,C36*$M$38),0)</f>
        <v>#DIV/0!</v>
      </c>
      <c r="H36" s="173">
        <f t="shared" si="8"/>
        <v>0</v>
      </c>
      <c r="I36" s="173" t="e">
        <f t="shared" ca="1" si="9"/>
        <v>#DIV/0!</v>
      </c>
      <c r="J36" s="3384"/>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2745</v>
      </c>
      <c r="C37" s="173" t="e">
        <f ca="1">ROUND(D5*C19*C20*C24*F37,0)</f>
        <v>#DIV/0!</v>
      </c>
      <c r="D37" s="2292"/>
      <c r="E37" s="173" t="e">
        <f t="shared" ca="1" si="7"/>
        <v>#DIV/0!</v>
      </c>
      <c r="F37" s="177">
        <f>SUMIF(修正!A45:A56,G2,修正!F45:F56)</f>
        <v>0</v>
      </c>
      <c r="G37" s="173" t="e">
        <f ca="1">ROUND(IF(E2="工业",C37*$M$39,C37*$M$38),0)</f>
        <v>#DIV/0!</v>
      </c>
      <c r="H37" s="173">
        <f t="shared" si="8"/>
        <v>0</v>
      </c>
      <c r="I37" s="173" t="e">
        <f t="shared" ca="1" si="9"/>
        <v>#DIV/0!</v>
      </c>
      <c r="J37" s="2309"/>
      <c r="K37" s="1277"/>
      <c r="L37" s="2311" t="s">
        <v>2746</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2747</v>
      </c>
      <c r="C38" s="173" t="e">
        <f ca="1">ROUND(D5*C19*C41*C24*F38,0)</f>
        <v>#DIV/0!</v>
      </c>
      <c r="D38" s="2292"/>
      <c r="E38" s="173" t="e">
        <f t="shared" ca="1" si="7"/>
        <v>#DIV/0!</v>
      </c>
      <c r="F38" s="177">
        <f>SUMIF(修正!A45:A56,G2,修正!G45:G56)</f>
        <v>0</v>
      </c>
      <c r="G38" s="173" t="e">
        <f ca="1">ROUND(IF(E2="工业",C38*$M$39,C38*$M$38),0)</f>
        <v>#DIV/0!</v>
      </c>
      <c r="H38" s="173">
        <f t="shared" si="8"/>
        <v>0</v>
      </c>
      <c r="I38" s="173" t="e">
        <f t="shared" ca="1" si="9"/>
        <v>#DIV/0!</v>
      </c>
      <c r="J38" s="2309"/>
      <c r="K38" s="1277"/>
      <c r="L38" s="1603" t="s">
        <v>2748</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2749</v>
      </c>
      <c r="C39" s="190" t="e">
        <f ca="1">ROUND(D5*C19*C41*C24*F39,0)</f>
        <v>#DIV/0!</v>
      </c>
      <c r="D39" s="2298"/>
      <c r="E39" s="190" t="e">
        <f t="shared" ca="1" si="7"/>
        <v>#DIV/0!</v>
      </c>
      <c r="F39" s="868">
        <f>SUMIF(修正!A45:A56,G2,修正!H45:H56)</f>
        <v>0</v>
      </c>
      <c r="G39" s="190" t="e">
        <f ca="1">ROUND(IF(E2="工业",C39*$M$39,C39*$M$38),0)</f>
        <v>#DIV/0!</v>
      </c>
      <c r="H39" s="190">
        <f t="shared" si="8"/>
        <v>0</v>
      </c>
      <c r="I39" s="190" t="e">
        <f t="shared" ca="1" si="9"/>
        <v>#DIV/0!</v>
      </c>
      <c r="J39" s="2315"/>
      <c r="K39" s="1277"/>
      <c r="L39" s="2316" t="s">
        <v>2694</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2854</v>
      </c>
      <c r="C41" s="345">
        <f ca="1">ROUND(POWER(1+E41,H41-G41)*(POWER(1+E41,G41)-1)/(POWER(1+E41,H41)-1),4)</f>
        <v>0</v>
      </c>
      <c r="D41" s="173" t="s">
        <v>2701</v>
      </c>
      <c r="E41" s="2365">
        <f ca="1">G20</f>
        <v>4.8000000000000001E-2</v>
      </c>
      <c r="F41" s="173" t="s">
        <v>2710</v>
      </c>
      <c r="G41" s="186"/>
      <c r="H41" s="173">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2750</v>
      </c>
      <c r="B45" s="2320"/>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1" t="s">
        <v>2751</v>
      </c>
      <c r="B46" s="2322">
        <f>1+E48</f>
        <v>1.0243</v>
      </c>
      <c r="C46" s="2323"/>
      <c r="D46" s="750"/>
      <c r="E46" s="751"/>
      <c r="F46" s="2324"/>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5" t="s">
        <v>2752</v>
      </c>
      <c r="B47" s="1533" t="s">
        <v>2753</v>
      </c>
      <c r="C47" s="1533" t="s">
        <v>2754</v>
      </c>
      <c r="D47" s="1533" t="s">
        <v>2755</v>
      </c>
      <c r="E47" s="755" t="s">
        <v>2756</v>
      </c>
      <c r="F47" s="2326" t="s">
        <v>2757</v>
      </c>
      <c r="G47" s="1533" t="s">
        <v>754</v>
      </c>
      <c r="H47" s="2327" t="s">
        <v>2758</v>
      </c>
      <c r="I47" s="1533" t="s">
        <v>2759</v>
      </c>
      <c r="J47" s="557" t="s">
        <v>2410</v>
      </c>
      <c r="K47" s="557" t="s">
        <v>2411</v>
      </c>
      <c r="L47" s="557" t="s">
        <v>2412</v>
      </c>
      <c r="M47" s="557" t="s">
        <v>2413</v>
      </c>
      <c r="N47" s="557" t="s">
        <v>2414</v>
      </c>
      <c r="AA47" s="1278"/>
      <c r="AB47" s="1278"/>
      <c r="AC47" s="1278"/>
      <c r="AD47" s="1278"/>
      <c r="AE47" s="1278"/>
      <c r="AF47" s="1278"/>
      <c r="AG47" s="1278"/>
      <c r="AH47" s="1278"/>
      <c r="AI47" s="1278"/>
      <c r="AJ47" s="1278"/>
      <c r="AK47" s="1278"/>
    </row>
    <row r="48" spans="1:37" s="1277" customFormat="1" ht="38.25">
      <c r="A48" s="2325" t="s">
        <v>2760</v>
      </c>
      <c r="B48" s="2328" t="str">
        <f>估价对象房地状况!C4</f>
        <v>较好</v>
      </c>
      <c r="C48" s="2230" t="s">
        <v>3061</v>
      </c>
      <c r="D48" s="1193">
        <f t="shared" ref="D48:D56" si="10">SUMIF($J$47:$N$47,C48,J48:N48)</f>
        <v>0</v>
      </c>
      <c r="E48" s="757">
        <f>ROUND(SUM(D48:D56),4)</f>
        <v>2.4299999999999999E-2</v>
      </c>
      <c r="F48" s="1996">
        <f>IF(E2="商业",SUMIF(L1:L12,G2,N1:N12),"——")</f>
        <v>0</v>
      </c>
      <c r="G48" s="1191">
        <v>1.61E-2</v>
      </c>
      <c r="H48" s="1195">
        <f t="shared" ref="H48:H56" si="11">IFERROR(ROUNDDOWN($F$48*I48/2,4),"——")</f>
        <v>0</v>
      </c>
      <c r="I48" s="756">
        <v>0.33</v>
      </c>
      <c r="J48" s="1192">
        <f t="shared" ref="J48:J56" si="12">K48+$G48</f>
        <v>3.2199999999999999E-2</v>
      </c>
      <c r="K48" s="1192">
        <f t="shared" ref="K48:K56" si="13">$L48+$G48</f>
        <v>1.61E-2</v>
      </c>
      <c r="L48" s="1192">
        <v>0</v>
      </c>
      <c r="M48" s="1192">
        <f t="shared" ref="M48:N56" si="14">L48-$G48</f>
        <v>-1.61E-2</v>
      </c>
      <c r="N48" s="1192">
        <f t="shared" si="14"/>
        <v>-3.2199999999999999E-2</v>
      </c>
      <c r="AA48" s="1278"/>
      <c r="AB48" s="1278"/>
      <c r="AC48" s="1278"/>
      <c r="AD48" s="1278"/>
      <c r="AE48" s="1278"/>
      <c r="AF48" s="1278"/>
      <c r="AG48" s="1278"/>
      <c r="AH48" s="1278"/>
      <c r="AI48" s="1278"/>
      <c r="AJ48" s="1278"/>
      <c r="AK48" s="1278"/>
    </row>
    <row r="49" spans="1:37" s="1277" customFormat="1" ht="51">
      <c r="A49" s="2325" t="s">
        <v>2761</v>
      </c>
      <c r="B49" s="2329" t="str">
        <f>估价对象房地状况!C18</f>
        <v>较好</v>
      </c>
      <c r="C49" s="2230" t="s">
        <v>3060</v>
      </c>
      <c r="D49" s="1193">
        <f t="shared" si="10"/>
        <v>1.2200000000000001E-2</v>
      </c>
      <c r="E49" s="758"/>
      <c r="F49" s="1996"/>
      <c r="G49" s="1191">
        <v>1.2200000000000001E-2</v>
      </c>
      <c r="H49" s="1195">
        <f t="shared" si="11"/>
        <v>0</v>
      </c>
      <c r="I49" s="756">
        <v>0.25</v>
      </c>
      <c r="J49" s="1192">
        <f t="shared" si="12"/>
        <v>2.4400000000000002E-2</v>
      </c>
      <c r="K49" s="1192">
        <f t="shared" si="13"/>
        <v>1.2200000000000001E-2</v>
      </c>
      <c r="L49" s="1192">
        <v>0</v>
      </c>
      <c r="M49" s="1192">
        <f t="shared" si="14"/>
        <v>-1.2200000000000001E-2</v>
      </c>
      <c r="N49" s="1192">
        <f t="shared" si="14"/>
        <v>-2.4400000000000002E-2</v>
      </c>
      <c r="AA49" s="1278"/>
      <c r="AB49" s="1278"/>
      <c r="AC49" s="1278"/>
      <c r="AD49" s="1278"/>
      <c r="AE49" s="1278"/>
      <c r="AF49" s="1278"/>
      <c r="AG49" s="1278"/>
      <c r="AH49" s="1278"/>
      <c r="AI49" s="1278"/>
      <c r="AJ49" s="1278"/>
      <c r="AK49" s="1278"/>
    </row>
    <row r="50" spans="1:37" s="1277" customFormat="1" ht="24">
      <c r="A50" s="2325" t="s">
        <v>2762</v>
      </c>
      <c r="B50" s="2329" t="str">
        <f>估价对象房地状况!C19</f>
        <v>一般</v>
      </c>
      <c r="C50" s="2230" t="s">
        <v>3061</v>
      </c>
      <c r="D50" s="1193">
        <f t="shared" si="10"/>
        <v>0</v>
      </c>
      <c r="E50" s="758"/>
      <c r="F50" s="1996"/>
      <c r="G50" s="1191">
        <v>2.3999999999999998E-3</v>
      </c>
      <c r="H50" s="1195">
        <f t="shared" si="11"/>
        <v>0</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5" t="s">
        <v>2763</v>
      </c>
      <c r="B51" s="2330" t="s">
        <v>2764</v>
      </c>
      <c r="C51" s="2230" t="s">
        <v>3060</v>
      </c>
      <c r="D51" s="1193">
        <f t="shared" si="10"/>
        <v>2.3999999999999998E-3</v>
      </c>
      <c r="E51" s="758"/>
      <c r="F51" s="1996"/>
      <c r="G51" s="1191">
        <v>2.3999999999999998E-3</v>
      </c>
      <c r="H51" s="1195">
        <f t="shared" si="11"/>
        <v>0</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5" t="s">
        <v>2765</v>
      </c>
      <c r="B52" s="2329">
        <f>估价对象房地状况!C24</f>
        <v>0</v>
      </c>
      <c r="C52" s="2230" t="s">
        <v>3062</v>
      </c>
      <c r="D52" s="1193">
        <f t="shared" si="10"/>
        <v>-3.8999999999999998E-3</v>
      </c>
      <c r="E52" s="758"/>
      <c r="F52" s="1996"/>
      <c r="G52" s="1191">
        <v>3.8999999999999998E-3</v>
      </c>
      <c r="H52" s="1195">
        <f t="shared" si="11"/>
        <v>0</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5" t="s">
        <v>2766</v>
      </c>
      <c r="B53" s="2331" t="s">
        <v>2767</v>
      </c>
      <c r="C53" s="2230" t="s">
        <v>3060</v>
      </c>
      <c r="D53" s="1193">
        <f t="shared" si="10"/>
        <v>1.4E-3</v>
      </c>
      <c r="E53" s="758"/>
      <c r="F53" s="1996"/>
      <c r="G53" s="1191">
        <v>1.4E-3</v>
      </c>
      <c r="H53" s="1195">
        <f t="shared" si="11"/>
        <v>0</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5.5">
      <c r="A54" s="2332" t="s">
        <v>2768</v>
      </c>
      <c r="B54" s="1492" t="str">
        <f>估价对象房地状况!C21</f>
        <v>较好</v>
      </c>
      <c r="C54" s="2230" t="s">
        <v>3060</v>
      </c>
      <c r="D54" s="1193">
        <f t="shared" si="10"/>
        <v>2.3999999999999998E-3</v>
      </c>
      <c r="E54" s="758"/>
      <c r="F54" s="1996"/>
      <c r="G54" s="1191">
        <v>2.3999999999999998E-3</v>
      </c>
      <c r="H54" s="1195">
        <f t="shared" si="11"/>
        <v>0</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5.5">
      <c r="A55" s="2332" t="s">
        <v>2769</v>
      </c>
      <c r="B55" s="2329" t="str">
        <f>估价对象房地状况!C22</f>
        <v>六通</v>
      </c>
      <c r="C55" s="2230" t="s">
        <v>3072</v>
      </c>
      <c r="D55" s="1193">
        <f t="shared" si="10"/>
        <v>9.7999999999999997E-3</v>
      </c>
      <c r="E55" s="758"/>
      <c r="F55" s="1996"/>
      <c r="G55" s="1191">
        <v>4.8999999999999998E-3</v>
      </c>
      <c r="H55" s="1195">
        <f t="shared" si="11"/>
        <v>0</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39" thickBot="1">
      <c r="A56" s="2333" t="s">
        <v>2770</v>
      </c>
      <c r="B56" s="2334" t="str">
        <f>估价对象房地状况!C20</f>
        <v>较好</v>
      </c>
      <c r="C56" s="2230" t="s">
        <v>3061</v>
      </c>
      <c r="D56" s="1193">
        <f t="shared" si="10"/>
        <v>0</v>
      </c>
      <c r="E56" s="761"/>
      <c r="F56" s="1996"/>
      <c r="G56" s="1191">
        <v>2.8999999999999998E-3</v>
      </c>
      <c r="H56" s="1195">
        <f t="shared" si="11"/>
        <v>0</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1" t="s">
        <v>2771</v>
      </c>
      <c r="B57" s="2322">
        <f>1+E59</f>
        <v>1</v>
      </c>
      <c r="C57" s="750"/>
      <c r="D57" s="750"/>
      <c r="E57" s="751"/>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2752</v>
      </c>
      <c r="B58" s="1533"/>
      <c r="C58" s="1533" t="s">
        <v>2754</v>
      </c>
      <c r="D58" s="1533" t="s">
        <v>2755</v>
      </c>
      <c r="E58" s="755" t="s">
        <v>2756</v>
      </c>
      <c r="F58" s="2326" t="s">
        <v>2772</v>
      </c>
      <c r="G58" s="1533" t="s">
        <v>754</v>
      </c>
      <c r="H58" s="2327" t="s">
        <v>2758</v>
      </c>
      <c r="I58" s="1533" t="s">
        <v>2759</v>
      </c>
      <c r="J58" s="557" t="s">
        <v>2410</v>
      </c>
      <c r="K58" s="557" t="s">
        <v>2411</v>
      </c>
      <c r="L58" s="557" t="s">
        <v>2412</v>
      </c>
      <c r="M58" s="557" t="s">
        <v>2413</v>
      </c>
      <c r="N58" s="557" t="s">
        <v>2414</v>
      </c>
      <c r="AA58" s="1278"/>
      <c r="AB58" s="1278"/>
      <c r="AC58" s="1278"/>
      <c r="AD58" s="1278"/>
      <c r="AE58" s="1278"/>
      <c r="AF58" s="1278"/>
      <c r="AG58" s="1278"/>
      <c r="AH58" s="1278"/>
      <c r="AI58" s="1278"/>
      <c r="AJ58" s="1278"/>
      <c r="AK58" s="1278"/>
    </row>
    <row r="59" spans="1:37" s="1277" customFormat="1" ht="38.25">
      <c r="A59" s="2325" t="s">
        <v>2773</v>
      </c>
      <c r="B59" s="2328">
        <f>估价对象房地状况!C17</f>
        <v>0</v>
      </c>
      <c r="C59" s="2230"/>
      <c r="D59" s="1193">
        <f t="shared" ref="D59:D67" si="15">SUMIF($J$58:$N$58,C59,J59:N59)</f>
        <v>0</v>
      </c>
      <c r="E59" s="757">
        <f>ROUND(SUM(D59:D67),4)</f>
        <v>0</v>
      </c>
      <c r="F59" s="199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5" t="s">
        <v>2761</v>
      </c>
      <c r="B60" s="2329" t="str">
        <f>估价对象房地状况!C18</f>
        <v>较好</v>
      </c>
      <c r="C60" s="2230"/>
      <c r="D60" s="1193">
        <f t="shared" si="15"/>
        <v>0</v>
      </c>
      <c r="E60" s="758"/>
      <c r="F60" s="1996"/>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5" t="s">
        <v>2762</v>
      </c>
      <c r="B61" s="2329" t="str">
        <f>估价对象房地状况!C19</f>
        <v>一般</v>
      </c>
      <c r="C61" s="2230"/>
      <c r="D61" s="1193">
        <f t="shared" si="15"/>
        <v>0</v>
      </c>
      <c r="E61" s="758"/>
      <c r="F61" s="1996"/>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5" t="s">
        <v>2763</v>
      </c>
      <c r="B62" s="2330" t="s">
        <v>2764</v>
      </c>
      <c r="C62" s="2230"/>
      <c r="D62" s="1193">
        <f t="shared" si="15"/>
        <v>0</v>
      </c>
      <c r="E62" s="758"/>
      <c r="F62" s="1996"/>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5" t="s">
        <v>2765</v>
      </c>
      <c r="B63" s="2329">
        <f>估价对象房地状况!C24</f>
        <v>0</v>
      </c>
      <c r="C63" s="2230"/>
      <c r="D63" s="1193">
        <f t="shared" si="15"/>
        <v>0</v>
      </c>
      <c r="E63" s="758"/>
      <c r="F63" s="1996"/>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5" t="s">
        <v>2766</v>
      </c>
      <c r="B64" s="2331" t="s">
        <v>2767</v>
      </c>
      <c r="C64" s="2230"/>
      <c r="D64" s="1193">
        <f t="shared" si="15"/>
        <v>0</v>
      </c>
      <c r="E64" s="758"/>
      <c r="F64" s="1996"/>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5" t="s">
        <v>2768</v>
      </c>
      <c r="B65" s="1492" t="str">
        <f>估价对象房地状况!C21</f>
        <v>较好</v>
      </c>
      <c r="C65" s="2230"/>
      <c r="D65" s="1193">
        <f t="shared" si="15"/>
        <v>0</v>
      </c>
      <c r="E65" s="758"/>
      <c r="F65" s="1996"/>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5" t="s">
        <v>2769</v>
      </c>
      <c r="B66" s="1492" t="str">
        <f>估价对象房地状况!C22</f>
        <v>六通</v>
      </c>
      <c r="C66" s="2230"/>
      <c r="D66" s="1193">
        <f t="shared" si="15"/>
        <v>0</v>
      </c>
      <c r="E66" s="758"/>
      <c r="F66" s="1996"/>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3" t="s">
        <v>2770</v>
      </c>
      <c r="B67" s="2335" t="str">
        <f>估价对象房地状况!C20</f>
        <v>较好</v>
      </c>
      <c r="C67" s="2230"/>
      <c r="D67" s="1193">
        <f t="shared" si="15"/>
        <v>0</v>
      </c>
      <c r="E67" s="761"/>
      <c r="F67" s="1996"/>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1" t="s">
        <v>2774</v>
      </c>
      <c r="B68" s="2322">
        <f>1+E70</f>
        <v>0.99929999999999997</v>
      </c>
      <c r="C68" s="750"/>
      <c r="D68" s="750"/>
      <c r="E68" s="751"/>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2752</v>
      </c>
      <c r="B69" s="1533"/>
      <c r="C69" s="1533" t="s">
        <v>2754</v>
      </c>
      <c r="D69" s="1533" t="s">
        <v>2755</v>
      </c>
      <c r="E69" s="755" t="s">
        <v>2756</v>
      </c>
      <c r="F69" s="2326" t="s">
        <v>2772</v>
      </c>
      <c r="G69" s="1533" t="s">
        <v>754</v>
      </c>
      <c r="H69" s="2327" t="s">
        <v>2758</v>
      </c>
      <c r="I69" s="1533" t="s">
        <v>2759</v>
      </c>
      <c r="J69" s="557" t="s">
        <v>2410</v>
      </c>
      <c r="K69" s="557" t="s">
        <v>2411</v>
      </c>
      <c r="L69" s="557" t="s">
        <v>2412</v>
      </c>
      <c r="M69" s="557" t="s">
        <v>2413</v>
      </c>
      <c r="N69" s="557" t="s">
        <v>2414</v>
      </c>
      <c r="AA69" s="1278"/>
      <c r="AB69" s="1278"/>
      <c r="AC69" s="1278"/>
      <c r="AD69" s="1278"/>
      <c r="AE69" s="1278"/>
      <c r="AF69" s="1278"/>
      <c r="AG69" s="1278"/>
      <c r="AH69" s="1278"/>
      <c r="AI69" s="1278"/>
      <c r="AJ69" s="1278"/>
      <c r="AK69" s="1278"/>
    </row>
    <row r="70" spans="1:37" s="1277" customFormat="1" ht="51">
      <c r="A70" s="2325" t="s">
        <v>2775</v>
      </c>
      <c r="B70" s="2328" t="str">
        <f>估价对象房地状况!C15</f>
        <v>较好</v>
      </c>
      <c r="C70" s="2230" t="s">
        <v>3061</v>
      </c>
      <c r="D70" s="1193">
        <f t="shared" ref="D70:D78" si="20">SUMIF($J$69:$N$69,C70,J70:N70)</f>
        <v>0</v>
      </c>
      <c r="E70" s="757">
        <f>ROUND(SUM(D70:D78),4)</f>
        <v>-6.9999999999999999E-4</v>
      </c>
      <c r="F70" s="1996" t="str">
        <f>IF(E2="住宅",SUMIF(L1:L12,G2,N1:N12),"——")</f>
        <v>——</v>
      </c>
      <c r="G70" s="1191">
        <v>1.01E-2</v>
      </c>
      <c r="H70" s="1195" t="str">
        <f t="shared" ref="H70:H78" si="21">IFERROR(ROUNDDOWN($F$70*I70/2,4),"——")</f>
        <v>——</v>
      </c>
      <c r="I70" s="756">
        <v>0.14000000000000001</v>
      </c>
      <c r="J70" s="1192">
        <f t="shared" ref="J70:J78" si="22">K70+$G70</f>
        <v>2.0199999999999999E-2</v>
      </c>
      <c r="K70" s="1192">
        <f t="shared" ref="K70:K78" si="23">$L70+$G70</f>
        <v>1.01E-2</v>
      </c>
      <c r="L70" s="1192">
        <v>0</v>
      </c>
      <c r="M70" s="1192">
        <f t="shared" ref="M70:N78" si="24">L70-$G70</f>
        <v>-1.01E-2</v>
      </c>
      <c r="N70" s="1192">
        <f t="shared" si="24"/>
        <v>-2.0199999999999999E-2</v>
      </c>
      <c r="AA70" s="1278"/>
      <c r="AB70" s="1278"/>
      <c r="AC70" s="1278"/>
      <c r="AD70" s="1278"/>
      <c r="AE70" s="1278"/>
      <c r="AF70" s="1278"/>
      <c r="AG70" s="1278"/>
      <c r="AH70" s="1278"/>
      <c r="AI70" s="1278"/>
      <c r="AJ70" s="1278"/>
      <c r="AK70" s="1278"/>
    </row>
    <row r="71" spans="1:37" s="1277" customFormat="1" ht="51">
      <c r="A71" s="2325" t="s">
        <v>2761</v>
      </c>
      <c r="B71" s="2329" t="str">
        <f>估价对象房地状况!C18</f>
        <v>较好</v>
      </c>
      <c r="C71" s="2230" t="s">
        <v>3062</v>
      </c>
      <c r="D71" s="1193">
        <f t="shared" si="20"/>
        <v>-2.1700000000000001E-2</v>
      </c>
      <c r="E71" s="762"/>
      <c r="F71" s="1996"/>
      <c r="G71" s="1191">
        <v>2.1700000000000001E-2</v>
      </c>
      <c r="H71" s="1195" t="str">
        <f t="shared" si="21"/>
        <v>——</v>
      </c>
      <c r="I71" s="756">
        <v>0.3</v>
      </c>
      <c r="J71" s="1192">
        <f t="shared" si="22"/>
        <v>4.3400000000000001E-2</v>
      </c>
      <c r="K71" s="1192">
        <f t="shared" si="23"/>
        <v>2.1700000000000001E-2</v>
      </c>
      <c r="L71" s="1192">
        <v>0</v>
      </c>
      <c r="M71" s="1192">
        <f t="shared" si="24"/>
        <v>-2.1700000000000001E-2</v>
      </c>
      <c r="N71" s="1192">
        <f t="shared" si="24"/>
        <v>-4.3400000000000001E-2</v>
      </c>
      <c r="AA71" s="1278"/>
      <c r="AB71" s="1278"/>
      <c r="AC71" s="1278"/>
      <c r="AD71" s="1278"/>
      <c r="AE71" s="1278"/>
      <c r="AF71" s="1278"/>
      <c r="AG71" s="1278"/>
      <c r="AH71" s="1278"/>
      <c r="AI71" s="1278"/>
      <c r="AJ71" s="1278"/>
      <c r="AK71" s="1278"/>
    </row>
    <row r="72" spans="1:37" s="1277" customFormat="1" ht="24">
      <c r="A72" s="2325" t="s">
        <v>2762</v>
      </c>
      <c r="B72" s="2329" t="str">
        <f>估价对象房地状况!C19</f>
        <v>一般</v>
      </c>
      <c r="C72" s="2230" t="s">
        <v>3060</v>
      </c>
      <c r="D72" s="1193">
        <f t="shared" si="20"/>
        <v>5.7999999999999996E-3</v>
      </c>
      <c r="E72" s="762"/>
      <c r="F72" s="1996"/>
      <c r="G72" s="1191">
        <v>5.7999999999999996E-3</v>
      </c>
      <c r="H72" s="1195" t="str">
        <f t="shared" si="21"/>
        <v>——</v>
      </c>
      <c r="I72" s="756">
        <v>0.08</v>
      </c>
      <c r="J72" s="1192">
        <f t="shared" si="22"/>
        <v>1.1599999999999999E-2</v>
      </c>
      <c r="K72" s="1192">
        <f t="shared" si="23"/>
        <v>5.7999999999999996E-3</v>
      </c>
      <c r="L72" s="1192">
        <v>0</v>
      </c>
      <c r="M72" s="1192">
        <f t="shared" si="24"/>
        <v>-5.7999999999999996E-3</v>
      </c>
      <c r="N72" s="1192">
        <f t="shared" si="24"/>
        <v>-1.1599999999999999E-2</v>
      </c>
      <c r="AA72" s="1278"/>
      <c r="AB72" s="1278"/>
      <c r="AC72" s="1278"/>
      <c r="AD72" s="1278"/>
      <c r="AE72" s="1278"/>
      <c r="AF72" s="1278"/>
      <c r="AG72" s="1278"/>
      <c r="AH72" s="1278"/>
      <c r="AI72" s="1278"/>
      <c r="AJ72" s="1278"/>
      <c r="AK72" s="1278"/>
    </row>
    <row r="73" spans="1:37" s="1277" customFormat="1" ht="14.25">
      <c r="A73" s="2325" t="s">
        <v>2776</v>
      </c>
      <c r="B73" s="2329">
        <f>估价对象房地状况!C24</f>
        <v>0</v>
      </c>
      <c r="C73" s="2230" t="s">
        <v>3062</v>
      </c>
      <c r="D73" s="1193">
        <f t="shared" si="20"/>
        <v>-2.8999999999999998E-3</v>
      </c>
      <c r="E73" s="762"/>
      <c r="F73" s="1996"/>
      <c r="G73" s="1191">
        <v>2.8999999999999998E-3</v>
      </c>
      <c r="H73" s="1195" t="str">
        <f t="shared" si="21"/>
        <v>——</v>
      </c>
      <c r="I73" s="756">
        <v>0.04</v>
      </c>
      <c r="J73" s="1192">
        <f t="shared" si="22"/>
        <v>5.7999999999999996E-3</v>
      </c>
      <c r="K73" s="1192">
        <f t="shared" si="23"/>
        <v>2.8999999999999998E-3</v>
      </c>
      <c r="L73" s="1192">
        <v>0</v>
      </c>
      <c r="M73" s="1192">
        <f t="shared" si="24"/>
        <v>-2.8999999999999998E-3</v>
      </c>
      <c r="N73" s="1192">
        <f t="shared" si="24"/>
        <v>-5.7999999999999996E-3</v>
      </c>
      <c r="AA73" s="1278"/>
      <c r="AB73" s="1278"/>
      <c r="AC73" s="1278"/>
      <c r="AD73" s="1278"/>
      <c r="AE73" s="1278"/>
      <c r="AF73" s="1278"/>
      <c r="AG73" s="1278"/>
      <c r="AH73" s="1278"/>
      <c r="AI73" s="1278"/>
      <c r="AJ73" s="1278"/>
      <c r="AK73" s="1278"/>
    </row>
    <row r="74" spans="1:37" s="1277" customFormat="1" ht="25.5">
      <c r="A74" s="2325" t="s">
        <v>2768</v>
      </c>
      <c r="B74" s="1492" t="str">
        <f>估价对象房地状况!C21</f>
        <v>较好</v>
      </c>
      <c r="C74" s="2230" t="s">
        <v>3061</v>
      </c>
      <c r="D74" s="1193">
        <f t="shared" si="20"/>
        <v>0</v>
      </c>
      <c r="E74" s="762"/>
      <c r="F74" s="1996"/>
      <c r="G74" s="1191">
        <v>5.7999999999999996E-3</v>
      </c>
      <c r="H74" s="1195" t="str">
        <f t="shared" si="21"/>
        <v>——</v>
      </c>
      <c r="I74" s="756">
        <v>0.08</v>
      </c>
      <c r="J74" s="1192">
        <f t="shared" si="22"/>
        <v>1.1599999999999999E-2</v>
      </c>
      <c r="K74" s="1192">
        <f t="shared" si="23"/>
        <v>5.7999999999999996E-3</v>
      </c>
      <c r="L74" s="1192">
        <v>0</v>
      </c>
      <c r="M74" s="1192">
        <f t="shared" si="24"/>
        <v>-5.7999999999999996E-3</v>
      </c>
      <c r="N74" s="1192">
        <f t="shared" si="24"/>
        <v>-1.1599999999999999E-2</v>
      </c>
      <c r="AA74" s="1278"/>
      <c r="AB74" s="1278"/>
      <c r="AC74" s="1278"/>
      <c r="AD74" s="1278"/>
      <c r="AE74" s="1278"/>
      <c r="AF74" s="1278"/>
      <c r="AG74" s="1278"/>
      <c r="AH74" s="1278"/>
      <c r="AI74" s="1278"/>
      <c r="AJ74" s="1278"/>
      <c r="AK74" s="1278"/>
    </row>
    <row r="75" spans="1:37" s="1277" customFormat="1" ht="25.5">
      <c r="A75" s="2325" t="s">
        <v>2769</v>
      </c>
      <c r="B75" s="1492" t="str">
        <f>估价对象房地状况!C22</f>
        <v>六通</v>
      </c>
      <c r="C75" s="2230" t="s">
        <v>3072</v>
      </c>
      <c r="D75" s="1193">
        <f t="shared" si="20"/>
        <v>1.7399999999999999E-2</v>
      </c>
      <c r="E75" s="762"/>
      <c r="F75" s="1996"/>
      <c r="G75" s="1191">
        <v>8.6999999999999994E-3</v>
      </c>
      <c r="H75" s="1195" t="str">
        <f t="shared" si="21"/>
        <v>——</v>
      </c>
      <c r="I75" s="756">
        <v>0.12</v>
      </c>
      <c r="J75" s="1192">
        <f t="shared" si="22"/>
        <v>1.7399999999999999E-2</v>
      </c>
      <c r="K75" s="1192">
        <f t="shared" si="23"/>
        <v>8.6999999999999994E-3</v>
      </c>
      <c r="L75" s="1192">
        <v>0</v>
      </c>
      <c r="M75" s="1192">
        <f t="shared" si="24"/>
        <v>-8.6999999999999994E-3</v>
      </c>
      <c r="N75" s="1192">
        <f t="shared" si="24"/>
        <v>-1.7399999999999999E-2</v>
      </c>
      <c r="AA75" s="1278"/>
      <c r="AB75" s="1278"/>
      <c r="AC75" s="1278"/>
      <c r="AD75" s="1278"/>
      <c r="AE75" s="1278"/>
      <c r="AF75" s="1278"/>
      <c r="AG75" s="1278"/>
      <c r="AH75" s="1278"/>
      <c r="AI75" s="1278"/>
      <c r="AJ75" s="1278"/>
      <c r="AK75" s="1278"/>
    </row>
    <row r="76" spans="1:37" s="2179" customFormat="1" ht="24">
      <c r="A76" s="2325" t="s">
        <v>2766</v>
      </c>
      <c r="B76" s="2331" t="s">
        <v>2767</v>
      </c>
      <c r="C76" s="2230" t="s">
        <v>3060</v>
      </c>
      <c r="D76" s="1193">
        <f t="shared" si="20"/>
        <v>3.5999999999999999E-3</v>
      </c>
      <c r="E76" s="762"/>
      <c r="F76" s="1996"/>
      <c r="G76" s="1191">
        <v>3.5999999999999999E-3</v>
      </c>
      <c r="H76" s="1195" t="str">
        <f t="shared" si="21"/>
        <v>——</v>
      </c>
      <c r="I76" s="756">
        <v>0.05</v>
      </c>
      <c r="J76" s="1192">
        <f t="shared" si="22"/>
        <v>7.1999999999999998E-3</v>
      </c>
      <c r="K76" s="1192">
        <f t="shared" si="23"/>
        <v>3.5999999999999999E-3</v>
      </c>
      <c r="L76" s="1192">
        <v>0</v>
      </c>
      <c r="M76" s="1192">
        <f t="shared" si="24"/>
        <v>-3.5999999999999999E-3</v>
      </c>
      <c r="N76" s="1192">
        <f t="shared" si="24"/>
        <v>-7.1999999999999998E-3</v>
      </c>
      <c r="AA76" s="2336"/>
      <c r="AB76" s="1278"/>
      <c r="AC76" s="1278"/>
      <c r="AD76" s="1278"/>
      <c r="AE76" s="1278"/>
      <c r="AF76" s="1278"/>
      <c r="AG76" s="1278"/>
      <c r="AH76" s="2336"/>
      <c r="AI76" s="2336"/>
      <c r="AJ76" s="2336"/>
      <c r="AK76" s="2336"/>
    </row>
    <row r="77" spans="1:37" ht="38.25">
      <c r="A77" s="2325" t="s">
        <v>2770</v>
      </c>
      <c r="B77" s="2328" t="str">
        <f>估价对象房地状况!C20</f>
        <v>较好</v>
      </c>
      <c r="C77" s="2230" t="s">
        <v>3061</v>
      </c>
      <c r="D77" s="1193">
        <f t="shared" si="20"/>
        <v>0</v>
      </c>
      <c r="E77" s="762"/>
      <c r="F77" s="1996"/>
      <c r="G77" s="1191">
        <v>1.0800000000000001E-2</v>
      </c>
      <c r="H77" s="1195" t="str">
        <f t="shared" si="21"/>
        <v>——</v>
      </c>
      <c r="I77" s="756">
        <v>0.15</v>
      </c>
      <c r="J77" s="1192">
        <f t="shared" si="22"/>
        <v>2.1600000000000001E-2</v>
      </c>
      <c r="K77" s="1192">
        <f t="shared" si="23"/>
        <v>1.0800000000000001E-2</v>
      </c>
      <c r="L77" s="1192">
        <v>0</v>
      </c>
      <c r="M77" s="1192">
        <f t="shared" si="24"/>
        <v>-1.0800000000000001E-2</v>
      </c>
      <c r="N77" s="1192">
        <f t="shared" si="24"/>
        <v>-2.1600000000000001E-2</v>
      </c>
      <c r="Z77" s="2180"/>
      <c r="AA77" s="2246"/>
      <c r="AG77" s="1279"/>
      <c r="AK77" s="2246"/>
    </row>
    <row r="78" spans="1:37" ht="24.75" thickBot="1">
      <c r="A78" s="2333" t="s">
        <v>2777</v>
      </c>
      <c r="B78" s="2337"/>
      <c r="C78" s="2230" t="s">
        <v>3062</v>
      </c>
      <c r="D78" s="1193">
        <f t="shared" si="20"/>
        <v>-2.8999999999999998E-3</v>
      </c>
      <c r="E78" s="763"/>
      <c r="F78" s="1996"/>
      <c r="G78" s="1191">
        <v>2.8999999999999998E-3</v>
      </c>
      <c r="H78" s="1195" t="str">
        <f t="shared" si="21"/>
        <v>——</v>
      </c>
      <c r="I78" s="760">
        <v>0.04</v>
      </c>
      <c r="J78" s="1192">
        <f t="shared" si="22"/>
        <v>5.7999999999999996E-3</v>
      </c>
      <c r="K78" s="1192">
        <f t="shared" si="23"/>
        <v>2.8999999999999998E-3</v>
      </c>
      <c r="L78" s="1192">
        <v>0</v>
      </c>
      <c r="M78" s="1192">
        <f t="shared" si="24"/>
        <v>-2.8999999999999998E-3</v>
      </c>
      <c r="N78" s="1192">
        <f t="shared" si="24"/>
        <v>-5.7999999999999996E-3</v>
      </c>
      <c r="Z78" s="2180"/>
      <c r="AA78" s="2246"/>
      <c r="AG78" s="1279"/>
      <c r="AK78" s="2246"/>
    </row>
    <row r="79" spans="1:37" ht="15">
      <c r="A79" s="2321" t="s">
        <v>2778</v>
      </c>
      <c r="B79" s="2322">
        <f>1+E81</f>
        <v>1</v>
      </c>
      <c r="C79" s="750"/>
      <c r="D79" s="750"/>
      <c r="E79" s="751"/>
      <c r="F79" s="2324"/>
      <c r="G79" s="6"/>
      <c r="H79" s="6"/>
      <c r="I79" s="6"/>
      <c r="J79" s="7"/>
      <c r="K79" s="7"/>
      <c r="L79" s="7"/>
      <c r="M79" s="7"/>
      <c r="N79" s="7"/>
      <c r="Z79" s="2180"/>
      <c r="AA79" s="2246"/>
      <c r="AG79" s="1279"/>
      <c r="AK79" s="2246"/>
    </row>
    <row r="80" spans="1:37" ht="24.75">
      <c r="A80" s="2325" t="s">
        <v>2752</v>
      </c>
      <c r="B80" s="1533"/>
      <c r="C80" s="1533" t="s">
        <v>2754</v>
      </c>
      <c r="D80" s="1533" t="s">
        <v>2755</v>
      </c>
      <c r="E80" s="755" t="s">
        <v>2756</v>
      </c>
      <c r="F80" s="2326" t="s">
        <v>2772</v>
      </c>
      <c r="G80" s="1533" t="s">
        <v>754</v>
      </c>
      <c r="H80" s="2327" t="s">
        <v>2758</v>
      </c>
      <c r="I80" s="1533" t="s">
        <v>2759</v>
      </c>
      <c r="J80" s="557" t="s">
        <v>2410</v>
      </c>
      <c r="K80" s="557" t="s">
        <v>2411</v>
      </c>
      <c r="L80" s="557" t="s">
        <v>2412</v>
      </c>
      <c r="M80" s="557" t="s">
        <v>2413</v>
      </c>
      <c r="N80" s="557" t="s">
        <v>2414</v>
      </c>
      <c r="Z80" s="2180"/>
      <c r="AA80" s="2246"/>
      <c r="AG80" s="1279"/>
      <c r="AK80" s="2246"/>
    </row>
    <row r="81" spans="1:37" ht="38.25">
      <c r="A81" s="2325" t="s">
        <v>2779</v>
      </c>
      <c r="B81" s="2329" t="str">
        <f>估价对象房地状况!G15</f>
        <v>估价对象位于XX开发区，园区建设成熟度XX，产业集聚程度XX</v>
      </c>
      <c r="C81" s="2230"/>
      <c r="D81" s="1193">
        <f t="shared" ref="D81:D88" si="25">SUMIF($J$80:$N$80,C81,J81:N81)</f>
        <v>0</v>
      </c>
      <c r="E81" s="757">
        <f>ROUND(SUM(D81:D88),4)</f>
        <v>0</v>
      </c>
      <c r="F81" s="199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2761</v>
      </c>
      <c r="B82" s="2329" t="str">
        <f>估价对象房地状况!G16</f>
        <v>估价对象周边道路状况、公共交通通达情况、停车便捷程度，综合评价交通便捷度较好</v>
      </c>
      <c r="C82" s="2230"/>
      <c r="D82" s="1193">
        <f t="shared" si="25"/>
        <v>0</v>
      </c>
      <c r="E82" s="762"/>
      <c r="F82" s="1996"/>
      <c r="G82" s="1191"/>
      <c r="H82" s="1195" t="str">
        <f t="shared" si="26"/>
        <v>——</v>
      </c>
      <c r="I82" s="756">
        <v>0.33</v>
      </c>
      <c r="J82" s="1192">
        <f t="shared" si="27"/>
        <v>0</v>
      </c>
      <c r="K82" s="1192">
        <f t="shared" si="28"/>
        <v>0</v>
      </c>
      <c r="L82" s="1192">
        <v>0</v>
      </c>
      <c r="M82" s="1192">
        <f t="shared" si="29"/>
        <v>0</v>
      </c>
      <c r="N82" s="1192">
        <f t="shared" si="29"/>
        <v>0</v>
      </c>
      <c r="Z82" s="2180"/>
      <c r="AA82" s="2246"/>
      <c r="AG82" s="1279"/>
      <c r="AK82" s="2246"/>
    </row>
    <row r="83" spans="1:37" ht="24">
      <c r="A83" s="2325" t="s">
        <v>2762</v>
      </c>
      <c r="B83" s="2329">
        <f>估价对象房地状况!G17</f>
        <v>0</v>
      </c>
      <c r="C83" s="2230"/>
      <c r="D83" s="1193">
        <f t="shared" si="25"/>
        <v>0</v>
      </c>
      <c r="E83" s="762"/>
      <c r="F83" s="1996"/>
      <c r="G83" s="1191"/>
      <c r="H83" s="1195" t="str">
        <f t="shared" si="26"/>
        <v>——</v>
      </c>
      <c r="I83" s="756">
        <v>0.05</v>
      </c>
      <c r="J83" s="1192">
        <f t="shared" si="27"/>
        <v>0</v>
      </c>
      <c r="K83" s="1192">
        <f t="shared" si="28"/>
        <v>0</v>
      </c>
      <c r="L83" s="1192">
        <v>0</v>
      </c>
      <c r="M83" s="1192">
        <f t="shared" si="29"/>
        <v>0</v>
      </c>
      <c r="N83" s="1192">
        <f t="shared" si="29"/>
        <v>0</v>
      </c>
      <c r="Z83" s="2180"/>
      <c r="AA83" s="2246"/>
      <c r="AG83" s="1279"/>
      <c r="AK83" s="2246"/>
    </row>
    <row r="84" spans="1:37" ht="14.25">
      <c r="A84" s="2325" t="s">
        <v>2776</v>
      </c>
      <c r="B84" s="2329">
        <f>估价对象房地状况!G22</f>
        <v>0</v>
      </c>
      <c r="C84" s="2230"/>
      <c r="D84" s="1193">
        <f t="shared" si="25"/>
        <v>0</v>
      </c>
      <c r="E84" s="762"/>
      <c r="F84" s="1996"/>
      <c r="G84" s="1191"/>
      <c r="H84" s="1195" t="str">
        <f t="shared" si="26"/>
        <v>——</v>
      </c>
      <c r="I84" s="756">
        <v>0.04</v>
      </c>
      <c r="J84" s="1192">
        <f t="shared" si="27"/>
        <v>0</v>
      </c>
      <c r="K84" s="1192">
        <f t="shared" si="28"/>
        <v>0</v>
      </c>
      <c r="L84" s="1192">
        <v>0</v>
      </c>
      <c r="M84" s="1192">
        <f t="shared" si="29"/>
        <v>0</v>
      </c>
      <c r="N84" s="1192">
        <f t="shared" si="29"/>
        <v>0</v>
      </c>
      <c r="Z84" s="2180"/>
      <c r="AA84" s="2246"/>
      <c r="AG84" s="1279"/>
      <c r="AK84" s="2246"/>
    </row>
    <row r="85" spans="1:37" ht="25.5">
      <c r="A85" s="2325" t="s">
        <v>2768</v>
      </c>
      <c r="B85" s="1492" t="str">
        <f>估价对象房地状况!G19</f>
        <v>估价对象所在区域公共配套设施齐备情况</v>
      </c>
      <c r="C85" s="2230"/>
      <c r="D85" s="1193">
        <f t="shared" si="25"/>
        <v>0</v>
      </c>
      <c r="E85" s="762"/>
      <c r="F85" s="1996"/>
      <c r="G85" s="1191"/>
      <c r="H85" s="1195" t="str">
        <f t="shared" si="26"/>
        <v>——</v>
      </c>
      <c r="I85" s="756">
        <v>0.06</v>
      </c>
      <c r="J85" s="1192">
        <f t="shared" si="27"/>
        <v>0</v>
      </c>
      <c r="K85" s="1192">
        <f t="shared" si="28"/>
        <v>0</v>
      </c>
      <c r="L85" s="1192">
        <v>0</v>
      </c>
      <c r="M85" s="1192">
        <f t="shared" si="29"/>
        <v>0</v>
      </c>
      <c r="N85" s="1192">
        <f t="shared" si="29"/>
        <v>0</v>
      </c>
      <c r="Z85" s="2180"/>
      <c r="AA85" s="2246"/>
      <c r="AG85" s="1279"/>
      <c r="AK85" s="2246"/>
    </row>
    <row r="86" spans="1:37" ht="25.5">
      <c r="A86" s="2325" t="s">
        <v>2769</v>
      </c>
      <c r="B86" s="1492" t="str">
        <f>估价对象房地状况!G20</f>
        <v>估价对象所在区域基础设施水平</v>
      </c>
      <c r="C86" s="2230"/>
      <c r="D86" s="1193">
        <f t="shared" si="25"/>
        <v>0</v>
      </c>
      <c r="E86" s="762"/>
      <c r="F86" s="1996"/>
      <c r="G86" s="1191"/>
      <c r="H86" s="1195" t="str">
        <f t="shared" si="26"/>
        <v>——</v>
      </c>
      <c r="I86" s="756">
        <v>0.15</v>
      </c>
      <c r="J86" s="1192">
        <f t="shared" si="27"/>
        <v>0</v>
      </c>
      <c r="K86" s="1192">
        <f t="shared" si="28"/>
        <v>0</v>
      </c>
      <c r="L86" s="1192">
        <v>0</v>
      </c>
      <c r="M86" s="1192">
        <f t="shared" si="29"/>
        <v>0</v>
      </c>
      <c r="N86" s="1192">
        <f t="shared" si="29"/>
        <v>0</v>
      </c>
      <c r="Z86" s="2180"/>
      <c r="AA86" s="2246"/>
      <c r="AG86" s="1279"/>
      <c r="AK86" s="2246"/>
    </row>
    <row r="87" spans="1:37" ht="24">
      <c r="A87" s="2325" t="s">
        <v>2766</v>
      </c>
      <c r="B87" s="2331" t="s">
        <v>2780</v>
      </c>
      <c r="C87" s="2230"/>
      <c r="D87" s="1193">
        <f t="shared" si="25"/>
        <v>0</v>
      </c>
      <c r="E87" s="762"/>
      <c r="F87" s="1996"/>
      <c r="G87" s="1191"/>
      <c r="H87" s="1195" t="str">
        <f t="shared" si="26"/>
        <v>——</v>
      </c>
      <c r="I87" s="756">
        <v>0.05</v>
      </c>
      <c r="J87" s="1192">
        <f t="shared" si="27"/>
        <v>0</v>
      </c>
      <c r="K87" s="1192">
        <f t="shared" si="28"/>
        <v>0</v>
      </c>
      <c r="L87" s="1192">
        <v>0</v>
      </c>
      <c r="M87" s="1192">
        <f t="shared" si="29"/>
        <v>0</v>
      </c>
      <c r="N87" s="1192">
        <f t="shared" si="29"/>
        <v>0</v>
      </c>
      <c r="Z87" s="2180"/>
      <c r="AA87" s="2246"/>
      <c r="AG87" s="1279"/>
      <c r="AK87" s="2246"/>
    </row>
    <row r="88" spans="1:37" ht="39" thickBot="1">
      <c r="A88" s="2333" t="s">
        <v>2781</v>
      </c>
      <c r="B88" s="2338" t="str">
        <f>估价对象房地状况!G18</f>
        <v>该园区内是否有污染型企业，绿化情况，卫生条件，整体环境状况判断</v>
      </c>
      <c r="C88" s="2230"/>
      <c r="D88" s="1193">
        <f t="shared" si="25"/>
        <v>0</v>
      </c>
      <c r="E88" s="763"/>
      <c r="F88" s="1996"/>
      <c r="G88" s="1191"/>
      <c r="H88" s="1195" t="str">
        <f t="shared" si="26"/>
        <v>——</v>
      </c>
      <c r="I88" s="760">
        <v>0.06</v>
      </c>
      <c r="J88" s="1192">
        <f t="shared" si="27"/>
        <v>0</v>
      </c>
      <c r="K88" s="1192">
        <f t="shared" si="28"/>
        <v>0</v>
      </c>
      <c r="L88" s="1192">
        <v>0</v>
      </c>
      <c r="M88" s="1192">
        <f t="shared" si="29"/>
        <v>0</v>
      </c>
      <c r="N88" s="1192">
        <f t="shared" si="29"/>
        <v>0</v>
      </c>
      <c r="Z88" s="2180"/>
      <c r="AA88" s="2246"/>
      <c r="AG88" s="1279"/>
      <c r="AK88" s="2246"/>
    </row>
    <row r="90" spans="1:37">
      <c r="A90" s="3374" t="s">
        <v>2782</v>
      </c>
      <c r="B90" s="3374"/>
      <c r="C90" s="3374"/>
      <c r="D90" s="3374"/>
      <c r="E90" s="3374"/>
      <c r="F90" s="3374"/>
      <c r="G90" s="3374"/>
      <c r="H90" s="3374"/>
      <c r="I90" s="3374"/>
      <c r="J90" s="3374"/>
      <c r="K90" s="2339"/>
      <c r="L90" s="2339"/>
      <c r="M90" s="2339"/>
      <c r="N90" s="2339"/>
    </row>
    <row r="91" spans="1:37">
      <c r="A91" s="3376" t="s">
        <v>2783</v>
      </c>
      <c r="B91" s="3376" t="s">
        <v>2784</v>
      </c>
      <c r="C91" s="2293" t="s">
        <v>2785</v>
      </c>
      <c r="D91" s="2294"/>
      <c r="E91" s="2294"/>
      <c r="F91" s="2294"/>
      <c r="G91" s="2294"/>
      <c r="H91" s="2294"/>
      <c r="I91" s="2294"/>
      <c r="J91" s="2340"/>
      <c r="K91" s="2341"/>
      <c r="L91" s="2341"/>
      <c r="M91" s="2341"/>
      <c r="N91" s="2341"/>
    </row>
    <row r="92" spans="1:37">
      <c r="A92" s="3376"/>
      <c r="B92" s="3376"/>
      <c r="C92" s="876" t="s">
        <v>2653</v>
      </c>
      <c r="D92" s="876" t="s">
        <v>2654</v>
      </c>
      <c r="E92" s="876" t="s">
        <v>2655</v>
      </c>
      <c r="F92" s="876" t="s">
        <v>2656</v>
      </c>
      <c r="G92" s="876" t="s">
        <v>2657</v>
      </c>
      <c r="H92" s="876" t="s">
        <v>2658</v>
      </c>
      <c r="I92" s="876" t="s">
        <v>2659</v>
      </c>
      <c r="J92" s="876" t="s">
        <v>2660</v>
      </c>
      <c r="K92" s="876" t="s">
        <v>2661</v>
      </c>
      <c r="L92" s="876" t="s">
        <v>2662</v>
      </c>
      <c r="M92" s="876" t="s">
        <v>2663</v>
      </c>
      <c r="N92" s="876" t="s">
        <v>2664</v>
      </c>
    </row>
    <row r="93" spans="1:37">
      <c r="A93" s="3377" t="s">
        <v>2786</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78"/>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78"/>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78"/>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78"/>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78"/>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78"/>
      <c r="B99" s="2342" t="s">
        <v>2669</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79"/>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77" t="s">
        <v>2787</v>
      </c>
      <c r="B101" s="2346" t="s">
        <v>2788</v>
      </c>
      <c r="C101" s="2347">
        <f>$G$3</f>
        <v>0</v>
      </c>
      <c r="D101" s="2347">
        <f t="shared" ref="D101:N101" si="31">$G$3</f>
        <v>0</v>
      </c>
      <c r="E101" s="2347">
        <f t="shared" si="31"/>
        <v>0</v>
      </c>
      <c r="F101" s="2347">
        <f t="shared" si="31"/>
        <v>0</v>
      </c>
      <c r="G101" s="2347">
        <f t="shared" si="31"/>
        <v>0</v>
      </c>
      <c r="H101" s="2347">
        <f t="shared" si="31"/>
        <v>0</v>
      </c>
      <c r="I101" s="2347">
        <f t="shared" si="31"/>
        <v>0</v>
      </c>
      <c r="J101" s="2347">
        <f t="shared" si="31"/>
        <v>0</v>
      </c>
      <c r="K101" s="2347">
        <f t="shared" si="31"/>
        <v>0</v>
      </c>
      <c r="L101" s="2347">
        <f t="shared" si="31"/>
        <v>0</v>
      </c>
      <c r="M101" s="2347">
        <f t="shared" si="31"/>
        <v>0</v>
      </c>
      <c r="N101" s="2347">
        <f t="shared" si="31"/>
        <v>0</v>
      </c>
    </row>
    <row r="102" spans="1:14">
      <c r="A102" s="3378"/>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378"/>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378"/>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378"/>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378"/>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378"/>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378"/>
      <c r="B108" s="3380" t="s">
        <v>2789</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79"/>
      <c r="B109" s="3381"/>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375" t="s">
        <v>2790</v>
      </c>
      <c r="B110" s="3375"/>
      <c r="C110" s="3375"/>
      <c r="D110" s="3375"/>
      <c r="E110" s="3375"/>
      <c r="F110" s="3375"/>
      <c r="G110" s="3375"/>
      <c r="H110" s="3375"/>
      <c r="I110" s="3375"/>
      <c r="J110" s="3375"/>
      <c r="K110" s="2348"/>
      <c r="L110" s="2348"/>
      <c r="M110" s="2348"/>
      <c r="N110" s="2348"/>
    </row>
    <row r="112" spans="1:14" ht="13.5" thickBot="1"/>
    <row r="113" spans="1:13" ht="25.5" thickBot="1">
      <c r="A113" s="839" t="s">
        <v>2791</v>
      </c>
      <c r="B113" s="1194">
        <f>G3</f>
        <v>0</v>
      </c>
      <c r="C113" s="840" t="s">
        <v>2792</v>
      </c>
      <c r="D113" s="841">
        <f>SUMPRODUCT((A115:A118=F113)*(B114:M114=H113)*B115:M118)</f>
        <v>0</v>
      </c>
      <c r="E113" s="2184" t="s">
        <v>2627</v>
      </c>
      <c r="F113" s="2350" t="str">
        <f>E2</f>
        <v>商业</v>
      </c>
      <c r="G113" s="2184" t="s">
        <v>2628</v>
      </c>
      <c r="H113" s="2350">
        <f>G2</f>
        <v>0</v>
      </c>
      <c r="I113" s="2184"/>
      <c r="J113" s="2351"/>
      <c r="K113" s="2351"/>
      <c r="L113" s="2351"/>
      <c r="M113" s="2351"/>
    </row>
    <row r="114" spans="1:13">
      <c r="A114" s="844"/>
      <c r="B114" s="2352" t="s">
        <v>2793</v>
      </c>
      <c r="C114" s="2352" t="s">
        <v>2794</v>
      </c>
      <c r="D114" s="2352" t="s">
        <v>2795</v>
      </c>
      <c r="E114" s="2353" t="s">
        <v>2796</v>
      </c>
      <c r="F114" s="2353" t="s">
        <v>2797</v>
      </c>
      <c r="G114" s="2353" t="s">
        <v>2798</v>
      </c>
      <c r="H114" s="2354" t="s">
        <v>2799</v>
      </c>
      <c r="I114" s="2354" t="s">
        <v>2800</v>
      </c>
      <c r="J114" s="2355" t="s">
        <v>2801</v>
      </c>
      <c r="K114" s="2355" t="s">
        <v>2802</v>
      </c>
      <c r="L114" s="2355" t="s">
        <v>2803</v>
      </c>
      <c r="M114" s="2356" t="s">
        <v>2804</v>
      </c>
    </row>
    <row r="115" spans="1:13">
      <c r="A115" s="845" t="s">
        <v>2691</v>
      </c>
      <c r="B115" s="846">
        <f>ROUND(0.9335-0.0094*B113,4)</f>
        <v>0.9335</v>
      </c>
      <c r="C115" s="846">
        <f>B115</f>
        <v>0.9335</v>
      </c>
      <c r="D115" s="846">
        <f>ROUND(0.8331-0.0109*B113,4)</f>
        <v>0.83309999999999995</v>
      </c>
      <c r="E115" s="846">
        <f>D115</f>
        <v>0.83309999999999995</v>
      </c>
      <c r="F115" s="846">
        <f>E115</f>
        <v>0.83309999999999995</v>
      </c>
      <c r="G115" s="846">
        <f>F115</f>
        <v>0.83309999999999995</v>
      </c>
      <c r="H115" s="846">
        <f>G115</f>
        <v>0.83309999999999995</v>
      </c>
      <c r="I115" s="846">
        <f>ROUND(0.689-0.0155*B113,4)</f>
        <v>0.68899999999999995</v>
      </c>
      <c r="J115" s="846">
        <f t="shared" ref="J115:M118" si="33">I115</f>
        <v>0.68899999999999995</v>
      </c>
      <c r="K115" s="846">
        <f t="shared" si="33"/>
        <v>0.68899999999999995</v>
      </c>
      <c r="L115" s="846">
        <f t="shared" si="33"/>
        <v>0.68899999999999995</v>
      </c>
      <c r="M115" s="847">
        <f t="shared" si="33"/>
        <v>0.68899999999999995</v>
      </c>
    </row>
    <row r="116" spans="1:13">
      <c r="A116" s="845" t="s">
        <v>2692</v>
      </c>
      <c r="B116" s="846">
        <f>ROUND(0.949-0.012*B113,4)</f>
        <v>0.94899999999999995</v>
      </c>
      <c r="C116" s="846">
        <f>B116</f>
        <v>0.94899999999999995</v>
      </c>
      <c r="D116" s="846">
        <f>ROUND(0.8567-0.013*B113,4)</f>
        <v>0.85670000000000002</v>
      </c>
      <c r="E116" s="846">
        <f t="shared" ref="E116:H117" si="34">D116</f>
        <v>0.85670000000000002</v>
      </c>
      <c r="F116" s="846">
        <f t="shared" si="34"/>
        <v>0.85670000000000002</v>
      </c>
      <c r="G116" s="846">
        <f t="shared" si="34"/>
        <v>0.85670000000000002</v>
      </c>
      <c r="H116" s="846">
        <f t="shared" si="34"/>
        <v>0.85670000000000002</v>
      </c>
      <c r="I116" s="846">
        <f>ROUND(0.7694-0.014*B113,4)</f>
        <v>0.76939999999999997</v>
      </c>
      <c r="J116" s="846">
        <f t="shared" si="33"/>
        <v>0.76939999999999997</v>
      </c>
      <c r="K116" s="846">
        <f t="shared" si="33"/>
        <v>0.76939999999999997</v>
      </c>
      <c r="L116" s="846">
        <f t="shared" si="33"/>
        <v>0.76939999999999997</v>
      </c>
      <c r="M116" s="847">
        <f t="shared" si="33"/>
        <v>0.76939999999999997</v>
      </c>
    </row>
    <row r="117" spans="1:13">
      <c r="A117" s="845" t="s">
        <v>2693</v>
      </c>
      <c r="B117" s="846">
        <f>ROUND(0.8808-0.006*B113,4)</f>
        <v>0.88080000000000003</v>
      </c>
      <c r="C117" s="846">
        <f>B117</f>
        <v>0.88080000000000003</v>
      </c>
      <c r="D117" s="846">
        <f>ROUND(0.8748-0.008*B113,4)</f>
        <v>0.87480000000000002</v>
      </c>
      <c r="E117" s="846">
        <f t="shared" si="34"/>
        <v>0.87480000000000002</v>
      </c>
      <c r="F117" s="846">
        <f t="shared" si="34"/>
        <v>0.87480000000000002</v>
      </c>
      <c r="G117" s="846">
        <f t="shared" si="34"/>
        <v>0.87480000000000002</v>
      </c>
      <c r="H117" s="846">
        <f t="shared" si="34"/>
        <v>0.87480000000000002</v>
      </c>
      <c r="I117" s="846">
        <f>ROUND(0.7412-0.0095*B113,4)</f>
        <v>0.74119999999999997</v>
      </c>
      <c r="J117" s="846">
        <f t="shared" si="33"/>
        <v>0.74119999999999997</v>
      </c>
      <c r="K117" s="846">
        <f t="shared" si="33"/>
        <v>0.74119999999999997</v>
      </c>
      <c r="L117" s="846">
        <f t="shared" si="33"/>
        <v>0.74119999999999997</v>
      </c>
      <c r="M117" s="847">
        <f t="shared" si="33"/>
        <v>0.74119999999999997</v>
      </c>
    </row>
    <row r="118" spans="1:13" ht="13.5" thickBot="1">
      <c r="A118" s="667" t="s">
        <v>2694</v>
      </c>
      <c r="B118" s="848">
        <f>ROUND(0.7275-0.01*B113,4)</f>
        <v>0.72750000000000004</v>
      </c>
      <c r="C118" s="848">
        <f>B118</f>
        <v>0.72750000000000004</v>
      </c>
      <c r="D118" s="848">
        <f>ROUND(0.7043-0.012*B113,4)</f>
        <v>0.70430000000000004</v>
      </c>
      <c r="E118" s="848">
        <f>D118</f>
        <v>0.70430000000000004</v>
      </c>
      <c r="F118" s="848">
        <f>E118</f>
        <v>0.70430000000000004</v>
      </c>
      <c r="G118" s="848">
        <f>ROUND(0.6299-0.0122*B113,4)</f>
        <v>0.62990000000000002</v>
      </c>
      <c r="H118" s="848">
        <f>G118</f>
        <v>0.62990000000000002</v>
      </c>
      <c r="I118" s="848">
        <f>ROUND(0.5667-0.0136*B113,4)</f>
        <v>0.56669999999999998</v>
      </c>
      <c r="J118" s="848">
        <f t="shared" si="33"/>
        <v>0.56669999999999998</v>
      </c>
      <c r="K118" s="848">
        <f t="shared" si="33"/>
        <v>0.56669999999999998</v>
      </c>
      <c r="L118" s="848">
        <f t="shared" si="33"/>
        <v>0.56669999999999998</v>
      </c>
      <c r="M118" s="849">
        <f t="shared" si="33"/>
        <v>0.56669999999999998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2856</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8" t="s">
        <v>183</v>
      </c>
      <c r="B18" s="818" t="s">
        <v>560</v>
      </c>
      <c r="C18" s="819" t="s">
        <v>561</v>
      </c>
      <c r="D18" s="820"/>
      <c r="E18" s="818">
        <v>1</v>
      </c>
      <c r="F18" s="821" t="s">
        <v>562</v>
      </c>
      <c r="G18" s="822"/>
      <c r="H18" s="814"/>
      <c r="I18" s="814"/>
    </row>
    <row r="19" spans="1:9" s="823" customFormat="1" ht="19.5" customHeight="1">
      <c r="A19" s="3398"/>
      <c r="B19" s="3398" t="s">
        <v>563</v>
      </c>
      <c r="C19" s="819" t="s">
        <v>564</v>
      </c>
      <c r="D19" s="820"/>
      <c r="E19" s="818">
        <v>0.9</v>
      </c>
      <c r="F19" s="821" t="s">
        <v>565</v>
      </c>
      <c r="G19" s="822"/>
      <c r="H19" s="814"/>
      <c r="I19" s="814"/>
    </row>
    <row r="20" spans="1:9" s="823" customFormat="1" ht="19.5" customHeight="1">
      <c r="A20" s="3398"/>
      <c r="B20" s="3398"/>
      <c r="C20" s="819" t="s">
        <v>566</v>
      </c>
      <c r="D20" s="820"/>
      <c r="E20" s="818">
        <v>1.1000000000000001</v>
      </c>
      <c r="F20" s="821" t="s">
        <v>567</v>
      </c>
      <c r="G20" s="822"/>
      <c r="H20" s="814"/>
      <c r="I20" s="814"/>
    </row>
    <row r="21" spans="1:9" s="823" customFormat="1" ht="19.5" customHeight="1">
      <c r="A21" s="3398"/>
      <c r="B21" s="3398"/>
      <c r="C21" s="819" t="s">
        <v>568</v>
      </c>
      <c r="D21" s="820"/>
      <c r="E21" s="818">
        <v>0.8</v>
      </c>
      <c r="F21" s="821" t="s">
        <v>569</v>
      </c>
      <c r="G21" s="822"/>
      <c r="H21" s="814"/>
      <c r="I21" s="814"/>
    </row>
    <row r="22" spans="1:9" s="823" customFormat="1" ht="19.5" customHeight="1">
      <c r="A22" s="3398"/>
      <c r="B22" s="3398"/>
      <c r="C22" s="819" t="s">
        <v>570</v>
      </c>
      <c r="D22" s="820"/>
      <c r="E22" s="818">
        <v>0.5</v>
      </c>
      <c r="F22" s="821"/>
      <c r="G22" s="822"/>
      <c r="H22" s="814"/>
      <c r="I22" s="814"/>
    </row>
    <row r="23" spans="1:9" s="823" customFormat="1" ht="19.5" customHeight="1">
      <c r="A23" s="3398" t="s">
        <v>184</v>
      </c>
      <c r="B23" s="818" t="s">
        <v>560</v>
      </c>
      <c r="C23" s="819" t="s">
        <v>571</v>
      </c>
      <c r="D23" s="820"/>
      <c r="E23" s="818">
        <v>1</v>
      </c>
      <c r="F23" s="821" t="s">
        <v>572</v>
      </c>
      <c r="G23" s="822"/>
      <c r="H23" s="814"/>
      <c r="I23" s="814"/>
    </row>
    <row r="24" spans="1:9" s="823" customFormat="1" ht="19.5" customHeight="1">
      <c r="A24" s="3398"/>
      <c r="B24" s="3398" t="s">
        <v>563</v>
      </c>
      <c r="C24" s="819" t="s">
        <v>573</v>
      </c>
      <c r="D24" s="820"/>
      <c r="E24" s="818">
        <v>0.5</v>
      </c>
      <c r="F24" s="821"/>
      <c r="G24" s="822"/>
      <c r="H24" s="814"/>
      <c r="I24" s="814"/>
    </row>
    <row r="25" spans="1:9" s="823" customFormat="1" ht="19.5" customHeight="1">
      <c r="A25" s="3398"/>
      <c r="B25" s="3398"/>
      <c r="C25" s="819" t="s">
        <v>574</v>
      </c>
      <c r="D25" s="820"/>
      <c r="E25" s="818">
        <v>1.1000000000000001</v>
      </c>
      <c r="F25" s="821"/>
      <c r="G25" s="822"/>
      <c r="H25" s="814"/>
      <c r="I25" s="814"/>
    </row>
    <row r="26" spans="1:9" s="823" customFormat="1" ht="19.5" customHeight="1">
      <c r="A26" s="3398"/>
      <c r="B26" s="3398"/>
      <c r="C26" s="819" t="s">
        <v>575</v>
      </c>
      <c r="D26" s="820"/>
      <c r="E26" s="818">
        <v>1.1000000000000001</v>
      </c>
      <c r="F26" s="821"/>
      <c r="G26" s="822"/>
      <c r="H26" s="814"/>
      <c r="I26" s="814"/>
    </row>
    <row r="27" spans="1:9" s="823" customFormat="1" ht="19.5" customHeight="1">
      <c r="A27" s="3398"/>
      <c r="B27" s="3398"/>
      <c r="C27" s="819" t="s">
        <v>576</v>
      </c>
      <c r="D27" s="820"/>
      <c r="E27" s="818">
        <v>0.9</v>
      </c>
      <c r="F27" s="821" t="s">
        <v>577</v>
      </c>
      <c r="G27" s="822"/>
      <c r="H27" s="814"/>
      <c r="I27" s="814"/>
    </row>
    <row r="28" spans="1:9" s="823" customFormat="1" ht="19.5" customHeight="1">
      <c r="A28" s="3398"/>
      <c r="B28" s="3398"/>
      <c r="C28" s="819" t="s">
        <v>578</v>
      </c>
      <c r="D28" s="820"/>
      <c r="E28" s="818">
        <v>0.9</v>
      </c>
      <c r="F28" s="821" t="s">
        <v>579</v>
      </c>
      <c r="G28" s="822"/>
      <c r="H28" s="814"/>
      <c r="I28" s="814"/>
    </row>
    <row r="29" spans="1:9" s="823" customFormat="1" ht="19.5" customHeight="1">
      <c r="A29" s="3398"/>
      <c r="B29" s="3398"/>
      <c r="C29" s="819" t="s">
        <v>580</v>
      </c>
      <c r="D29" s="820"/>
      <c r="E29" s="818">
        <v>0.9</v>
      </c>
      <c r="F29" s="821" t="s">
        <v>581</v>
      </c>
      <c r="G29" s="822"/>
      <c r="H29" s="814"/>
      <c r="I29" s="814"/>
    </row>
    <row r="30" spans="1:9" s="823" customFormat="1" ht="19.5" customHeight="1">
      <c r="A30" s="3398"/>
      <c r="B30" s="3398"/>
      <c r="C30" s="819" t="s">
        <v>582</v>
      </c>
      <c r="D30" s="820"/>
      <c r="E30" s="818">
        <v>0.9</v>
      </c>
      <c r="F30" s="821" t="s">
        <v>583</v>
      </c>
      <c r="G30" s="822"/>
      <c r="H30" s="814"/>
      <c r="I30" s="814"/>
    </row>
    <row r="31" spans="1:9" s="823" customFormat="1" ht="19.5" customHeight="1">
      <c r="A31" s="3398"/>
      <c r="B31" s="3398"/>
      <c r="C31" s="819" t="s">
        <v>584</v>
      </c>
      <c r="D31" s="820"/>
      <c r="E31" s="818">
        <v>0.8</v>
      </c>
      <c r="F31" s="821" t="s">
        <v>585</v>
      </c>
      <c r="G31" s="822"/>
      <c r="H31" s="814"/>
      <c r="I31" s="814"/>
    </row>
    <row r="32" spans="1:9" s="823" customFormat="1" ht="19.5" customHeight="1">
      <c r="A32" s="3398"/>
      <c r="B32" s="3398"/>
      <c r="C32" s="819" t="s">
        <v>586</v>
      </c>
      <c r="D32" s="820"/>
      <c r="E32" s="818">
        <v>0.8</v>
      </c>
      <c r="F32" s="821" t="s">
        <v>587</v>
      </c>
      <c r="G32" s="822"/>
      <c r="H32" s="814"/>
      <c r="I32" s="814"/>
    </row>
    <row r="33" spans="1:9" s="823" customFormat="1" ht="19.5" customHeight="1">
      <c r="A33" s="3398" t="s">
        <v>185</v>
      </c>
      <c r="B33" s="818" t="s">
        <v>560</v>
      </c>
      <c r="C33" s="819" t="s">
        <v>588</v>
      </c>
      <c r="D33" s="820"/>
      <c r="E33" s="818">
        <v>1</v>
      </c>
      <c r="F33" s="821" t="s">
        <v>589</v>
      </c>
      <c r="G33" s="822"/>
      <c r="H33" s="814"/>
      <c r="I33" s="814"/>
    </row>
    <row r="34" spans="1:9" s="823" customFormat="1" ht="19.5" customHeight="1">
      <c r="A34" s="3398"/>
      <c r="B34" s="818" t="s">
        <v>563</v>
      </c>
      <c r="C34" s="819" t="s">
        <v>590</v>
      </c>
      <c r="D34" s="820"/>
      <c r="E34" s="818">
        <v>1.5</v>
      </c>
      <c r="F34" s="821" t="s">
        <v>591</v>
      </c>
      <c r="G34" s="822"/>
      <c r="H34" s="814"/>
      <c r="I34" s="814"/>
    </row>
    <row r="35" spans="1:9" s="823" customFormat="1" ht="19.5" customHeight="1">
      <c r="A35" s="3398" t="s">
        <v>186</v>
      </c>
      <c r="B35" s="818" t="s">
        <v>560</v>
      </c>
      <c r="C35" s="819" t="s">
        <v>592</v>
      </c>
      <c r="D35" s="820"/>
      <c r="E35" s="818">
        <v>1</v>
      </c>
      <c r="F35" s="821" t="s">
        <v>593</v>
      </c>
      <c r="G35" s="822"/>
      <c r="H35" s="814"/>
      <c r="I35" s="814"/>
    </row>
    <row r="36" spans="1:9" s="823" customFormat="1" ht="19.5" customHeight="1">
      <c r="A36" s="3398"/>
      <c r="B36" s="3398" t="s">
        <v>563</v>
      </c>
      <c r="C36" s="819" t="s">
        <v>594</v>
      </c>
      <c r="D36" s="820"/>
      <c r="E36" s="818">
        <v>1</v>
      </c>
      <c r="F36" s="821" t="s">
        <v>595</v>
      </c>
      <c r="G36" s="822"/>
      <c r="H36" s="814"/>
      <c r="I36" s="814"/>
    </row>
    <row r="37" spans="1:9" s="823" customFormat="1" ht="19.5" customHeight="1">
      <c r="A37" s="3398"/>
      <c r="B37" s="3398"/>
      <c r="C37" s="819" t="s">
        <v>596</v>
      </c>
      <c r="D37" s="820"/>
      <c r="E37" s="818">
        <v>1.5</v>
      </c>
      <c r="F37" s="821" t="s">
        <v>597</v>
      </c>
      <c r="G37" s="822"/>
      <c r="H37" s="814"/>
      <c r="I37" s="814"/>
    </row>
    <row r="38" spans="1:9" s="823" customFormat="1" ht="19.5" customHeight="1">
      <c r="A38" s="3398"/>
      <c r="B38" s="3398"/>
      <c r="C38" s="819" t="s">
        <v>598</v>
      </c>
      <c r="D38" s="820"/>
      <c r="E38" s="818">
        <v>1</v>
      </c>
      <c r="F38" s="821" t="s">
        <v>599</v>
      </c>
      <c r="G38" s="822"/>
      <c r="H38" s="814"/>
      <c r="I38" s="814"/>
    </row>
    <row r="39" spans="1:9" s="823" customFormat="1" ht="19.5" customHeight="1">
      <c r="A39" s="3398"/>
      <c r="B39" s="3398"/>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8" t="s">
        <v>614</v>
      </c>
      <c r="C61" s="754" t="s">
        <v>615</v>
      </c>
      <c r="D61" s="754" t="s">
        <v>616</v>
      </c>
      <c r="E61" s="831">
        <v>0.5</v>
      </c>
      <c r="F61" s="818">
        <v>80</v>
      </c>
    </row>
    <row r="62" spans="1:8" s="814" customFormat="1" ht="24">
      <c r="A62" s="818">
        <v>2</v>
      </c>
      <c r="B62" s="3398"/>
      <c r="C62" s="754" t="s">
        <v>617</v>
      </c>
      <c r="D62" s="754" t="s">
        <v>618</v>
      </c>
      <c r="E62" s="831">
        <v>0.5</v>
      </c>
      <c r="F62" s="818">
        <v>80</v>
      </c>
    </row>
    <row r="63" spans="1:8" s="814" customFormat="1" ht="36">
      <c r="A63" s="818">
        <v>3</v>
      </c>
      <c r="B63" s="3398"/>
      <c r="C63" s="754" t="s">
        <v>619</v>
      </c>
      <c r="D63" s="754" t="s">
        <v>620</v>
      </c>
      <c r="E63" s="831">
        <v>0.5</v>
      </c>
      <c r="F63" s="818">
        <v>80</v>
      </c>
    </row>
    <row r="64" spans="1:8" s="814" customFormat="1" ht="36">
      <c r="A64" s="818">
        <v>4</v>
      </c>
      <c r="B64" s="3398"/>
      <c r="C64" s="754" t="s">
        <v>621</v>
      </c>
      <c r="D64" s="754" t="s">
        <v>622</v>
      </c>
      <c r="E64" s="831">
        <v>0.4</v>
      </c>
      <c r="F64" s="818">
        <v>60</v>
      </c>
    </row>
    <row r="65" spans="1:6" s="814" customFormat="1" ht="36">
      <c r="A65" s="818">
        <v>5</v>
      </c>
      <c r="B65" s="3398"/>
      <c r="C65" s="754" t="s">
        <v>623</v>
      </c>
      <c r="D65" s="754" t="s">
        <v>624</v>
      </c>
      <c r="E65" s="831">
        <v>0.2</v>
      </c>
      <c r="F65" s="818">
        <v>30</v>
      </c>
    </row>
    <row r="66" spans="1:6" s="814" customFormat="1" ht="36">
      <c r="A66" s="818">
        <v>6</v>
      </c>
      <c r="B66" s="3398"/>
      <c r="C66" s="754" t="s">
        <v>625</v>
      </c>
      <c r="D66" s="754" t="s">
        <v>626</v>
      </c>
      <c r="E66" s="831">
        <v>0.3</v>
      </c>
      <c r="F66" s="818">
        <v>50</v>
      </c>
    </row>
    <row r="67" spans="1:6" s="814" customFormat="1" ht="36">
      <c r="A67" s="818">
        <v>7</v>
      </c>
      <c r="B67" s="3398"/>
      <c r="C67" s="754" t="s">
        <v>627</v>
      </c>
      <c r="D67" s="754" t="s">
        <v>628</v>
      </c>
      <c r="E67" s="831">
        <v>0.2</v>
      </c>
      <c r="F67" s="818">
        <v>30</v>
      </c>
    </row>
    <row r="68" spans="1:6" s="814" customFormat="1" ht="36">
      <c r="A68" s="818">
        <v>8</v>
      </c>
      <c r="B68" s="3398"/>
      <c r="C68" s="754" t="s">
        <v>629</v>
      </c>
      <c r="D68" s="754" t="s">
        <v>630</v>
      </c>
      <c r="E68" s="831">
        <v>0.2</v>
      </c>
      <c r="F68" s="818">
        <v>30</v>
      </c>
    </row>
    <row r="69" spans="1:6" s="814" customFormat="1" ht="36">
      <c r="A69" s="818">
        <v>9</v>
      </c>
      <c r="B69" s="3398"/>
      <c r="C69" s="754" t="s">
        <v>631</v>
      </c>
      <c r="D69" s="754" t="s">
        <v>632</v>
      </c>
      <c r="E69" s="831">
        <v>0.2</v>
      </c>
      <c r="F69" s="818">
        <v>30</v>
      </c>
    </row>
    <row r="70" spans="1:6" s="814" customFormat="1" ht="48">
      <c r="A70" s="818">
        <v>10</v>
      </c>
      <c r="B70" s="3398"/>
      <c r="C70" s="754" t="s">
        <v>633</v>
      </c>
      <c r="D70" s="754" t="s">
        <v>634</v>
      </c>
      <c r="E70" s="831">
        <v>0.2</v>
      </c>
      <c r="F70" s="818">
        <v>30</v>
      </c>
    </row>
    <row r="71" spans="1:6" s="814" customFormat="1" ht="48">
      <c r="A71" s="818">
        <v>11</v>
      </c>
      <c r="B71" s="3398"/>
      <c r="C71" s="754" t="s">
        <v>635</v>
      </c>
      <c r="D71" s="754" t="s">
        <v>636</v>
      </c>
      <c r="E71" s="831">
        <v>0.2</v>
      </c>
      <c r="F71" s="818">
        <v>30</v>
      </c>
    </row>
    <row r="72" spans="1:6" s="814" customFormat="1" ht="36">
      <c r="A72" s="818">
        <v>12</v>
      </c>
      <c r="B72" s="3398"/>
      <c r="C72" s="754" t="s">
        <v>637</v>
      </c>
      <c r="D72" s="754" t="s">
        <v>638</v>
      </c>
      <c r="E72" s="831">
        <v>0.5</v>
      </c>
      <c r="F72" s="818">
        <v>80</v>
      </c>
    </row>
    <row r="73" spans="1:6" s="814" customFormat="1" ht="24">
      <c r="A73" s="818">
        <v>13</v>
      </c>
      <c r="B73" s="3398"/>
      <c r="C73" s="754" t="s">
        <v>639</v>
      </c>
      <c r="D73" s="754" t="s">
        <v>640</v>
      </c>
      <c r="E73" s="831">
        <v>0.4</v>
      </c>
      <c r="F73" s="818">
        <v>60</v>
      </c>
    </row>
    <row r="74" spans="1:6" s="814" customFormat="1" ht="24">
      <c r="A74" s="818">
        <v>14</v>
      </c>
      <c r="B74" s="3398"/>
      <c r="C74" s="754" t="s">
        <v>641</v>
      </c>
      <c r="D74" s="754" t="s">
        <v>642</v>
      </c>
      <c r="E74" s="831">
        <v>0.2</v>
      </c>
      <c r="F74" s="818">
        <v>30</v>
      </c>
    </row>
    <row r="75" spans="1:6" s="814" customFormat="1" ht="24">
      <c r="A75" s="818">
        <v>15</v>
      </c>
      <c r="B75" s="3398"/>
      <c r="C75" s="754" t="s">
        <v>643</v>
      </c>
      <c r="D75" s="754" t="s">
        <v>644</v>
      </c>
      <c r="E75" s="831">
        <v>0.2</v>
      </c>
      <c r="F75" s="818">
        <v>30</v>
      </c>
    </row>
    <row r="76" spans="1:6" s="814" customFormat="1" ht="24">
      <c r="A76" s="818">
        <v>16</v>
      </c>
      <c r="B76" s="3398" t="s">
        <v>645</v>
      </c>
      <c r="C76" s="754" t="s">
        <v>646</v>
      </c>
      <c r="D76" s="754" t="s">
        <v>647</v>
      </c>
      <c r="E76" s="831">
        <v>0.5</v>
      </c>
      <c r="F76" s="818">
        <v>80</v>
      </c>
    </row>
    <row r="77" spans="1:6" s="814" customFormat="1" ht="24">
      <c r="A77" s="818">
        <v>17</v>
      </c>
      <c r="B77" s="3398"/>
      <c r="C77" s="754" t="s">
        <v>648</v>
      </c>
      <c r="D77" s="754" t="s">
        <v>649</v>
      </c>
      <c r="E77" s="831">
        <v>0.5</v>
      </c>
      <c r="F77" s="818">
        <v>80</v>
      </c>
    </row>
    <row r="78" spans="1:6" s="814" customFormat="1" ht="24">
      <c r="A78" s="818">
        <v>18</v>
      </c>
      <c r="B78" s="3398"/>
      <c r="C78" s="754" t="s">
        <v>650</v>
      </c>
      <c r="D78" s="754" t="s">
        <v>651</v>
      </c>
      <c r="E78" s="831">
        <v>0.2</v>
      </c>
      <c r="F78" s="818">
        <v>30</v>
      </c>
    </row>
    <row r="79" spans="1:6" s="814" customFormat="1" ht="24">
      <c r="A79" s="818">
        <v>19</v>
      </c>
      <c r="B79" s="3398"/>
      <c r="C79" s="754" t="s">
        <v>652</v>
      </c>
      <c r="D79" s="754" t="s">
        <v>653</v>
      </c>
      <c r="E79" s="831">
        <v>0.5</v>
      </c>
      <c r="F79" s="818">
        <v>80</v>
      </c>
    </row>
    <row r="80" spans="1:6" s="814" customFormat="1" ht="36">
      <c r="A80" s="818">
        <v>20</v>
      </c>
      <c r="B80" s="3398"/>
      <c r="C80" s="754" t="s">
        <v>654</v>
      </c>
      <c r="D80" s="754" t="s">
        <v>655</v>
      </c>
      <c r="E80" s="831">
        <v>0.2</v>
      </c>
      <c r="F80" s="818">
        <v>30</v>
      </c>
    </row>
    <row r="81" spans="1:6" s="814" customFormat="1" ht="36">
      <c r="A81" s="818">
        <v>21</v>
      </c>
      <c r="B81" s="3398"/>
      <c r="C81" s="754" t="s">
        <v>656</v>
      </c>
      <c r="D81" s="754" t="s">
        <v>657</v>
      </c>
      <c r="E81" s="831">
        <v>0.2</v>
      </c>
      <c r="F81" s="818">
        <v>30</v>
      </c>
    </row>
    <row r="82" spans="1:6" s="814" customFormat="1" ht="48">
      <c r="A82" s="818">
        <v>22</v>
      </c>
      <c r="B82" s="3398"/>
      <c r="C82" s="754" t="s">
        <v>658</v>
      </c>
      <c r="D82" s="754" t="s">
        <v>659</v>
      </c>
      <c r="E82" s="831">
        <v>0.2</v>
      </c>
      <c r="F82" s="818">
        <v>30</v>
      </c>
    </row>
    <row r="83" spans="1:6" s="814" customFormat="1" ht="48">
      <c r="A83" s="818">
        <v>23</v>
      </c>
      <c r="B83" s="3398"/>
      <c r="C83" s="754" t="s">
        <v>660</v>
      </c>
      <c r="D83" s="754" t="s">
        <v>661</v>
      </c>
      <c r="E83" s="831">
        <v>0.2</v>
      </c>
      <c r="F83" s="818">
        <v>30</v>
      </c>
    </row>
    <row r="84" spans="1:6" s="814" customFormat="1" ht="36">
      <c r="A84" s="818">
        <v>24</v>
      </c>
      <c r="B84" s="3398"/>
      <c r="C84" s="754" t="s">
        <v>662</v>
      </c>
      <c r="D84" s="754" t="s">
        <v>663</v>
      </c>
      <c r="E84" s="831">
        <v>0.2</v>
      </c>
      <c r="F84" s="818">
        <v>30</v>
      </c>
    </row>
    <row r="85" spans="1:6" s="814" customFormat="1" ht="36">
      <c r="A85" s="818">
        <v>25</v>
      </c>
      <c r="B85" s="3398"/>
      <c r="C85" s="754" t="s">
        <v>664</v>
      </c>
      <c r="D85" s="754" t="s">
        <v>665</v>
      </c>
      <c r="E85" s="831">
        <v>0.5</v>
      </c>
      <c r="F85" s="818">
        <v>80</v>
      </c>
    </row>
    <row r="86" spans="1:6" s="814" customFormat="1" ht="36">
      <c r="A86" s="818">
        <v>26</v>
      </c>
      <c r="B86" s="3398"/>
      <c r="C86" s="754" t="s">
        <v>666</v>
      </c>
      <c r="D86" s="754" t="s">
        <v>667</v>
      </c>
      <c r="E86" s="831">
        <v>0.2</v>
      </c>
      <c r="F86" s="818">
        <v>30</v>
      </c>
    </row>
    <row r="87" spans="1:6" s="814" customFormat="1" ht="36">
      <c r="A87" s="818">
        <v>27</v>
      </c>
      <c r="B87" s="3398"/>
      <c r="C87" s="754" t="s">
        <v>668</v>
      </c>
      <c r="D87" s="754" t="s">
        <v>669</v>
      </c>
      <c r="E87" s="831">
        <v>0.2</v>
      </c>
      <c r="F87" s="818">
        <v>30</v>
      </c>
    </row>
    <row r="88" spans="1:6" s="814" customFormat="1" ht="36">
      <c r="A88" s="818">
        <v>28</v>
      </c>
      <c r="B88" s="3398"/>
      <c r="C88" s="754" t="s">
        <v>670</v>
      </c>
      <c r="D88" s="754" t="s">
        <v>671</v>
      </c>
      <c r="E88" s="831">
        <v>0.2</v>
      </c>
      <c r="F88" s="818">
        <v>30</v>
      </c>
    </row>
    <row r="89" spans="1:6" s="814" customFormat="1" ht="24">
      <c r="A89" s="818">
        <v>29</v>
      </c>
      <c r="B89" s="3398"/>
      <c r="C89" s="754" t="s">
        <v>672</v>
      </c>
      <c r="D89" s="754" t="s">
        <v>673</v>
      </c>
      <c r="E89" s="831">
        <v>0.2</v>
      </c>
      <c r="F89" s="818">
        <v>30</v>
      </c>
    </row>
    <row r="90" spans="1:6" s="814" customFormat="1" ht="24">
      <c r="A90" s="818">
        <v>30</v>
      </c>
      <c r="B90" s="3398"/>
      <c r="C90" s="754" t="s">
        <v>674</v>
      </c>
      <c r="D90" s="754" t="s">
        <v>675</v>
      </c>
      <c r="E90" s="831">
        <v>0.2</v>
      </c>
      <c r="F90" s="818">
        <v>30</v>
      </c>
    </row>
    <row r="91" spans="1:6" s="814" customFormat="1" ht="36">
      <c r="A91" s="818">
        <v>31</v>
      </c>
      <c r="B91" s="3398"/>
      <c r="C91" s="754" t="s">
        <v>676</v>
      </c>
      <c r="D91" s="754" t="s">
        <v>677</v>
      </c>
      <c r="E91" s="831">
        <v>0.2</v>
      </c>
      <c r="F91" s="818">
        <v>30</v>
      </c>
    </row>
    <row r="92" spans="1:6" s="814" customFormat="1" ht="24">
      <c r="A92" s="818">
        <v>32</v>
      </c>
      <c r="B92" s="3398" t="s">
        <v>678</v>
      </c>
      <c r="C92" s="818" t="s">
        <v>679</v>
      </c>
      <c r="D92" s="754" t="s">
        <v>680</v>
      </c>
      <c r="E92" s="831">
        <v>0.2</v>
      </c>
      <c r="F92" s="818">
        <v>30</v>
      </c>
    </row>
    <row r="93" spans="1:6" s="814" customFormat="1" ht="36">
      <c r="A93" s="818">
        <v>33</v>
      </c>
      <c r="B93" s="3398"/>
      <c r="C93" s="818" t="s">
        <v>681</v>
      </c>
      <c r="D93" s="754" t="s">
        <v>682</v>
      </c>
      <c r="E93" s="831">
        <v>0.2</v>
      </c>
      <c r="F93" s="818">
        <v>30</v>
      </c>
    </row>
    <row r="94" spans="1:6" s="814" customFormat="1" ht="48">
      <c r="A94" s="818">
        <v>34</v>
      </c>
      <c r="B94" s="3398"/>
      <c r="C94" s="818" t="s">
        <v>683</v>
      </c>
      <c r="D94" s="754" t="s">
        <v>684</v>
      </c>
      <c r="E94" s="831">
        <v>0.2</v>
      </c>
      <c r="F94" s="818">
        <v>30</v>
      </c>
    </row>
    <row r="95" spans="1:6" s="814" customFormat="1" ht="36">
      <c r="A95" s="818">
        <v>35</v>
      </c>
      <c r="B95" s="3398"/>
      <c r="C95" s="818" t="s">
        <v>685</v>
      </c>
      <c r="D95" s="754" t="s">
        <v>686</v>
      </c>
      <c r="E95" s="831">
        <v>0.2</v>
      </c>
      <c r="F95" s="818">
        <v>30</v>
      </c>
    </row>
    <row r="96" spans="1:6" s="814" customFormat="1" ht="48">
      <c r="A96" s="818">
        <v>36</v>
      </c>
      <c r="B96" s="3398"/>
      <c r="C96" s="754" t="s">
        <v>687</v>
      </c>
      <c r="D96" s="754" t="s">
        <v>688</v>
      </c>
      <c r="E96" s="831">
        <v>0.2</v>
      </c>
      <c r="F96" s="818">
        <v>30</v>
      </c>
    </row>
    <row r="97" spans="1:6" s="814" customFormat="1" ht="36">
      <c r="A97" s="818">
        <v>37</v>
      </c>
      <c r="B97" s="3398"/>
      <c r="C97" s="818" t="s">
        <v>689</v>
      </c>
      <c r="D97" s="754" t="s">
        <v>690</v>
      </c>
      <c r="E97" s="831">
        <v>0.2</v>
      </c>
      <c r="F97" s="818">
        <v>30</v>
      </c>
    </row>
    <row r="98" spans="1:6" s="814" customFormat="1" ht="36">
      <c r="A98" s="818">
        <v>38</v>
      </c>
      <c r="B98" s="3398"/>
      <c r="C98" s="818" t="s">
        <v>691</v>
      </c>
      <c r="D98" s="754" t="s">
        <v>692</v>
      </c>
      <c r="E98" s="831">
        <v>0.2</v>
      </c>
      <c r="F98" s="818">
        <v>30</v>
      </c>
    </row>
    <row r="99" spans="1:6" s="814" customFormat="1" ht="36">
      <c r="A99" s="818">
        <v>39</v>
      </c>
      <c r="B99" s="3398" t="s">
        <v>693</v>
      </c>
      <c r="C99" s="818" t="s">
        <v>694</v>
      </c>
      <c r="D99" s="754" t="s">
        <v>695</v>
      </c>
      <c r="E99" s="831">
        <v>0.3</v>
      </c>
      <c r="F99" s="818">
        <v>50</v>
      </c>
    </row>
    <row r="100" spans="1:6" s="814" customFormat="1" ht="24">
      <c r="A100" s="818">
        <v>40</v>
      </c>
      <c r="B100" s="3398"/>
      <c r="C100" s="818" t="s">
        <v>696</v>
      </c>
      <c r="D100" s="754" t="s">
        <v>697</v>
      </c>
      <c r="E100" s="831">
        <v>0.2</v>
      </c>
      <c r="F100" s="818">
        <v>30</v>
      </c>
    </row>
    <row r="101" spans="1:6" s="814" customFormat="1" ht="36">
      <c r="A101" s="818">
        <v>41</v>
      </c>
      <c r="B101" s="3398"/>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8" t="s">
        <v>708</v>
      </c>
      <c r="C105" s="818" t="s">
        <v>709</v>
      </c>
      <c r="D105" s="754" t="s">
        <v>710</v>
      </c>
      <c r="E105" s="831">
        <v>0.2</v>
      </c>
      <c r="F105" s="818">
        <v>30</v>
      </c>
    </row>
    <row r="106" spans="1:6" s="814" customFormat="1" ht="36">
      <c r="A106" s="818">
        <v>46</v>
      </c>
      <c r="B106" s="3398"/>
      <c r="C106" s="818" t="s">
        <v>711</v>
      </c>
      <c r="D106" s="754" t="s">
        <v>712</v>
      </c>
      <c r="E106" s="831">
        <v>0.2</v>
      </c>
      <c r="F106" s="818">
        <v>30</v>
      </c>
    </row>
    <row r="107" spans="1:6" s="814" customFormat="1" ht="36">
      <c r="A107" s="818">
        <v>47</v>
      </c>
      <c r="B107" s="3398" t="s">
        <v>713</v>
      </c>
      <c r="C107" s="818" t="s">
        <v>714</v>
      </c>
      <c r="D107" s="754" t="s">
        <v>715</v>
      </c>
      <c r="E107" s="831">
        <v>0.3</v>
      </c>
      <c r="F107" s="818">
        <v>50</v>
      </c>
    </row>
    <row r="108" spans="1:6" s="814" customFormat="1" ht="36">
      <c r="A108" s="818">
        <v>48</v>
      </c>
      <c r="B108" s="3398"/>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8" t="s">
        <v>724</v>
      </c>
      <c r="C111" s="818" t="s">
        <v>725</v>
      </c>
      <c r="D111" s="754" t="s">
        <v>726</v>
      </c>
      <c r="E111" s="831">
        <v>0.2</v>
      </c>
      <c r="F111" s="818">
        <v>30</v>
      </c>
    </row>
    <row r="112" spans="1:6" s="814" customFormat="1" ht="24">
      <c r="A112" s="818">
        <v>52</v>
      </c>
      <c r="B112" s="3398"/>
      <c r="C112" s="818" t="s">
        <v>727</v>
      </c>
      <c r="D112" s="754" t="s">
        <v>728</v>
      </c>
      <c r="E112" s="831">
        <v>0.2</v>
      </c>
      <c r="F112" s="818">
        <v>30</v>
      </c>
    </row>
    <row r="113" spans="1:6" s="814" customFormat="1" ht="24">
      <c r="A113" s="818">
        <v>53</v>
      </c>
      <c r="B113" s="3398"/>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8" t="s">
        <v>737</v>
      </c>
      <c r="C116" s="818" t="s">
        <v>738</v>
      </c>
      <c r="D116" s="754" t="s">
        <v>739</v>
      </c>
      <c r="E116" s="831">
        <v>0.2</v>
      </c>
      <c r="F116" s="818">
        <v>30</v>
      </c>
    </row>
    <row r="117" spans="1:6" ht="36">
      <c r="A117" s="818">
        <v>57</v>
      </c>
      <c r="B117" s="3398"/>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49" t="s">
        <v>2813</v>
      </c>
      <c r="B1" s="2359"/>
      <c r="C1" s="2359"/>
      <c r="D1" s="2359"/>
      <c r="E1" s="2359"/>
      <c r="F1" s="3015"/>
      <c r="G1" s="3015"/>
      <c r="H1" s="3015"/>
      <c r="I1" s="3015"/>
      <c r="J1" s="3015"/>
      <c r="K1" s="3015"/>
      <c r="L1" s="3015"/>
      <c r="M1" s="3015"/>
      <c r="N1" s="3015"/>
      <c r="O1" s="3015"/>
      <c r="P1" s="3015"/>
    </row>
    <row r="2" spans="1:16" ht="15.75">
      <c r="A2" s="2357" t="s">
        <v>2805</v>
      </c>
      <c r="B2" s="2819" t="e">
        <f ca="1">SUMIF(B6:B13,"&lt;&gt;#ref!",B6:B13)</f>
        <v>#DIV/0!</v>
      </c>
      <c r="C2" s="2357" t="s">
        <v>2806</v>
      </c>
      <c r="D2" s="2357" t="s">
        <v>2807</v>
      </c>
      <c r="E2" s="2829">
        <f ca="1">SUMIF(E6:E13,"&lt;&gt;#ref!",E6:E13)</f>
        <v>96983.22</v>
      </c>
      <c r="F2" s="3015"/>
      <c r="G2" s="3015"/>
      <c r="H2" s="3015"/>
      <c r="I2" s="3015"/>
      <c r="J2" s="3015"/>
      <c r="K2" s="3015"/>
      <c r="L2" s="3015"/>
      <c r="M2" s="3015"/>
      <c r="N2" s="3015"/>
      <c r="O2" s="3015"/>
      <c r="P2" s="3015"/>
    </row>
    <row r="3" spans="1:16" ht="15.75">
      <c r="A3" s="2357" t="s">
        <v>2808</v>
      </c>
      <c r="B3" s="2819" t="e">
        <f ca="1">ROUND(B2*10000/E2,0)</f>
        <v>#DIV/0!</v>
      </c>
      <c r="C3" s="2357" t="s">
        <v>2814</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2809</v>
      </c>
      <c r="B5" s="2827" t="s">
        <v>2810</v>
      </c>
      <c r="C5" s="2358"/>
      <c r="D5" s="3015"/>
      <c r="E5" s="2828" t="s">
        <v>2811</v>
      </c>
      <c r="F5" s="3015"/>
      <c r="G5" s="3015"/>
      <c r="H5" s="3015"/>
      <c r="I5" s="3015"/>
      <c r="J5" s="3015"/>
      <c r="K5" s="3015"/>
      <c r="L5" s="3015"/>
      <c r="M5" s="3015"/>
      <c r="N5" s="3015"/>
      <c r="O5" s="3015"/>
      <c r="P5" s="3015"/>
    </row>
    <row r="6" spans="1:16" ht="15.75">
      <c r="A6" s="2826" t="s">
        <v>2812</v>
      </c>
      <c r="B6" s="2819" t="e">
        <f ca="1">SUMIF(INDIRECT("'"&amp;A6&amp;"'"&amp;"!A:A"),"总价",INDIRECT("'"&amp;A6&amp;"'"&amp;"!B:B"))</f>
        <v>#DIV/0!</v>
      </c>
      <c r="C6" s="2357" t="s">
        <v>2806</v>
      </c>
      <c r="D6" s="3015"/>
      <c r="E6" s="2829">
        <f ca="1">SUMIF(INDIRECT("'"&amp;A6&amp;"'"&amp;"!C:C"),"建筑面积",INDIRECT("'"&amp;A6&amp;"'"&amp;"!D:D"))</f>
        <v>96983.22</v>
      </c>
      <c r="F6" s="3015"/>
      <c r="G6" s="3015"/>
      <c r="H6" s="3015"/>
      <c r="I6" s="3015"/>
      <c r="J6" s="3015"/>
      <c r="K6" s="3015"/>
      <c r="L6" s="3015"/>
      <c r="M6" s="3015"/>
      <c r="N6" s="3015"/>
      <c r="O6" s="3015"/>
      <c r="P6" s="3015"/>
    </row>
    <row r="7" spans="1:16" ht="15.75">
      <c r="A7" s="2826"/>
      <c r="B7" s="2819" t="e">
        <f ca="1">SUMIF(INDIRECT("'"&amp;A7&amp;"'"&amp;"!A:A"),"总价",INDIRECT("'"&amp;A7&amp;"'"&amp;"!B:B"))</f>
        <v>#REF!</v>
      </c>
      <c r="C7" s="2357" t="s">
        <v>2806</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7" t="s">
        <v>2806</v>
      </c>
      <c r="D8" s="3015"/>
      <c r="E8" s="2829" t="e">
        <f t="shared" ca="1" si="0"/>
        <v>#REF!</v>
      </c>
      <c r="F8" s="3015"/>
      <c r="G8" s="3015"/>
      <c r="H8" s="3015"/>
      <c r="I8" s="3015"/>
      <c r="J8" s="3015"/>
      <c r="K8" s="3015"/>
      <c r="L8" s="3015"/>
      <c r="M8" s="3015"/>
      <c r="N8" s="3015"/>
      <c r="O8" s="3015"/>
      <c r="P8" s="3015"/>
    </row>
    <row r="9" spans="1:16" ht="15.75">
      <c r="A9" s="2826"/>
      <c r="B9" s="2819" t="e">
        <f t="shared" ca="1" si="1"/>
        <v>#REF!</v>
      </c>
      <c r="C9" s="2357" t="s">
        <v>2806</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7" t="s">
        <v>2806</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7" t="s">
        <v>2806</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7" t="s">
        <v>2806</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7" t="s">
        <v>2806</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04" t="s">
        <v>1117</v>
      </c>
      <c r="C1" s="3404"/>
      <c r="D1" s="3404"/>
      <c r="E1" s="3404"/>
      <c r="F1" s="3404"/>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2846</v>
      </c>
      <c r="B3" s="2391"/>
      <c r="C3" s="2391"/>
      <c r="D3" s="2392"/>
      <c r="E3" s="2392"/>
      <c r="F3" s="2391"/>
      <c r="G3" s="2393"/>
      <c r="H3" s="2394"/>
      <c r="I3" s="2395">
        <f>ROUND(AVERAGE($I4:$I33),2)</f>
        <v>1.68</v>
      </c>
      <c r="J3" s="2395">
        <f>ROUND(AVERAGE($J4:$J33),2)</f>
        <v>1.1000000000000001</v>
      </c>
      <c r="K3" s="2395">
        <f>ROUND(AVERAGE($K4:$K33),2)</f>
        <v>1.85</v>
      </c>
      <c r="L3" s="2395">
        <f>ROUND(AVERAGE($L4:$L33),2)</f>
        <v>1.19</v>
      </c>
      <c r="N3" s="2393"/>
      <c r="S3" s="2393"/>
      <c r="W3" s="2397"/>
      <c r="X3" s="2398">
        <f>ROUND(SUMPRODUCT(PRODUCT(1+N3:N$32)),4)</f>
        <v>1.571</v>
      </c>
      <c r="Y3" s="2398">
        <f>ROUND(SUMPRODUCT(PRODUCT(1+O3:O$32)),4)</f>
        <v>1.3420000000000001</v>
      </c>
      <c r="Z3" s="2398">
        <f t="shared" ref="Z3:Z30" si="0">Y3</f>
        <v>1.3420000000000001</v>
      </c>
      <c r="AA3" s="2398">
        <f>ROUND(SUMPRODUCT(PRODUCT(1+P3:P$32)),4)</f>
        <v>1.6415999999999999</v>
      </c>
      <c r="AB3" s="2398">
        <f>ROUND(SUMPRODUCT(PRODUCT(1+Q3:Q$32)),4)</f>
        <v>1.389</v>
      </c>
      <c r="AD3" s="2399">
        <f>ROUND(AVERAGE(I3:I$33)/100,4)</f>
        <v>1.6799999999999999E-2</v>
      </c>
      <c r="AE3" s="2399">
        <f>ROUND(AVERAGE(J3:J$33)/100,4)</f>
        <v>1.0999999999999999E-2</v>
      </c>
      <c r="AF3" s="2399">
        <f t="shared" ref="AF3:AF31" si="1">AE3</f>
        <v>1.0999999999999999E-2</v>
      </c>
      <c r="AG3" s="2399">
        <f>ROUND(AVERAGE(K3:K$33)/100,4)</f>
        <v>1.8499999999999999E-2</v>
      </c>
      <c r="AH3" s="2399">
        <f>ROUND(AVERAGE(L3:L$33)/100,4)</f>
        <v>1.1900000000000001E-2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3041</v>
      </c>
      <c r="B5" s="2409">
        <f t="shared" ref="B5" si="2">B6*(1+N5)</f>
        <v>483.1434279321756</v>
      </c>
      <c r="C5" s="2409">
        <f t="shared" ref="C5" si="3">C6*(1+O5)</f>
        <v>345.93622669144776</v>
      </c>
      <c r="D5" s="2409">
        <f t="shared" ref="D5" si="4">C5</f>
        <v>345.93622669144776</v>
      </c>
      <c r="E5" s="2409">
        <f t="shared" ref="E5" si="5">E6*(1+P5)</f>
        <v>694.24498562544113</v>
      </c>
      <c r="F5" s="2409">
        <f t="shared" ref="F5" si="6">F6*(1+Q5)</f>
        <v>319.35475932716082</v>
      </c>
      <c r="G5" s="3034">
        <v>2021</v>
      </c>
      <c r="H5" s="2411">
        <v>1</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2847</v>
      </c>
      <c r="X5" s="2417">
        <f>ROUND(IF(项目基本情况!B5="出让",SUMPRODUCT(PRODUCT(1+N5:N$33)),SUMPRODUCT(PRODUCT(1+N5:N$32))),4)</f>
        <v>1.571</v>
      </c>
      <c r="Y5" s="2417">
        <f>ROUND(IF(项目基本情况!B5="出让",SUMPRODUCT(PRODUCT(1+O5:O$33)),SUMPRODUCT(PRODUCT(1+O5:O$32))),4)</f>
        <v>1.3420000000000001</v>
      </c>
      <c r="Z5" s="2417">
        <f t="shared" ref="Z5" si="11">Y5</f>
        <v>1.3420000000000001</v>
      </c>
      <c r="AA5" s="2417">
        <f>ROUND(IF(项目基本情况!B5="出让",SUMPRODUCT(PRODUCT(1+P5:P$33)),SUMPRODUCT(PRODUCT(1+P5:P$32))),4)</f>
        <v>1.6415999999999999</v>
      </c>
      <c r="AB5" s="2417">
        <f>ROUND(IF(项目基本情况!B5="出让",SUMPRODUCT(PRODUCT(1+Q5:Q$33)),SUMPRODUCT(PRODUCT(1+Q5:Q$32))),4)</f>
        <v>1.389</v>
      </c>
      <c r="AD5" s="2418">
        <f>ROUND(AVERAGE(I5:I$33)/100,4)</f>
        <v>1.6799999999999999E-2</v>
      </c>
      <c r="AE5" s="2418">
        <f>ROUND(AVERAGE(J5:J$33)/100,4)</f>
        <v>1.0999999999999999E-2</v>
      </c>
      <c r="AF5" s="2418">
        <f t="shared" ref="AF5" si="12">AE5</f>
        <v>1.0999999999999999E-2</v>
      </c>
      <c r="AG5" s="2418">
        <f>ROUND(AVERAGE(K5:K$33)/100,4)</f>
        <v>1.8499999999999999E-2</v>
      </c>
      <c r="AH5" s="2418">
        <f>ROUND(AVERAGE(L5:L$33)/100,4)</f>
        <v>1.1900000000000001E-2</v>
      </c>
    </row>
    <row r="6" spans="1:34" s="2426" customFormat="1">
      <c r="A6" s="2419" t="s">
        <v>3042</v>
      </c>
      <c r="B6" s="2420">
        <f t="shared" ref="B6" si="13">B7*(1+N6)</f>
        <v>483.1434279321756</v>
      </c>
      <c r="C6" s="2420">
        <f t="shared" ref="C6" si="14">C7*(1+O6)</f>
        <v>345.93622669144776</v>
      </c>
      <c r="D6" s="2420">
        <f t="shared" ref="D6" si="15">C6</f>
        <v>345.93622669144776</v>
      </c>
      <c r="E6" s="2420">
        <f t="shared" ref="E6" si="16">E7*(1+P6)</f>
        <v>694.24498562544113</v>
      </c>
      <c r="F6" s="2420">
        <f t="shared" ref="F6" si="17">F7*(1+Q6)</f>
        <v>319.35475932716082</v>
      </c>
      <c r="G6" s="3034">
        <v>2020</v>
      </c>
      <c r="H6" s="2421">
        <v>4</v>
      </c>
      <c r="I6" s="2383">
        <v>0</v>
      </c>
      <c r="J6" s="2383">
        <v>0</v>
      </c>
      <c r="K6" s="2383">
        <v>0</v>
      </c>
      <c r="L6" s="2384">
        <v>0</v>
      </c>
      <c r="M6" s="2406"/>
      <c r="N6" s="2422">
        <f t="shared" ref="N6" si="18">I6/100</f>
        <v>0</v>
      </c>
      <c r="O6" s="2407">
        <f t="shared" ref="O6" si="19">J6/100</f>
        <v>0</v>
      </c>
      <c r="P6" s="2407">
        <f t="shared" ref="P6" si="20">K6/100</f>
        <v>0</v>
      </c>
      <c r="Q6" s="2407">
        <f t="shared" ref="Q6" si="21">L6/100</f>
        <v>0</v>
      </c>
      <c r="R6" s="2423"/>
      <c r="S6" s="2422"/>
      <c r="T6" s="2407"/>
      <c r="U6" s="2407"/>
      <c r="V6" s="2407"/>
      <c r="W6" s="2424"/>
      <c r="X6" s="2424">
        <f>ROUND(IF(项目基本情况!B6="出让",SUMPRODUCT(PRODUCT(1+N6:N$33)),SUMPRODUCT(PRODUCT(1+N6:N$32))),4)</f>
        <v>1.571</v>
      </c>
      <c r="Y6" s="2424">
        <f>ROUND(IF(项目基本情况!B6="出让",SUMPRODUCT(PRODUCT(1+O6:O$33)),SUMPRODUCT(PRODUCT(1+O6:O$32))),4)</f>
        <v>1.3420000000000001</v>
      </c>
      <c r="Z6" s="2424">
        <f t="shared" ref="Z6" si="22">Y6</f>
        <v>1.3420000000000001</v>
      </c>
      <c r="AA6" s="2424">
        <f>ROUND(IF(项目基本情况!B6="出让",SUMPRODUCT(PRODUCT(1+P6:P$33)),SUMPRODUCT(PRODUCT(1+P6:P$32))),4)</f>
        <v>1.6415999999999999</v>
      </c>
      <c r="AB6" s="2424">
        <f>ROUND(IF(项目基本情况!B6="出让",SUMPRODUCT(PRODUCT(1+Q6:Q$33)),SUMPRODUCT(PRODUCT(1+Q6:Q$32))),4)</f>
        <v>1.389</v>
      </c>
      <c r="AC6" s="2424"/>
      <c r="AD6" s="2425">
        <f>ROUND(AVERAGE(I6:I$33)/100,4)</f>
        <v>1.7399999999999999E-2</v>
      </c>
      <c r="AE6" s="2425">
        <f>ROUND(AVERAGE(J6:J$33)/100,4)</f>
        <v>1.14E-2</v>
      </c>
      <c r="AF6" s="2425">
        <f t="shared" ref="AF6" si="23">AE6</f>
        <v>1.14E-2</v>
      </c>
      <c r="AG6" s="2425">
        <f>ROUND(AVERAGE(K6:K$33)/100,4)</f>
        <v>1.9199999999999998E-2</v>
      </c>
      <c r="AH6" s="2425">
        <f>ROUND(AVERAGE(L6:L$33)/100,4)</f>
        <v>1.23E-2</v>
      </c>
    </row>
    <row r="7" spans="1:34" s="2426" customFormat="1">
      <c r="A7" s="2419" t="s">
        <v>3040</v>
      </c>
      <c r="B7" s="2420">
        <f t="shared" ref="B7" si="24">B8*(1+N7)</f>
        <v>483.1434279321756</v>
      </c>
      <c r="C7" s="2420">
        <f t="shared" ref="C7" si="25">C8*(1+O7)</f>
        <v>345.93622669144776</v>
      </c>
      <c r="D7" s="2420">
        <f t="shared" ref="D7" si="26">C7</f>
        <v>345.93622669144776</v>
      </c>
      <c r="E7" s="2420">
        <f t="shared" ref="E7" si="27">E8*(1+P7)</f>
        <v>694.24498562544113</v>
      </c>
      <c r="F7" s="2420">
        <f t="shared" ref="F7" si="28">F8*(1+Q7)</f>
        <v>319.35475932716082</v>
      </c>
      <c r="G7" s="3031">
        <v>2020</v>
      </c>
      <c r="H7" s="2421">
        <v>3</v>
      </c>
      <c r="I7" s="2383">
        <v>0.36</v>
      </c>
      <c r="J7" s="2383">
        <v>-0.39</v>
      </c>
      <c r="K7" s="2383">
        <v>0.49</v>
      </c>
      <c r="L7" s="2384">
        <v>7.0000000000000007E-2</v>
      </c>
      <c r="M7" s="2406"/>
      <c r="N7" s="2422">
        <f t="shared" ref="N7" si="29">I7/100</f>
        <v>3.5999999999999999E-3</v>
      </c>
      <c r="O7" s="2407">
        <f t="shared" ref="O7" si="30">J7/100</f>
        <v>-3.9000000000000003E-3</v>
      </c>
      <c r="P7" s="2407">
        <f t="shared" ref="P7" si="31">K7/100</f>
        <v>4.8999999999999998E-3</v>
      </c>
      <c r="Q7" s="2407">
        <f t="shared" ref="Q7" si="32">L7/100</f>
        <v>7.000000000000001E-4</v>
      </c>
      <c r="R7" s="2423"/>
      <c r="S7" s="2422"/>
      <c r="T7" s="2407"/>
      <c r="U7" s="2407"/>
      <c r="V7" s="2407"/>
      <c r="W7" s="2424"/>
      <c r="X7" s="2424">
        <f>ROUND(IF(项目基本情况!B7="出让",SUMPRODUCT(PRODUCT(1+N7:N$33)),SUMPRODUCT(PRODUCT(1+N7:N$32))),4)</f>
        <v>1.571</v>
      </c>
      <c r="Y7" s="2424">
        <f>ROUND(IF(项目基本情况!B7="出让",SUMPRODUCT(PRODUCT(1+O7:O$33)),SUMPRODUCT(PRODUCT(1+O7:O$32))),4)</f>
        <v>1.3420000000000001</v>
      </c>
      <c r="Z7" s="2424">
        <f t="shared" ref="Z7" si="33">Y7</f>
        <v>1.3420000000000001</v>
      </c>
      <c r="AA7" s="2424">
        <f>ROUND(IF(项目基本情况!B7="出让",SUMPRODUCT(PRODUCT(1+P7:P$33)),SUMPRODUCT(PRODUCT(1+P7:P$32))),4)</f>
        <v>1.6415999999999999</v>
      </c>
      <c r="AB7" s="2424">
        <f>ROUND(IF(项目基本情况!B7="出让",SUMPRODUCT(PRODUCT(1+Q7:Q$33)),SUMPRODUCT(PRODUCT(1+Q7:Q$32))),4)</f>
        <v>1.389</v>
      </c>
      <c r="AC7" s="2424"/>
      <c r="AD7" s="2425">
        <f>ROUND(AVERAGE(I7:I$33)/100,4)</f>
        <v>1.8100000000000002E-2</v>
      </c>
      <c r="AE7" s="2425">
        <f>ROUND(AVERAGE(J7:J$33)/100,4)</f>
        <v>1.1900000000000001E-2</v>
      </c>
      <c r="AF7" s="2425">
        <f t="shared" ref="AF7" si="34">AE7</f>
        <v>1.1900000000000001E-2</v>
      </c>
      <c r="AG7" s="2425">
        <f>ROUND(AVERAGE(K7:K$33)/100,4)</f>
        <v>1.9900000000000001E-2</v>
      </c>
      <c r="AH7" s="2425">
        <f>ROUND(AVERAGE(L7:L$33)/100,4)</f>
        <v>1.2800000000000001E-2</v>
      </c>
    </row>
    <row r="8" spans="1:34" s="2426" customFormat="1">
      <c r="A8" s="2419" t="s">
        <v>2863</v>
      </c>
      <c r="B8" s="2420">
        <f t="shared" ref="B8" si="35">B9*(1+N8)</f>
        <v>481.4103506697644</v>
      </c>
      <c r="C8" s="2420">
        <f t="shared" ref="C8" si="36">C9*(1+O8)</f>
        <v>347.29066026648707</v>
      </c>
      <c r="D8" s="2420">
        <f t="shared" ref="D8" si="37">C8</f>
        <v>347.29066026648707</v>
      </c>
      <c r="E8" s="2420">
        <f t="shared" ref="E8" si="38">E9*(1+P8)</f>
        <v>690.85977273901995</v>
      </c>
      <c r="F8" s="2420">
        <f t="shared" ref="F8" si="39">F9*(1+Q8)</f>
        <v>319.13136737000184</v>
      </c>
      <c r="G8" s="2410">
        <v>2020</v>
      </c>
      <c r="H8" s="2421">
        <v>2</v>
      </c>
      <c r="I8" s="2383">
        <v>0.31</v>
      </c>
      <c r="J8" s="2383">
        <v>-0.78</v>
      </c>
      <c r="K8" s="2383">
        <v>0.5</v>
      </c>
      <c r="L8" s="2384">
        <v>0.47</v>
      </c>
      <c r="M8" s="2406"/>
      <c r="N8" s="2422">
        <f t="shared" ref="N8" si="40">I8/100</f>
        <v>3.0999999999999999E-3</v>
      </c>
      <c r="O8" s="2407">
        <f t="shared" ref="O8" si="41">J8/100</f>
        <v>-7.8000000000000005E-3</v>
      </c>
      <c r="P8" s="2407">
        <f t="shared" ref="P8" si="42">K8/100</f>
        <v>5.0000000000000001E-3</v>
      </c>
      <c r="Q8" s="2407">
        <f t="shared" ref="Q8" si="43">L8/100</f>
        <v>4.6999999999999993E-3</v>
      </c>
      <c r="R8" s="2423"/>
      <c r="S8" s="2422"/>
      <c r="T8" s="2407"/>
      <c r="U8" s="2407"/>
      <c r="V8" s="2407"/>
      <c r="W8" s="2424"/>
      <c r="X8" s="2424">
        <f>ROUND(IF(项目基本情况!B8="出让",SUMPRODUCT(PRODUCT(1+N8:N$33)),SUMPRODUCT(PRODUCT(1+N8:N$32))),4)</f>
        <v>1.5652999999999999</v>
      </c>
      <c r="Y8" s="2424">
        <f>ROUND(IF(项目基本情况!B8="出让",SUMPRODUCT(PRODUCT(1+O8:O$33)),SUMPRODUCT(PRODUCT(1+O8:O$32))),4)</f>
        <v>1.3472</v>
      </c>
      <c r="Z8" s="2424">
        <f t="shared" ref="Z8" si="44">Y8</f>
        <v>1.3472</v>
      </c>
      <c r="AA8" s="2424">
        <f>ROUND(IF(项目基本情况!B8="出让",SUMPRODUCT(PRODUCT(1+P8:P$33)),SUMPRODUCT(PRODUCT(1+P8:P$32))),4)</f>
        <v>1.6335999999999999</v>
      </c>
      <c r="AB8" s="2424">
        <f>ROUND(IF(项目基本情况!B8="出让",SUMPRODUCT(PRODUCT(1+Q8:Q$33)),SUMPRODUCT(PRODUCT(1+Q8:Q$32))),4)</f>
        <v>1.3880999999999999</v>
      </c>
      <c r="AC8" s="2424"/>
      <c r="AD8" s="2425">
        <f>ROUND(AVERAGE(I8:I$33)/100,4)</f>
        <v>1.8599999999999998E-2</v>
      </c>
      <c r="AE8" s="2425">
        <f>ROUND(AVERAGE(J8:J$33)/100,4)</f>
        <v>1.2500000000000001E-2</v>
      </c>
      <c r="AF8" s="2425">
        <f t="shared" ref="AF8" si="45">AE8</f>
        <v>1.2500000000000001E-2</v>
      </c>
      <c r="AG8" s="2425">
        <f>ROUND(AVERAGE(K8:K$33)/100,4)</f>
        <v>2.0400000000000001E-2</v>
      </c>
      <c r="AH8" s="2425">
        <f>ROUND(AVERAGE(L8:L$33)/100,4)</f>
        <v>1.32E-2</v>
      </c>
    </row>
    <row r="9" spans="1:34" s="2426" customFormat="1">
      <c r="A9" s="2419" t="s">
        <v>2861</v>
      </c>
      <c r="B9" s="2420">
        <f t="shared" ref="B9" si="46">B10*(1+N9)</f>
        <v>479.92259063878413</v>
      </c>
      <c r="C9" s="2420">
        <f t="shared" ref="C9" si="47">C10*(1+O9)</f>
        <v>350.02082268341775</v>
      </c>
      <c r="D9" s="2420">
        <f t="shared" ref="D9" si="48">C9</f>
        <v>350.02082268341775</v>
      </c>
      <c r="E9" s="2420">
        <f t="shared" ref="E9" si="49">E10*(1+P9)</f>
        <v>687.42265944181099</v>
      </c>
      <c r="F9" s="2420">
        <f t="shared" ref="F9" si="50">F10*(1+Q9)</f>
        <v>317.63846657708956</v>
      </c>
      <c r="G9" s="2410">
        <v>2020</v>
      </c>
      <c r="H9" s="2421">
        <v>1</v>
      </c>
      <c r="I9" s="2383">
        <v>0.12</v>
      </c>
      <c r="J9" s="2383">
        <v>-0.4</v>
      </c>
      <c r="K9" s="2383">
        <v>0.21</v>
      </c>
      <c r="L9" s="2384">
        <v>0.27</v>
      </c>
      <c r="M9" s="2406"/>
      <c r="N9" s="2422">
        <f t="shared" ref="N9" si="51">I9/100</f>
        <v>1.1999999999999999E-3</v>
      </c>
      <c r="O9" s="2407">
        <f t="shared" ref="O9" si="52">J9/100</f>
        <v>-4.0000000000000001E-3</v>
      </c>
      <c r="P9" s="2407">
        <f t="shared" ref="P9" si="53">K9/100</f>
        <v>2.0999999999999999E-3</v>
      </c>
      <c r="Q9" s="2407">
        <f t="shared" ref="Q9" si="54">L9/100</f>
        <v>2.7000000000000001E-3</v>
      </c>
      <c r="R9" s="2423"/>
      <c r="S9" s="2422">
        <f>B9/B10-1</f>
        <v>1.2000000000000899E-3</v>
      </c>
      <c r="T9" s="2407">
        <f t="shared" ref="T9" si="55">C9/C10-1</f>
        <v>-4.0000000000000036E-3</v>
      </c>
      <c r="U9" s="2407">
        <f t="shared" ref="U9" si="56">D9/D10-1</f>
        <v>-4.0000000000000036E-3</v>
      </c>
      <c r="V9" s="2407">
        <f t="shared" ref="V9" si="57">E9/E10-1</f>
        <v>2.0999999999999908E-3</v>
      </c>
      <c r="W9" s="2424"/>
      <c r="X9" s="2424">
        <f>ROUND(IF(项目基本情况!B8="出让",SUMPRODUCT(PRODUCT(1+N9:N$33)),SUMPRODUCT(PRODUCT(1+N9:N$32))),4)</f>
        <v>1.5605</v>
      </c>
      <c r="Y9" s="2424">
        <f>ROUND(IF(项目基本情况!B8="出让",SUMPRODUCT(PRODUCT(1+O9:O$33)),SUMPRODUCT(PRODUCT(1+O9:O$32))),4)</f>
        <v>1.3577999999999999</v>
      </c>
      <c r="Z9" s="2424">
        <f t="shared" ref="Z9" si="58">Y9</f>
        <v>1.3577999999999999</v>
      </c>
      <c r="AA9" s="2424">
        <f>ROUND(IF(项目基本情况!B8="出让",SUMPRODUCT(PRODUCT(1+P9:P$33)),SUMPRODUCT(PRODUCT(1+P9:P$32))),4)</f>
        <v>1.6254999999999999</v>
      </c>
      <c r="AB9" s="2424">
        <f>ROUND(IF(项目基本情况!B8="出让",SUMPRODUCT(PRODUCT(1+Q9:Q$33)),SUMPRODUCT(PRODUCT(1+Q9:Q$32))),4)</f>
        <v>1.3815999999999999</v>
      </c>
      <c r="AC9" s="2424"/>
      <c r="AD9" s="2425">
        <f>ROUND(AVERAGE(I9:I$33)/100,4)</f>
        <v>1.9199999999999998E-2</v>
      </c>
      <c r="AE9" s="2425">
        <f>ROUND(AVERAGE(J9:J$33)/100,4)</f>
        <v>1.3299999999999999E-2</v>
      </c>
      <c r="AF9" s="2425">
        <f t="shared" ref="AF9" si="59">AE9</f>
        <v>1.3299999999999999E-2</v>
      </c>
      <c r="AG9" s="2425">
        <f>ROUND(AVERAGE(K9:K$33)/100,4)</f>
        <v>2.1100000000000001E-2</v>
      </c>
      <c r="AH9" s="2425">
        <f>ROUND(AVERAGE(L9:L$33)/100,4)</f>
        <v>1.3599999999999999E-2</v>
      </c>
    </row>
    <row r="10" spans="1:34" s="2426" customFormat="1">
      <c r="A10" s="2419" t="s">
        <v>2860</v>
      </c>
      <c r="B10" s="2420">
        <f t="shared" ref="B10" si="60">B11*(1+N10)</f>
        <v>479.34737379023579</v>
      </c>
      <c r="C10" s="2420">
        <f t="shared" ref="C10" si="61">C11*(1+O10)</f>
        <v>351.4265287986122</v>
      </c>
      <c r="D10" s="2420">
        <f t="shared" ref="D10" si="62">C10</f>
        <v>351.4265287986122</v>
      </c>
      <c r="E10" s="2420">
        <f t="shared" ref="E10" si="63">E11*(1+P10)</f>
        <v>685.98209703803116</v>
      </c>
      <c r="F10" s="2420">
        <f t="shared" ref="F10" si="64">F11*(1+Q10)</f>
        <v>316.78315206651001</v>
      </c>
      <c r="G10" s="2410">
        <v>2019</v>
      </c>
      <c r="H10" s="2421">
        <v>4</v>
      </c>
      <c r="I10" s="2421">
        <v>0.45</v>
      </c>
      <c r="J10" s="2421">
        <v>-0.12</v>
      </c>
      <c r="K10" s="2421">
        <v>0.54</v>
      </c>
      <c r="L10" s="2427">
        <v>0.48</v>
      </c>
      <c r="M10" s="2406"/>
      <c r="N10" s="2422">
        <f t="shared" ref="N10:N15" si="65">I10/100</f>
        <v>4.5000000000000005E-3</v>
      </c>
      <c r="O10" s="2407">
        <f t="shared" ref="O10" si="66">J10/100</f>
        <v>-1.1999999999999999E-3</v>
      </c>
      <c r="P10" s="2407">
        <f t="shared" ref="P10" si="67">K10/100</f>
        <v>5.4000000000000003E-3</v>
      </c>
      <c r="Q10" s="2407">
        <f t="shared" ref="Q10" si="68">L10/100</f>
        <v>4.7999999999999996E-3</v>
      </c>
      <c r="R10" s="2423"/>
      <c r="S10" s="2422"/>
      <c r="T10" s="2407"/>
      <c r="U10" s="2407"/>
      <c r="V10" s="2407"/>
      <c r="W10" s="2424"/>
      <c r="X10" s="2424">
        <f>ROUND(IF(项目基本情况!B8="出让",SUMPRODUCT(PRODUCT(1+N10:N$33)),SUMPRODUCT(PRODUCT(1+N10:N$32))),4)</f>
        <v>1.5586</v>
      </c>
      <c r="Y10" s="2424">
        <f>ROUND(IF(项目基本情况!B8="出让",SUMPRODUCT(PRODUCT(1+O10:O$33)),SUMPRODUCT(PRODUCT(1+O10:O$32))),4)</f>
        <v>1.3633</v>
      </c>
      <c r="Z10" s="2424">
        <f t="shared" ref="Z10" si="69">Y10</f>
        <v>1.3633</v>
      </c>
      <c r="AA10" s="2424">
        <f>ROUND(IF(项目基本情况!B8="出让",SUMPRODUCT(PRODUCT(1+P10:P$33)),SUMPRODUCT(PRODUCT(1+P10:P$32))),4)</f>
        <v>1.6221000000000001</v>
      </c>
      <c r="AB10" s="2424">
        <f>ROUND(IF(项目基本情况!B8="出让",SUMPRODUCT(PRODUCT(1+Q10:Q$33)),SUMPRODUCT(PRODUCT(1+Q10:Q$32))),4)</f>
        <v>1.3777999999999999</v>
      </c>
      <c r="AC10" s="2424"/>
      <c r="AD10" s="2425">
        <f>ROUND(AVERAGE(I10:I$33)/100,4)</f>
        <v>0.02</v>
      </c>
      <c r="AE10" s="2425">
        <f>ROUND(AVERAGE(J10:J$33)/100,4)</f>
        <v>1.4E-2</v>
      </c>
      <c r="AF10" s="2425">
        <f t="shared" ref="AF10" si="70">AE10</f>
        <v>1.4E-2</v>
      </c>
      <c r="AG10" s="2425">
        <f>ROUND(AVERAGE(K10:K$33)/100,4)</f>
        <v>2.1899999999999999E-2</v>
      </c>
      <c r="AH10" s="2425">
        <f>ROUND(AVERAGE(L10:L$33)/100,4)</f>
        <v>1.4E-2</v>
      </c>
    </row>
    <row r="11" spans="1:34" s="2426" customFormat="1" ht="13.5" thickBot="1">
      <c r="A11" s="2419" t="s">
        <v>2859</v>
      </c>
      <c r="B11" s="2420">
        <f t="shared" ref="B11" si="71">B12*(1+N11)</f>
        <v>477.19997390765138</v>
      </c>
      <c r="C11" s="2420">
        <f t="shared" ref="C11" si="72">C12*(1+O11)</f>
        <v>351.84874729536665</v>
      </c>
      <c r="D11" s="2420">
        <f t="shared" ref="D11" si="73">C11</f>
        <v>351.84874729536665</v>
      </c>
      <c r="E11" s="2420">
        <f t="shared" ref="E11" si="74">E12*(1+P11)</f>
        <v>682.29768951465201</v>
      </c>
      <c r="F11" s="2420">
        <f t="shared" ref="F11" si="75">F12*(1+Q11)</f>
        <v>315.26985675409043</v>
      </c>
      <c r="G11" s="2410">
        <v>2019</v>
      </c>
      <c r="H11" s="2421">
        <v>3</v>
      </c>
      <c r="I11" s="2421">
        <v>0.61</v>
      </c>
      <c r="J11" s="2421">
        <v>0.67</v>
      </c>
      <c r="K11" s="2421">
        <v>0.6</v>
      </c>
      <c r="L11" s="2427">
        <v>1.03</v>
      </c>
      <c r="M11" s="2406"/>
      <c r="N11" s="2422">
        <f t="shared" si="65"/>
        <v>6.0999999999999995E-3</v>
      </c>
      <c r="O11" s="2407">
        <f t="shared" ref="O11" si="76">J11/100</f>
        <v>6.7000000000000002E-3</v>
      </c>
      <c r="P11" s="2407">
        <f t="shared" ref="P11" si="77">K11/100</f>
        <v>6.0000000000000001E-3</v>
      </c>
      <c r="Q11" s="2407">
        <f t="shared" ref="Q11" si="78">L11/100</f>
        <v>1.03E-2</v>
      </c>
      <c r="R11" s="2423"/>
      <c r="S11" s="2422"/>
      <c r="T11" s="2407"/>
      <c r="U11" s="2407"/>
      <c r="V11" s="2407"/>
      <c r="W11" s="2424"/>
      <c r="X11" s="2424">
        <f>ROUND(IF(项目基本情况!B8="出让",SUMPRODUCT(PRODUCT(1+N11:N$33)),SUMPRODUCT(PRODUCT(1+N11:N$32))),4)</f>
        <v>1.5516000000000001</v>
      </c>
      <c r="Y11" s="2424">
        <f>ROUND(IF(项目基本情况!B8="出让",SUMPRODUCT(PRODUCT(1+O11:O$33)),SUMPRODUCT(PRODUCT(1+O11:O$32))),4)</f>
        <v>1.3649</v>
      </c>
      <c r="Z11" s="2424">
        <f t="shared" ref="Z11" si="79">Y11</f>
        <v>1.3649</v>
      </c>
      <c r="AA11" s="2424">
        <f>ROUND(IF(项目基本情况!B8="出让",SUMPRODUCT(PRODUCT(1+P11:P$33)),SUMPRODUCT(PRODUCT(1+P11:P$32))),4)</f>
        <v>1.6133999999999999</v>
      </c>
      <c r="AB11" s="2424">
        <f>ROUND(IF(项目基本情况!B8="出让",SUMPRODUCT(PRODUCT(1+Q11:Q$33)),SUMPRODUCT(PRODUCT(1+Q11:Q$32))),4)</f>
        <v>1.3713</v>
      </c>
      <c r="AC11" s="2424"/>
      <c r="AD11" s="2425">
        <f>ROUND(AVERAGE(I11:I$33)/100,4)</f>
        <v>2.07E-2</v>
      </c>
      <c r="AE11" s="2425">
        <f>ROUND(AVERAGE(J11:J$33)/100,4)</f>
        <v>1.47E-2</v>
      </c>
      <c r="AF11" s="2425">
        <f t="shared" ref="AF11" si="80">AE11</f>
        <v>1.47E-2</v>
      </c>
      <c r="AG11" s="2425">
        <f>ROUND(AVERAGE(K11:K$33)/100,4)</f>
        <v>2.2599999999999999E-2</v>
      </c>
      <c r="AH11" s="2425">
        <f>ROUND(AVERAGE(L11:L$33)/100,4)</f>
        <v>1.44E-2</v>
      </c>
    </row>
    <row r="12" spans="1:34" s="2426" customFormat="1">
      <c r="A12" s="2419" t="s">
        <v>2857</v>
      </c>
      <c r="B12" s="2420">
        <f t="shared" ref="B12" si="81">B13*(1+N12)</f>
        <v>474.30670301923408</v>
      </c>
      <c r="C12" s="2420">
        <f t="shared" ref="C12" si="82">C13*(1+O12)</f>
        <v>349.50705005996491</v>
      </c>
      <c r="D12" s="2420">
        <f t="shared" ref="D12" si="83">C12</f>
        <v>349.50705005996491</v>
      </c>
      <c r="E12" s="2420">
        <f t="shared" ref="E12" si="84">E13*(1+P12)</f>
        <v>678.22831959706957</v>
      </c>
      <c r="F12" s="2420">
        <f t="shared" ref="F12" si="85">F13*(1+Q12)</f>
        <v>312.0556832169558</v>
      </c>
      <c r="G12" s="2410">
        <v>2019</v>
      </c>
      <c r="H12" s="2428">
        <v>2</v>
      </c>
      <c r="I12" s="2428">
        <v>1.53</v>
      </c>
      <c r="J12" s="2428">
        <v>1.01</v>
      </c>
      <c r="K12" s="2428">
        <v>1.62</v>
      </c>
      <c r="L12" s="2429">
        <v>1.25</v>
      </c>
      <c r="M12" s="2406"/>
      <c r="N12" s="2422">
        <f t="shared" si="65"/>
        <v>1.5300000000000001E-2</v>
      </c>
      <c r="O12" s="2407">
        <f t="shared" ref="O12" si="86">J12/100</f>
        <v>1.01E-2</v>
      </c>
      <c r="P12" s="2407">
        <f t="shared" ref="P12" si="87">K12/100</f>
        <v>1.6200000000000003E-2</v>
      </c>
      <c r="Q12" s="2407">
        <f t="shared" ref="Q12" si="88">L12/100</f>
        <v>1.2500000000000001E-2</v>
      </c>
      <c r="R12" s="2423"/>
      <c r="S12" s="2422"/>
      <c r="T12" s="2407"/>
      <c r="U12" s="2407"/>
      <c r="V12" s="2407"/>
      <c r="W12" s="2424"/>
      <c r="X12" s="2424">
        <f>ROUND(IF(项目基本情况!B8="出让",SUMPRODUCT(PRODUCT(1+N12:N$33)),SUMPRODUCT(PRODUCT(1+N12:N$32))),4)</f>
        <v>1.5422</v>
      </c>
      <c r="Y12" s="2424">
        <f>ROUND(IF(项目基本情况!B8="出让",SUMPRODUCT(PRODUCT(1+O12:O$33)),SUMPRODUCT(PRODUCT(1+O12:O$32))),4)</f>
        <v>1.3557999999999999</v>
      </c>
      <c r="Z12" s="2424">
        <f t="shared" ref="Z12" si="89">Y12</f>
        <v>1.3557999999999999</v>
      </c>
      <c r="AA12" s="2424">
        <f>ROUND(IF(项目基本情况!B8="出让",SUMPRODUCT(PRODUCT(1+P12:P$33)),SUMPRODUCT(PRODUCT(1+P12:P$32))),4)</f>
        <v>1.6036999999999999</v>
      </c>
      <c r="AB12" s="2424">
        <f>ROUND(IF(项目基本情况!B8="出让",SUMPRODUCT(PRODUCT(1+Q12:Q$33)),SUMPRODUCT(PRODUCT(1+Q12:Q$32))),4)</f>
        <v>1.3573</v>
      </c>
      <c r="AC12" s="2424"/>
      <c r="AD12" s="2425">
        <f>ROUND(AVERAGE(I12:I$33)/100,4)</f>
        <v>2.1299999999999999E-2</v>
      </c>
      <c r="AE12" s="2425">
        <f>ROUND(AVERAGE(J12:J$33)/100,4)</f>
        <v>1.4999999999999999E-2</v>
      </c>
      <c r="AF12" s="2425">
        <f t="shared" ref="AF12" si="90">AE12</f>
        <v>1.4999999999999999E-2</v>
      </c>
      <c r="AG12" s="2425">
        <f>ROUND(AVERAGE(K12:K$33)/100,4)</f>
        <v>2.3300000000000001E-2</v>
      </c>
      <c r="AH12" s="2425">
        <f>ROUND(AVERAGE(L12:L$33)/100,4)</f>
        <v>1.46E-2</v>
      </c>
    </row>
    <row r="13" spans="1:34" s="2426" customFormat="1" ht="13.5" thickBot="1">
      <c r="A13" s="2419" t="s">
        <v>2855</v>
      </c>
      <c r="B13" s="2420">
        <f t="shared" ref="B13" si="91">B14*(1+N13)</f>
        <v>467.15916775261894</v>
      </c>
      <c r="C13" s="2420">
        <f t="shared" ref="C13" si="92">C14*(1+O13)</f>
        <v>346.01232557169084</v>
      </c>
      <c r="D13" s="2420">
        <f t="shared" ref="D13" si="93">C13</f>
        <v>346.01232557169084</v>
      </c>
      <c r="E13" s="2420">
        <f t="shared" ref="E13" si="94">E14*(1+P13)</f>
        <v>667.41617752122568</v>
      </c>
      <c r="F13" s="2420">
        <f t="shared" ref="F13" si="95">F14*(1+Q13)</f>
        <v>308.20314391798104</v>
      </c>
      <c r="G13" s="2410">
        <v>2019</v>
      </c>
      <c r="H13" s="2421">
        <v>1</v>
      </c>
      <c r="I13" s="2421">
        <v>0.6</v>
      </c>
      <c r="J13" s="2421">
        <v>0.37</v>
      </c>
      <c r="K13" s="2421">
        <v>0.63</v>
      </c>
      <c r="L13" s="2427">
        <v>1.1299999999999999</v>
      </c>
      <c r="M13" s="2406"/>
      <c r="N13" s="2422">
        <f t="shared" si="65"/>
        <v>6.0000000000000001E-3</v>
      </c>
      <c r="O13" s="2407">
        <f t="shared" ref="O13" si="96">J13/100</f>
        <v>3.7000000000000002E-3</v>
      </c>
      <c r="P13" s="2407">
        <f t="shared" ref="P13" si="97">K13/100</f>
        <v>6.3E-3</v>
      </c>
      <c r="Q13" s="2407">
        <f t="shared" ref="Q13" si="98">L13/100</f>
        <v>1.1299999999999999E-2</v>
      </c>
      <c r="R13" s="2423"/>
      <c r="S13" s="2422">
        <f>B13/B14-1</f>
        <v>6.0000000000000053E-3</v>
      </c>
      <c r="T13" s="2407">
        <f t="shared" ref="T13" si="99">C13/C14-1</f>
        <v>3.7000000000000366E-3</v>
      </c>
      <c r="U13" s="2407">
        <f t="shared" ref="U13" si="100">D13/D14-1</f>
        <v>3.7000000000000366E-3</v>
      </c>
      <c r="V13" s="2407">
        <f t="shared" ref="V13" si="101">E13/E14-1</f>
        <v>6.2999999999999723E-3</v>
      </c>
      <c r="W13" s="2424"/>
      <c r="X13" s="2424">
        <f>ROUND(IF(项目基本情况!B8="出让",SUMPRODUCT(PRODUCT(1+N13:N$33)),SUMPRODUCT(PRODUCT(1+N13:N$32))),4)</f>
        <v>1.5189999999999999</v>
      </c>
      <c r="Y13" s="2424">
        <f>ROUND(IF(项目基本情况!B8="出让",SUMPRODUCT(PRODUCT(1+O13:O$33)),SUMPRODUCT(PRODUCT(1+O13:O$32))),4)</f>
        <v>1.3423</v>
      </c>
      <c r="Z13" s="2424">
        <f t="shared" ref="Z13" si="102">Y13</f>
        <v>1.3423</v>
      </c>
      <c r="AA13" s="2424">
        <f>ROUND(IF(项目基本情况!B8="出让",SUMPRODUCT(PRODUCT(1+P13:P$33)),SUMPRODUCT(PRODUCT(1+P13:P$32))),4)</f>
        <v>1.5782</v>
      </c>
      <c r="AB13" s="2424">
        <f>ROUND(IF(项目基本情况!B8="出让",SUMPRODUCT(PRODUCT(1+Q13:Q$33)),SUMPRODUCT(PRODUCT(1+Q13:Q$32))),4)</f>
        <v>1.3405</v>
      </c>
      <c r="AC13" s="2424"/>
      <c r="AD13" s="2425">
        <f>ROUND(AVERAGE(I13:I$33)/100,4)</f>
        <v>2.1600000000000001E-2</v>
      </c>
      <c r="AE13" s="2425">
        <f>ROUND(AVERAGE(J13:J$33)/100,4)</f>
        <v>1.5299999999999999E-2</v>
      </c>
      <c r="AF13" s="2425">
        <f t="shared" ref="AF13" si="103">AE13</f>
        <v>1.5299999999999999E-2</v>
      </c>
      <c r="AG13" s="2425">
        <f>ROUND(AVERAGE(K13:K$33)/100,4)</f>
        <v>2.3699999999999999E-2</v>
      </c>
      <c r="AH13" s="2425">
        <f>ROUND(AVERAGE(L13:L$33)/100,4)</f>
        <v>1.47E-2</v>
      </c>
    </row>
    <row r="14" spans="1:34" s="2426" customFormat="1">
      <c r="A14" s="2419" t="s">
        <v>2858</v>
      </c>
      <c r="B14" s="2430">
        <f t="shared" ref="B14" si="104">B15*(1+N14)</f>
        <v>464.37293017158942</v>
      </c>
      <c r="C14" s="2430">
        <f t="shared" ref="C14" si="105">C15*(1+O14)</f>
        <v>344.73679941385956</v>
      </c>
      <c r="D14" s="2430">
        <f t="shared" ref="D14" si="106">C14</f>
        <v>344.73679941385956</v>
      </c>
      <c r="E14" s="2430">
        <f t="shared" ref="E14" si="107">E15*(1+P14)</f>
        <v>663.2377795103107</v>
      </c>
      <c r="F14" s="2431">
        <f t="shared" ref="F14" si="108">F15*(1+Q14)</f>
        <v>304.75936311478398</v>
      </c>
      <c r="G14" s="3402">
        <v>2018</v>
      </c>
      <c r="H14" s="2428">
        <v>4</v>
      </c>
      <c r="I14" s="2428">
        <v>0.96</v>
      </c>
      <c r="J14" s="2428">
        <v>1.03</v>
      </c>
      <c r="K14" s="2428">
        <v>0.92</v>
      </c>
      <c r="L14" s="2429">
        <v>1.29</v>
      </c>
      <c r="M14" s="2406"/>
      <c r="N14" s="2422">
        <f t="shared" si="65"/>
        <v>9.5999999999999992E-3</v>
      </c>
      <c r="O14" s="2407">
        <f t="shared" ref="O14" si="109">J14/100</f>
        <v>1.03E-2</v>
      </c>
      <c r="P14" s="2407">
        <f t="shared" ref="P14" si="110">K14/100</f>
        <v>9.1999999999999998E-3</v>
      </c>
      <c r="Q14" s="2407">
        <f t="shared" ref="Q14" si="111">L14/100</f>
        <v>1.29E-2</v>
      </c>
      <c r="R14" s="2423"/>
      <c r="S14" s="2422"/>
      <c r="T14" s="2407"/>
      <c r="U14" s="2407"/>
      <c r="V14" s="2407"/>
      <c r="W14" s="2424"/>
      <c r="X14" s="2424">
        <f>ROUND(SUMPRODUCT(PRODUCT(1+N14:N$32)),4)</f>
        <v>1.5099</v>
      </c>
      <c r="Y14" s="2424">
        <f>ROUND(SUMPRODUCT(PRODUCT(1+O14:O$32)),4)</f>
        <v>1.3372999999999999</v>
      </c>
      <c r="Z14" s="2424">
        <f t="shared" ref="Z14" si="112">Y14</f>
        <v>1.3372999999999999</v>
      </c>
      <c r="AA14" s="2424">
        <f>ROUND(SUMPRODUCT(PRODUCT(1+P14:P$32)),4)</f>
        <v>1.5683</v>
      </c>
      <c r="AB14" s="2424">
        <f>ROUND(SUMPRODUCT(PRODUCT(1+Q14:Q$32)),4)</f>
        <v>1.3255999999999999</v>
      </c>
      <c r="AC14" s="2424"/>
      <c r="AD14" s="2425">
        <f>ROUND(AVERAGE(I14:I$33)/100,4)</f>
        <v>2.24E-2</v>
      </c>
      <c r="AE14" s="2425">
        <f>ROUND(AVERAGE(J14:J$33)/100,4)</f>
        <v>1.5800000000000002E-2</v>
      </c>
      <c r="AF14" s="2425">
        <f t="shared" ref="AF14" si="113">AE14</f>
        <v>1.5800000000000002E-2</v>
      </c>
      <c r="AG14" s="2425">
        <f>ROUND(AVERAGE(K14:K$33)/100,4)</f>
        <v>2.4500000000000001E-2</v>
      </c>
      <c r="AH14" s="2425">
        <f>ROUND(AVERAGE(L14:L$33)/100,4)</f>
        <v>1.49E-2</v>
      </c>
    </row>
    <row r="15" spans="1:34" s="2426" customFormat="1" ht="14.45" customHeight="1">
      <c r="A15" s="2419" t="s">
        <v>2853</v>
      </c>
      <c r="B15" s="2420">
        <f t="shared" ref="B15" si="114">B16*(1+N15)</f>
        <v>459.95733971036987</v>
      </c>
      <c r="C15" s="2420">
        <f t="shared" ref="C15" si="115">C16*(1+O15)</f>
        <v>341.22221064422405</v>
      </c>
      <c r="D15" s="2420">
        <f t="shared" ref="D15" si="116">C15</f>
        <v>341.22221064422405</v>
      </c>
      <c r="E15" s="2420">
        <f t="shared" ref="E15" si="117">E16*(1+P15)</f>
        <v>657.19161663724799</v>
      </c>
      <c r="F15" s="2420">
        <f t="shared" ref="F15" si="118">F16*(1+Q15)</f>
        <v>300.87803644464805</v>
      </c>
      <c r="G15" s="3402"/>
      <c r="H15" s="2421">
        <v>3</v>
      </c>
      <c r="I15" s="2421">
        <v>1.51</v>
      </c>
      <c r="J15" s="2421">
        <v>1.41</v>
      </c>
      <c r="K15" s="2421">
        <v>1.52</v>
      </c>
      <c r="L15" s="2427">
        <v>1.74</v>
      </c>
      <c r="M15" s="2406"/>
      <c r="N15" s="2422">
        <f t="shared" si="65"/>
        <v>1.5100000000000001E-2</v>
      </c>
      <c r="O15" s="2407">
        <f t="shared" ref="O15" si="119">J15/100</f>
        <v>1.41E-2</v>
      </c>
      <c r="P15" s="2407">
        <f t="shared" ref="P15" si="120">K15/100</f>
        <v>1.52E-2</v>
      </c>
      <c r="Q15" s="2407">
        <f t="shared" ref="Q15" si="121">L15/100</f>
        <v>1.7399999999999999E-2</v>
      </c>
      <c r="R15" s="2423"/>
      <c r="S15" s="2422"/>
      <c r="T15" s="2407"/>
      <c r="U15" s="2407"/>
      <c r="V15" s="2407"/>
      <c r="W15" s="2424"/>
      <c r="X15" s="2424">
        <f>ROUND(SUMPRODUCT(PRODUCT(1+N15:N$32)),4)</f>
        <v>1.4956</v>
      </c>
      <c r="Y15" s="2424">
        <f>ROUND(SUMPRODUCT(PRODUCT(1+O15:O$32)),4)</f>
        <v>1.3237000000000001</v>
      </c>
      <c r="Z15" s="2424">
        <f t="shared" ref="Z15" si="122">Y15</f>
        <v>1.3237000000000001</v>
      </c>
      <c r="AA15" s="2424">
        <f>ROUND(SUMPRODUCT(PRODUCT(1+P15:P$32)),4)</f>
        <v>1.554</v>
      </c>
      <c r="AB15" s="2424">
        <f>ROUND(SUMPRODUCT(PRODUCT(1+Q15:Q$32)),4)</f>
        <v>1.3087</v>
      </c>
      <c r="AC15" s="2424"/>
      <c r="AD15" s="2425">
        <f>ROUND(AVERAGE(I15:I$33)/100,4)</f>
        <v>2.3099999999999999E-2</v>
      </c>
      <c r="AE15" s="2425">
        <f>ROUND(AVERAGE(J15:J$33)/100,4)</f>
        <v>1.61E-2</v>
      </c>
      <c r="AF15" s="2425">
        <f t="shared" ref="AF15" si="123">AE15</f>
        <v>1.61E-2</v>
      </c>
      <c r="AG15" s="2425">
        <f>ROUND(AVERAGE(K15:K$33)/100,4)</f>
        <v>2.53E-2</v>
      </c>
      <c r="AH15" s="2425">
        <f>ROUND(AVERAGE(L15:L$33)/100,4)</f>
        <v>1.4999999999999999E-2</v>
      </c>
    </row>
    <row r="16" spans="1:34" s="2426" customFormat="1" ht="14.45" customHeight="1">
      <c r="A16" s="2419" t="s">
        <v>2852</v>
      </c>
      <c r="B16" s="2420">
        <f t="shared" ref="B16" si="124">B17*(1+N16)</f>
        <v>453.11529869999993</v>
      </c>
      <c r="C16" s="2420">
        <f t="shared" ref="C16" si="125">C17*(1+O16)</f>
        <v>336.47787264000004</v>
      </c>
      <c r="D16" s="2420">
        <f t="shared" ref="D16" si="126">C16</f>
        <v>336.47787264000004</v>
      </c>
      <c r="E16" s="2420">
        <f t="shared" ref="E16" si="127">E17*(1+P16)</f>
        <v>647.35186823999993</v>
      </c>
      <c r="F16" s="2420">
        <f t="shared" ref="F16" si="128">F17*(1+Q16)</f>
        <v>295.73229452000004</v>
      </c>
      <c r="G16" s="3402"/>
      <c r="H16" s="2432">
        <v>2</v>
      </c>
      <c r="I16" s="2432">
        <v>1.49</v>
      </c>
      <c r="J16" s="2432">
        <v>0.96</v>
      </c>
      <c r="K16" s="2432">
        <v>1.58</v>
      </c>
      <c r="L16" s="2433">
        <v>2.44</v>
      </c>
      <c r="M16" s="2406"/>
      <c r="N16" s="2422">
        <f t="shared" ref="N16" si="129">I16/100</f>
        <v>1.49E-2</v>
      </c>
      <c r="O16" s="2407">
        <f t="shared" ref="O16" si="130">J16/100</f>
        <v>9.5999999999999992E-3</v>
      </c>
      <c r="P16" s="2407">
        <f t="shared" ref="P16" si="131">K16/100</f>
        <v>1.5800000000000002E-2</v>
      </c>
      <c r="Q16" s="2407">
        <f t="shared" ref="Q16" si="132">L16/100</f>
        <v>2.4399999999999998E-2</v>
      </c>
      <c r="R16" s="2423"/>
      <c r="S16" s="2422"/>
      <c r="T16" s="2407"/>
      <c r="U16" s="2407"/>
      <c r="V16" s="2407"/>
      <c r="W16" s="2424"/>
      <c r="X16" s="2424">
        <f>ROUND(SUMPRODUCT(PRODUCT(1+N16:N$32)),4)</f>
        <v>1.4733000000000001</v>
      </c>
      <c r="Y16" s="2424">
        <f>ROUND(SUMPRODUCT(PRODUCT(1+O16:O$32)),4)</f>
        <v>1.3052999999999999</v>
      </c>
      <c r="Z16" s="2424">
        <f t="shared" ref="Z16" si="133">Y16</f>
        <v>1.3052999999999999</v>
      </c>
      <c r="AA16" s="2424">
        <f>ROUND(SUMPRODUCT(PRODUCT(1+P16:P$32)),4)</f>
        <v>1.5306999999999999</v>
      </c>
      <c r="AB16" s="2424">
        <f>ROUND(SUMPRODUCT(PRODUCT(1+Q16:Q$32)),4)</f>
        <v>1.2863</v>
      </c>
      <c r="AC16" s="2424"/>
      <c r="AD16" s="2425">
        <f>ROUND(AVERAGE(I16:I$33)/100,4)</f>
        <v>2.35E-2</v>
      </c>
      <c r="AE16" s="2425">
        <f>ROUND(AVERAGE(J16:J$33)/100,4)</f>
        <v>1.6199999999999999E-2</v>
      </c>
      <c r="AF16" s="2425">
        <f t="shared" ref="AF16" si="134">AE16</f>
        <v>1.6199999999999999E-2</v>
      </c>
      <c r="AG16" s="2425">
        <f>ROUND(AVERAGE(K16:K$33)/100,4)</f>
        <v>2.5899999999999999E-2</v>
      </c>
      <c r="AH16" s="2425">
        <f>ROUND(AVERAGE(L16:L$33)/100,4)</f>
        <v>1.49E-2</v>
      </c>
    </row>
    <row r="17" spans="1:34" s="2426" customFormat="1" ht="15" customHeight="1" thickBot="1">
      <c r="A17" s="2419" t="s">
        <v>2845</v>
      </c>
      <c r="B17" s="2420">
        <f t="shared" ref="B17" si="135">B18*(1+N17)</f>
        <v>446.46299999999997</v>
      </c>
      <c r="C17" s="2420">
        <f t="shared" ref="C17" si="136">C18*(1+O17)</f>
        <v>333.27840000000003</v>
      </c>
      <c r="D17" s="2420">
        <f t="shared" ref="D17" si="137">C17</f>
        <v>333.27840000000003</v>
      </c>
      <c r="E17" s="2420">
        <f t="shared" ref="E17" si="138">E18*(1+P17)</f>
        <v>637.28279999999995</v>
      </c>
      <c r="F17" s="2420">
        <f t="shared" ref="F17" si="139">F18*(1+Q17)</f>
        <v>288.68830000000003</v>
      </c>
      <c r="G17" s="3409"/>
      <c r="H17" s="2421">
        <v>1</v>
      </c>
      <c r="I17" s="2421">
        <v>1.7</v>
      </c>
      <c r="J17" s="2421">
        <v>1.92</v>
      </c>
      <c r="K17" s="2421">
        <v>1.64</v>
      </c>
      <c r="L17" s="2427">
        <v>2.0099999999999998</v>
      </c>
      <c r="M17" s="2406"/>
      <c r="N17" s="2422">
        <f t="shared" ref="N17:N22" si="140">I17/100</f>
        <v>1.7000000000000001E-2</v>
      </c>
      <c r="O17" s="2407">
        <f t="shared" ref="O17" si="141">J17/100</f>
        <v>1.9199999999999998E-2</v>
      </c>
      <c r="P17" s="2407">
        <f t="shared" ref="P17" si="142">K17/100</f>
        <v>1.6399999999999998E-2</v>
      </c>
      <c r="Q17" s="2407">
        <f t="shared" ref="Q17" si="143">L17/100</f>
        <v>2.0099999999999996E-2</v>
      </c>
      <c r="R17" s="2423"/>
      <c r="S17" s="2422">
        <f>B17/B18-1</f>
        <v>1.6999999999999904E-2</v>
      </c>
      <c r="T17" s="2407">
        <f t="shared" ref="T17" si="144">C17/C18-1</f>
        <v>1.9200000000000106E-2</v>
      </c>
      <c r="U17" s="2407">
        <f t="shared" ref="U17" si="145">D17/D18-1</f>
        <v>1.9200000000000106E-2</v>
      </c>
      <c r="V17" s="2407">
        <f t="shared" ref="V17" si="146">E17/E18-1</f>
        <v>1.639999999999997E-2</v>
      </c>
      <c r="W17" s="2424"/>
      <c r="X17" s="2424">
        <f>ROUND(SUMPRODUCT(PRODUCT(1+N17:N$32)),4)</f>
        <v>1.4517</v>
      </c>
      <c r="Y17" s="2424">
        <f>ROUND(SUMPRODUCT(PRODUCT(1+O17:O$32)),4)</f>
        <v>1.2928999999999999</v>
      </c>
      <c r="Z17" s="2424">
        <f t="shared" ref="Z17" si="147">Y17</f>
        <v>1.2928999999999999</v>
      </c>
      <c r="AA17" s="2424">
        <f>ROUND(SUMPRODUCT(PRODUCT(1+P17:P$32)),4)</f>
        <v>1.5068999999999999</v>
      </c>
      <c r="AB17" s="2424">
        <f>ROUND(SUMPRODUCT(PRODUCT(1+Q17:Q$32)),4)</f>
        <v>1.2557</v>
      </c>
      <c r="AC17" s="2424"/>
      <c r="AD17" s="2425">
        <f>ROUND(AVERAGE(I17:I$33)/100,4)</f>
        <v>2.4E-2</v>
      </c>
      <c r="AE17" s="2425">
        <f>ROUND(AVERAGE(J17:J$33)/100,4)</f>
        <v>1.66E-2</v>
      </c>
      <c r="AF17" s="2425">
        <f t="shared" ref="AF17" si="148">AE17</f>
        <v>1.66E-2</v>
      </c>
      <c r="AG17" s="2425">
        <f>ROUND(AVERAGE(K17:K$33)/100,4)</f>
        <v>2.6499999999999999E-2</v>
      </c>
      <c r="AH17" s="2425">
        <f>ROUND(AVERAGE(L17:L$33)/100,4)</f>
        <v>1.43E-2</v>
      </c>
    </row>
    <row r="18" spans="1:34">
      <c r="A18" s="2419" t="s">
        <v>2843</v>
      </c>
      <c r="B18" s="2434">
        <v>439</v>
      </c>
      <c r="C18" s="2434">
        <v>327</v>
      </c>
      <c r="D18" s="2434">
        <f>C18</f>
        <v>327</v>
      </c>
      <c r="E18" s="2434">
        <v>627</v>
      </c>
      <c r="F18" s="2435">
        <v>283</v>
      </c>
      <c r="G18" s="3405">
        <v>2017</v>
      </c>
      <c r="H18" s="2428">
        <v>4</v>
      </c>
      <c r="I18" s="2428">
        <v>1.71</v>
      </c>
      <c r="J18" s="2428">
        <v>1.78</v>
      </c>
      <c r="K18" s="2428">
        <v>1.71</v>
      </c>
      <c r="L18" s="2429">
        <v>1.43</v>
      </c>
      <c r="N18" s="2422">
        <f t="shared" si="140"/>
        <v>1.7100000000000001E-2</v>
      </c>
      <c r="O18" s="2407">
        <f t="shared" ref="O18" si="149">J18/100</f>
        <v>1.78E-2</v>
      </c>
      <c r="P18" s="2407">
        <f t="shared" ref="P18" si="150">K18/100</f>
        <v>1.7100000000000001E-2</v>
      </c>
      <c r="Q18" s="2407">
        <f t="shared" ref="Q18" si="151">L18/100</f>
        <v>1.43E-2</v>
      </c>
      <c r="R18" s="2423"/>
      <c r="S18" s="2436"/>
      <c r="T18" s="2437"/>
      <c r="U18" s="2437"/>
      <c r="V18" s="2437"/>
      <c r="X18" s="2406">
        <f>ROUND(SUMPRODUCT(PRODUCT(1+N18:N$32)),4)</f>
        <v>1.4274</v>
      </c>
      <c r="Y18" s="2406">
        <f>ROUND(SUMPRODUCT(PRODUCT(1+O18:O$32)),4)</f>
        <v>1.2685</v>
      </c>
      <c r="Z18" s="2406">
        <f t="shared" si="0"/>
        <v>1.2685</v>
      </c>
      <c r="AA18" s="2406">
        <f>ROUND(SUMPRODUCT(PRODUCT(1+P18:P$32)),4)</f>
        <v>1.4825999999999999</v>
      </c>
      <c r="AB18" s="2406">
        <f>ROUND(SUMPRODUCT(PRODUCT(1+Q18:Q$32)),4)</f>
        <v>1.2309000000000001</v>
      </c>
      <c r="AD18" s="2407">
        <f>ROUND(AVERAGE(I18:I$33)/100,4)</f>
        <v>2.4500000000000001E-2</v>
      </c>
      <c r="AE18" s="2407">
        <f>ROUND(AVERAGE(J18:J$33)/100,4)</f>
        <v>1.6500000000000001E-2</v>
      </c>
      <c r="AF18" s="2407">
        <f t="shared" si="1"/>
        <v>1.6500000000000001E-2</v>
      </c>
      <c r="AG18" s="2407">
        <f>ROUND(AVERAGE(K18:K$33)/100,4)</f>
        <v>2.7099999999999999E-2</v>
      </c>
      <c r="AH18" s="2407">
        <f>ROUND(AVERAGE(L18:L$33)/100,4)</f>
        <v>1.3899999999999999E-2</v>
      </c>
    </row>
    <row r="19" spans="1:34" s="2426" customFormat="1" ht="14.45" customHeight="1">
      <c r="A19" s="2419" t="s">
        <v>2844</v>
      </c>
      <c r="B19" s="2420">
        <f t="shared" ref="B19:B20" si="152">B20*(1+N19)</f>
        <v>431.80730811680002</v>
      </c>
      <c r="C19" s="2420">
        <f t="shared" ref="C19:C20" si="153">C20*(1+O19)</f>
        <v>320.57880516480003</v>
      </c>
      <c r="D19" s="2420">
        <f t="shared" ref="D19:D20" si="154">C19</f>
        <v>320.57880516480003</v>
      </c>
      <c r="E19" s="2420">
        <f t="shared" ref="E19:E20" si="155">E20*(1+P19)</f>
        <v>615.96110553196797</v>
      </c>
      <c r="F19" s="2420">
        <f t="shared" ref="F19:F20" si="156">F20*(1+Q19)</f>
        <v>279.46777300108801</v>
      </c>
      <c r="G19" s="3402"/>
      <c r="H19" s="2421">
        <v>3</v>
      </c>
      <c r="I19" s="2421">
        <v>2.98</v>
      </c>
      <c r="J19" s="2421">
        <v>2.11</v>
      </c>
      <c r="K19" s="2421">
        <v>3.24</v>
      </c>
      <c r="L19" s="2427">
        <v>1.72</v>
      </c>
      <c r="M19" s="2406"/>
      <c r="N19" s="2422">
        <f t="shared" si="140"/>
        <v>2.98E-2</v>
      </c>
      <c r="O19" s="2407">
        <f t="shared" ref="O19" si="157">J19/100</f>
        <v>2.1099999999999997E-2</v>
      </c>
      <c r="P19" s="2407">
        <f t="shared" ref="P19" si="158">K19/100</f>
        <v>3.2400000000000005E-2</v>
      </c>
      <c r="Q19" s="2407">
        <f t="shared" ref="Q19" si="159">L19/100</f>
        <v>1.72E-2</v>
      </c>
      <c r="R19" s="2423"/>
      <c r="S19" s="2422"/>
      <c r="T19" s="2407"/>
      <c r="U19" s="2407"/>
      <c r="V19" s="2407"/>
      <c r="W19" s="2424"/>
      <c r="X19" s="2424">
        <f>ROUND(SUMPRODUCT(PRODUCT(1+N19:N$32)),4)</f>
        <v>1.4034</v>
      </c>
      <c r="Y19" s="2424">
        <f>ROUND(SUMPRODUCT(PRODUCT(1+O19:O$32)),4)</f>
        <v>1.2463</v>
      </c>
      <c r="Z19" s="2424">
        <f t="shared" si="0"/>
        <v>1.2463</v>
      </c>
      <c r="AA19" s="2424">
        <f>ROUND(SUMPRODUCT(PRODUCT(1+P19:P$32)),4)</f>
        <v>1.4577</v>
      </c>
      <c r="AB19" s="2424">
        <f>ROUND(SUMPRODUCT(PRODUCT(1+Q19:Q$32)),4)</f>
        <v>1.2136</v>
      </c>
      <c r="AC19" s="2424"/>
      <c r="AD19" s="2425">
        <f>ROUND(AVERAGE(I19:I$33)/100,4)</f>
        <v>2.4899999999999999E-2</v>
      </c>
      <c r="AE19" s="2425">
        <f>ROUND(AVERAGE(J19:J$33)/100,4)</f>
        <v>1.6400000000000001E-2</v>
      </c>
      <c r="AF19" s="2425">
        <f t="shared" si="1"/>
        <v>1.6400000000000001E-2</v>
      </c>
      <c r="AG19" s="2425">
        <f>ROUND(AVERAGE(K19:K$33)/100,4)</f>
        <v>2.7799999999999998E-2</v>
      </c>
      <c r="AH19" s="2425">
        <f>ROUND(AVERAGE(L19:L$33)/100,4)</f>
        <v>1.3899999999999999E-2</v>
      </c>
    </row>
    <row r="20" spans="1:34" s="2413" customFormat="1" ht="14.45" customHeight="1">
      <c r="A20" s="2419" t="s">
        <v>1351</v>
      </c>
      <c r="B20" s="2420">
        <f t="shared" si="152"/>
        <v>419.31181600000002</v>
      </c>
      <c r="C20" s="2420">
        <f t="shared" si="153"/>
        <v>313.95436800000004</v>
      </c>
      <c r="D20" s="2420">
        <f t="shared" si="154"/>
        <v>313.95436800000004</v>
      </c>
      <c r="E20" s="2420">
        <f t="shared" si="155"/>
        <v>596.63028431999999</v>
      </c>
      <c r="F20" s="2420">
        <f t="shared" si="156"/>
        <v>274.74220703999998</v>
      </c>
      <c r="G20" s="3402"/>
      <c r="H20" s="2432">
        <v>2</v>
      </c>
      <c r="I20" s="2432">
        <v>3.4</v>
      </c>
      <c r="J20" s="2432">
        <v>2</v>
      </c>
      <c r="K20" s="2432">
        <v>3.82</v>
      </c>
      <c r="L20" s="2433">
        <v>1.68</v>
      </c>
      <c r="M20" s="2406"/>
      <c r="N20" s="2422">
        <f t="shared" si="140"/>
        <v>3.4000000000000002E-2</v>
      </c>
      <c r="O20" s="2407">
        <f t="shared" ref="O20" si="160">J20/100</f>
        <v>0.02</v>
      </c>
      <c r="P20" s="2407">
        <f t="shared" ref="P20" si="161">K20/100</f>
        <v>3.8199999999999998E-2</v>
      </c>
      <c r="Q20" s="2407">
        <f t="shared" ref="Q20" si="162">L20/100</f>
        <v>1.6799999999999999E-2</v>
      </c>
      <c r="R20" s="2423"/>
      <c r="S20" s="2436"/>
      <c r="T20" s="2437"/>
      <c r="U20" s="2437"/>
      <c r="V20" s="2437"/>
      <c r="W20" s="2400"/>
      <c r="X20" s="2424">
        <f>ROUND(SUMPRODUCT(PRODUCT(1+N20:N$32)),4)</f>
        <v>1.3628</v>
      </c>
      <c r="Y20" s="2424">
        <f>ROUND(SUMPRODUCT(PRODUCT(1+O20:O$32)),4)</f>
        <v>1.2205999999999999</v>
      </c>
      <c r="Z20" s="2424">
        <f t="shared" si="0"/>
        <v>1.2205999999999999</v>
      </c>
      <c r="AA20" s="2424">
        <f>ROUND(SUMPRODUCT(PRODUCT(1+P20:P$32)),4)</f>
        <v>1.4118999999999999</v>
      </c>
      <c r="AB20" s="2424">
        <f>ROUND(SUMPRODUCT(PRODUCT(1+Q20:Q$32)),4)</f>
        <v>1.1930000000000001</v>
      </c>
      <c r="AC20" s="2400"/>
      <c r="AD20" s="2425">
        <f>ROUND(AVERAGE(I20:I$33)/100,4)</f>
        <v>2.46E-2</v>
      </c>
      <c r="AE20" s="2425">
        <f>ROUND(AVERAGE(J20:J$33)/100,4)</f>
        <v>1.6E-2</v>
      </c>
      <c r="AF20" s="2425">
        <f t="shared" si="1"/>
        <v>1.6E-2</v>
      </c>
      <c r="AG20" s="2425">
        <f>ROUND(AVERAGE(K20:K$33)/100,4)</f>
        <v>2.75E-2</v>
      </c>
      <c r="AH20" s="2425">
        <f>ROUND(AVERAGE(L20:L$33)/100,4)</f>
        <v>1.37E-2</v>
      </c>
    </row>
    <row r="21" spans="1:34" s="2426" customFormat="1" ht="15" customHeight="1" thickBot="1">
      <c r="A21" s="2419" t="s">
        <v>1128</v>
      </c>
      <c r="B21" s="2420">
        <f>B22*(1+N21)</f>
        <v>405.524</v>
      </c>
      <c r="C21" s="2420">
        <f>C22*(1+O21)</f>
        <v>307.79840000000002</v>
      </c>
      <c r="D21" s="2420">
        <f>C21</f>
        <v>307.79840000000002</v>
      </c>
      <c r="E21" s="2420">
        <f>E22*(1+P21)</f>
        <v>574.67759999999998</v>
      </c>
      <c r="F21" s="2420">
        <f>F22*(1+Q21)</f>
        <v>270.20280000000002</v>
      </c>
      <c r="G21" s="3409"/>
      <c r="H21" s="2421">
        <v>1</v>
      </c>
      <c r="I21" s="2421">
        <v>3.45</v>
      </c>
      <c r="J21" s="2421">
        <v>1.92</v>
      </c>
      <c r="K21" s="2421">
        <v>3.92</v>
      </c>
      <c r="L21" s="2427">
        <v>1.58</v>
      </c>
      <c r="M21" s="2406"/>
      <c r="N21" s="2422">
        <f t="shared" si="140"/>
        <v>3.4500000000000003E-2</v>
      </c>
      <c r="O21" s="2407">
        <f t="shared" ref="O21:Q36" si="163">J21/100</f>
        <v>1.9199999999999998E-2</v>
      </c>
      <c r="P21" s="2407">
        <f t="shared" si="163"/>
        <v>3.9199999999999999E-2</v>
      </c>
      <c r="Q21" s="2407">
        <f t="shared" si="163"/>
        <v>1.5800000000000002E-2</v>
      </c>
      <c r="R21" s="2423"/>
      <c r="S21" s="2422">
        <f>B21/B22-1</f>
        <v>3.4499999999999975E-2</v>
      </c>
      <c r="T21" s="2407">
        <f t="shared" ref="T21:V21" si="164">C21/C22-1</f>
        <v>1.9200000000000106E-2</v>
      </c>
      <c r="U21" s="2407">
        <f t="shared" si="164"/>
        <v>1.9200000000000106E-2</v>
      </c>
      <c r="V21" s="2407">
        <f t="shared" si="164"/>
        <v>3.9199999999999902E-2</v>
      </c>
      <c r="W21" s="2424"/>
      <c r="X21" s="2424">
        <f>ROUND(SUMPRODUCT(PRODUCT(1+N21:N$32)),4)</f>
        <v>1.3180000000000001</v>
      </c>
      <c r="Y21" s="2424">
        <f>ROUND(SUMPRODUCT(PRODUCT(1+O21:O$32)),4)</f>
        <v>1.1966000000000001</v>
      </c>
      <c r="Z21" s="2424">
        <f t="shared" si="0"/>
        <v>1.1966000000000001</v>
      </c>
      <c r="AA21" s="2424">
        <f>ROUND(SUMPRODUCT(PRODUCT(1+P21:P$32)),4)</f>
        <v>1.36</v>
      </c>
      <c r="AB21" s="2424">
        <f>ROUND(SUMPRODUCT(PRODUCT(1+Q21:Q$32)),4)</f>
        <v>1.1733</v>
      </c>
      <c r="AC21" s="2424"/>
      <c r="AD21" s="2425">
        <f>ROUND(AVERAGE(I21:I$33)/100,4)</f>
        <v>2.3900000000000001E-2</v>
      </c>
      <c r="AE21" s="2425">
        <f>ROUND(AVERAGE(J21:J$33)/100,4)</f>
        <v>1.5699999999999999E-2</v>
      </c>
      <c r="AF21" s="2425">
        <f t="shared" si="1"/>
        <v>1.5699999999999999E-2</v>
      </c>
      <c r="AG21" s="2425">
        <f>ROUND(AVERAGE(K21:K$33)/100,4)</f>
        <v>2.6599999999999999E-2</v>
      </c>
      <c r="AH21" s="2425">
        <f>ROUND(AVERAGE(L21:L$33)/100,4)</f>
        <v>1.34E-2</v>
      </c>
    </row>
    <row r="22" spans="1:34">
      <c r="A22" s="2419" t="s">
        <v>154</v>
      </c>
      <c r="B22" s="2434">
        <v>392</v>
      </c>
      <c r="C22" s="2434">
        <v>302</v>
      </c>
      <c r="D22" s="2434">
        <f>C22</f>
        <v>302</v>
      </c>
      <c r="E22" s="2434">
        <v>553</v>
      </c>
      <c r="F22" s="2435">
        <v>266</v>
      </c>
      <c r="G22" s="3405">
        <v>2016</v>
      </c>
      <c r="H22" s="2428">
        <v>4</v>
      </c>
      <c r="I22" s="2428">
        <v>4.5599999999999996</v>
      </c>
      <c r="J22" s="2428">
        <v>2.15</v>
      </c>
      <c r="K22" s="2428">
        <v>5.32</v>
      </c>
      <c r="L22" s="2429">
        <v>1.57</v>
      </c>
      <c r="N22" s="2422">
        <f t="shared" si="140"/>
        <v>4.5599999999999995E-2</v>
      </c>
      <c r="O22" s="2407">
        <f t="shared" si="163"/>
        <v>2.1499999999999998E-2</v>
      </c>
      <c r="P22" s="2407">
        <f t="shared" si="163"/>
        <v>5.3200000000000004E-2</v>
      </c>
      <c r="Q22" s="2407">
        <f t="shared" si="163"/>
        <v>1.5700000000000002E-2</v>
      </c>
      <c r="R22" s="2423"/>
      <c r="S22" s="2436"/>
      <c r="T22" s="2437"/>
      <c r="U22" s="2437"/>
      <c r="V22" s="2437"/>
      <c r="X22" s="2406">
        <f>ROUND(SUMPRODUCT(PRODUCT(1+N22:N$32)),4)</f>
        <v>1.274</v>
      </c>
      <c r="Y22" s="2406">
        <f>ROUND(SUMPRODUCT(PRODUCT(1+O22:O$32)),4)</f>
        <v>1.1740999999999999</v>
      </c>
      <c r="Z22" s="2406">
        <f t="shared" si="0"/>
        <v>1.1740999999999999</v>
      </c>
      <c r="AA22" s="2406">
        <f>ROUND(SUMPRODUCT(PRODUCT(1+P22:P$32)),4)</f>
        <v>1.3087</v>
      </c>
      <c r="AB22" s="2406">
        <f>ROUND(SUMPRODUCT(PRODUCT(1+Q22:Q$32)),4)</f>
        <v>1.1551</v>
      </c>
      <c r="AD22" s="2407">
        <f>ROUND(AVERAGE(I22:I$33)/100,4)</f>
        <v>2.3E-2</v>
      </c>
      <c r="AE22" s="2407">
        <f>ROUND(AVERAGE(J22:J$33)/100,4)</f>
        <v>1.55E-2</v>
      </c>
      <c r="AF22" s="2407">
        <f t="shared" si="1"/>
        <v>1.55E-2</v>
      </c>
      <c r="AG22" s="2407">
        <f>ROUND(AVERAGE(K22:K$33)/100,4)</f>
        <v>2.5600000000000001E-2</v>
      </c>
      <c r="AH22" s="2407">
        <f>ROUND(AVERAGE(L22:L$33)/100,4)</f>
        <v>1.32E-2</v>
      </c>
    </row>
    <row r="23" spans="1:34">
      <c r="A23" s="2419" t="s">
        <v>153</v>
      </c>
      <c r="B23" s="2420">
        <f t="shared" ref="B23:C25" si="165">B22/(1+N22)</f>
        <v>374.90436113236416</v>
      </c>
      <c r="C23" s="2420">
        <f t="shared" si="165"/>
        <v>295.64366128242779</v>
      </c>
      <c r="D23" s="2420">
        <f t="shared" ref="D23:D82" si="166">C23</f>
        <v>295.64366128242779</v>
      </c>
      <c r="E23" s="2420">
        <f t="shared" ref="E23:F25" si="167">E22/(1+P22)</f>
        <v>525.06646410938095</v>
      </c>
      <c r="F23" s="2420">
        <f t="shared" si="167"/>
        <v>261.88835286009646</v>
      </c>
      <c r="G23" s="3402"/>
      <c r="H23" s="2421">
        <v>3</v>
      </c>
      <c r="I23" s="2421">
        <v>4.12</v>
      </c>
      <c r="J23" s="2421">
        <v>2</v>
      </c>
      <c r="K23" s="2421">
        <v>4.79</v>
      </c>
      <c r="L23" s="2427">
        <v>1.97</v>
      </c>
      <c r="N23" s="2422">
        <f t="shared" ref="N23:Q57" si="168">I23/100</f>
        <v>4.1200000000000001E-2</v>
      </c>
      <c r="O23" s="2407">
        <f t="shared" si="163"/>
        <v>0.02</v>
      </c>
      <c r="P23" s="2407">
        <f t="shared" si="163"/>
        <v>4.7899999999999998E-2</v>
      </c>
      <c r="Q23" s="2407">
        <f t="shared" si="163"/>
        <v>1.9699999999999999E-2</v>
      </c>
      <c r="R23" s="2423"/>
      <c r="S23" s="2422"/>
      <c r="T23" s="2407"/>
      <c r="U23" s="2407"/>
      <c r="V23" s="2407"/>
      <c r="X23" s="2406">
        <f>ROUND(SUMPRODUCT(PRODUCT(1+N23:N$32)),4)</f>
        <v>1.2184999999999999</v>
      </c>
      <c r="Y23" s="2406">
        <f>ROUND(SUMPRODUCT(PRODUCT(1+O23:O$32)),4)</f>
        <v>1.1494</v>
      </c>
      <c r="Z23" s="2406">
        <f t="shared" si="0"/>
        <v>1.1494</v>
      </c>
      <c r="AA23" s="2406">
        <f>ROUND(SUMPRODUCT(PRODUCT(1+P23:P$32)),4)</f>
        <v>1.2425999999999999</v>
      </c>
      <c r="AB23" s="2406">
        <f>ROUND(SUMPRODUCT(PRODUCT(1+Q23:Q$32)),4)</f>
        <v>1.1372</v>
      </c>
      <c r="AD23" s="2407">
        <f>ROUND(AVERAGE(I23:I$33)/100,4)</f>
        <v>2.0899999999999998E-2</v>
      </c>
      <c r="AE23" s="2407">
        <f>ROUND(AVERAGE(J23:J$33)/100,4)</f>
        <v>1.49E-2</v>
      </c>
      <c r="AF23" s="2407">
        <f t="shared" si="1"/>
        <v>1.49E-2</v>
      </c>
      <c r="AG23" s="2407">
        <f>ROUND(AVERAGE(K23:K$33)/100,4)</f>
        <v>2.3099999999999999E-2</v>
      </c>
      <c r="AH23" s="2407">
        <f>ROUND(AVERAGE(L23:L$33)/100,4)</f>
        <v>1.2999999999999999E-2</v>
      </c>
    </row>
    <row r="24" spans="1:34">
      <c r="A24" s="2419" t="s">
        <v>143</v>
      </c>
      <c r="B24" s="2420">
        <f t="shared" si="165"/>
        <v>360.06949782209392</v>
      </c>
      <c r="C24" s="2420">
        <f t="shared" si="165"/>
        <v>289.84672674747821</v>
      </c>
      <c r="D24" s="2420">
        <f t="shared" si="166"/>
        <v>289.84672674747821</v>
      </c>
      <c r="E24" s="2420">
        <f t="shared" si="167"/>
        <v>501.06543001181495</v>
      </c>
      <c r="F24" s="2420">
        <f t="shared" si="167"/>
        <v>256.82882500744967</v>
      </c>
      <c r="G24" s="3402"/>
      <c r="H24" s="2432">
        <v>2</v>
      </c>
      <c r="I24" s="2432">
        <v>3.85</v>
      </c>
      <c r="J24" s="2432">
        <v>1.95</v>
      </c>
      <c r="K24" s="2432">
        <v>4.4800000000000004</v>
      </c>
      <c r="L24" s="2433">
        <v>1.41</v>
      </c>
      <c r="N24" s="2422">
        <f t="shared" si="168"/>
        <v>3.85E-2</v>
      </c>
      <c r="O24" s="2407">
        <f t="shared" si="163"/>
        <v>1.95E-2</v>
      </c>
      <c r="P24" s="2407">
        <f t="shared" si="163"/>
        <v>4.4800000000000006E-2</v>
      </c>
      <c r="Q24" s="2407">
        <f t="shared" si="163"/>
        <v>1.41E-2</v>
      </c>
      <c r="R24" s="2423"/>
      <c r="S24" s="2422"/>
      <c r="T24" s="2407"/>
      <c r="U24" s="2407"/>
      <c r="V24" s="2407"/>
      <c r="X24" s="2406">
        <f>ROUND(SUMPRODUCT(PRODUCT(1+N24:N$32)),4)</f>
        <v>1.1702999999999999</v>
      </c>
      <c r="Y24" s="2406">
        <f>ROUND(SUMPRODUCT(PRODUCT(1+O24:O$32)),4)</f>
        <v>1.1269</v>
      </c>
      <c r="Z24" s="2406">
        <f t="shared" si="0"/>
        <v>1.1269</v>
      </c>
      <c r="AA24" s="2406">
        <f>ROUND(SUMPRODUCT(PRODUCT(1+P24:P$32)),4)</f>
        <v>1.1858</v>
      </c>
      <c r="AB24" s="2406">
        <f>ROUND(SUMPRODUCT(PRODUCT(1+Q24:Q$32)),4)</f>
        <v>1.1152</v>
      </c>
      <c r="AD24" s="2407">
        <f>ROUND(AVERAGE(I24:I$33)/100,4)</f>
        <v>1.89E-2</v>
      </c>
      <c r="AE24" s="2407">
        <f>ROUND(AVERAGE(J24:J$33)/100,4)</f>
        <v>1.44E-2</v>
      </c>
      <c r="AF24" s="2407">
        <f t="shared" si="1"/>
        <v>1.44E-2</v>
      </c>
      <c r="AG24" s="2407">
        <f>ROUND(AVERAGE(K24:K$33)/100,4)</f>
        <v>2.06E-2</v>
      </c>
      <c r="AH24" s="2407">
        <f>ROUND(AVERAGE(L24:L$33)/100,4)</f>
        <v>1.23E-2</v>
      </c>
    </row>
    <row r="25" spans="1:34" ht="13.5" thickBot="1">
      <c r="A25" s="2419" t="s">
        <v>152</v>
      </c>
      <c r="B25" s="2420">
        <f t="shared" si="165"/>
        <v>346.720748986128</v>
      </c>
      <c r="C25" s="2420">
        <f t="shared" si="165"/>
        <v>284.30282172386285</v>
      </c>
      <c r="D25" s="2420">
        <f t="shared" si="166"/>
        <v>284.30282172386285</v>
      </c>
      <c r="E25" s="2420">
        <f t="shared" si="167"/>
        <v>479.58023546306947</v>
      </c>
      <c r="F25" s="2420">
        <f t="shared" si="167"/>
        <v>253.25788877571213</v>
      </c>
      <c r="G25" s="3403"/>
      <c r="H25" s="2421">
        <v>1</v>
      </c>
      <c r="I25" s="2421">
        <v>4.09</v>
      </c>
      <c r="J25" s="2421">
        <v>2.93</v>
      </c>
      <c r="K25" s="2421">
        <v>4.54</v>
      </c>
      <c r="L25" s="2427">
        <v>1.48</v>
      </c>
      <c r="N25" s="2422">
        <f t="shared" si="168"/>
        <v>4.0899999999999999E-2</v>
      </c>
      <c r="O25" s="2407">
        <f t="shared" si="163"/>
        <v>2.9300000000000003E-2</v>
      </c>
      <c r="P25" s="2407">
        <f t="shared" si="163"/>
        <v>4.5400000000000003E-2</v>
      </c>
      <c r="Q25" s="2407">
        <f t="shared" si="163"/>
        <v>1.4800000000000001E-2</v>
      </c>
      <c r="R25" s="2423"/>
      <c r="S25" s="2438">
        <f>B25/B26-1</f>
        <v>4.1203450408792808E-2</v>
      </c>
      <c r="T25" s="2439">
        <f>C25/C26-1</f>
        <v>2.6363977342465095E-2</v>
      </c>
      <c r="U25" s="2439">
        <f>E25/E26-1</f>
        <v>4.4837114298626357E-2</v>
      </c>
      <c r="V25" s="2439">
        <f>F25/F26-1</f>
        <v>1.7099954922538574E-2</v>
      </c>
      <c r="X25" s="2406">
        <f>ROUND(SUMPRODUCT(PRODUCT(1+N25:N$32)),4)</f>
        <v>1.1269</v>
      </c>
      <c r="Y25" s="2406">
        <f>ROUND(SUMPRODUCT(PRODUCT(1+O25:O$32)),4)</f>
        <v>1.1052999999999999</v>
      </c>
      <c r="Z25" s="2406">
        <f t="shared" si="0"/>
        <v>1.1052999999999999</v>
      </c>
      <c r="AA25" s="2406">
        <f>ROUND(SUMPRODUCT(PRODUCT(1+P25:P$32)),4)</f>
        <v>1.1349</v>
      </c>
      <c r="AB25" s="2406">
        <f>ROUND(SUMPRODUCT(PRODUCT(1+Q25:Q$32)),4)</f>
        <v>1.0996999999999999</v>
      </c>
      <c r="AD25" s="2407">
        <f>ROUND(AVERAGE(I25:I$33)/100,4)</f>
        <v>1.67E-2</v>
      </c>
      <c r="AE25" s="2407">
        <f>ROUND(AVERAGE(J25:J$33)/100,4)</f>
        <v>1.38E-2</v>
      </c>
      <c r="AF25" s="2407">
        <f t="shared" si="1"/>
        <v>1.38E-2</v>
      </c>
      <c r="AG25" s="2407">
        <f>ROUND(AVERAGE(K25:K$33)/100,4)</f>
        <v>1.7899999999999999E-2</v>
      </c>
      <c r="AH25" s="2407">
        <f>ROUND(AVERAGE(L25:L$33)/100,4)</f>
        <v>1.21E-2</v>
      </c>
    </row>
    <row r="26" spans="1:34" ht="13.5" thickBot="1">
      <c r="A26" s="2419" t="s">
        <v>151</v>
      </c>
      <c r="B26" s="2434">
        <v>333</v>
      </c>
      <c r="C26" s="2434">
        <v>277</v>
      </c>
      <c r="D26" s="2434">
        <f t="shared" si="166"/>
        <v>277</v>
      </c>
      <c r="E26" s="2434">
        <v>459</v>
      </c>
      <c r="F26" s="2435">
        <v>249</v>
      </c>
      <c r="G26" s="3401">
        <v>2015</v>
      </c>
      <c r="H26" s="2440">
        <v>4</v>
      </c>
      <c r="I26" s="2440">
        <v>1.63</v>
      </c>
      <c r="J26" s="2440">
        <v>1.1100000000000001</v>
      </c>
      <c r="K26" s="2440">
        <v>1.77</v>
      </c>
      <c r="L26" s="2441">
        <v>1.89</v>
      </c>
      <c r="N26" s="2442">
        <f t="shared" si="168"/>
        <v>1.6299999999999999E-2</v>
      </c>
      <c r="O26" s="2443">
        <f t="shared" si="163"/>
        <v>1.11E-2</v>
      </c>
      <c r="P26" s="2443">
        <f t="shared" si="163"/>
        <v>1.77E-2</v>
      </c>
      <c r="Q26" s="2443">
        <f t="shared" si="163"/>
        <v>1.89E-2</v>
      </c>
      <c r="R26" s="2423"/>
      <c r="X26" s="2406">
        <f>ROUND(SUMPRODUCT(PRODUCT(1+N26:N$32)),4)</f>
        <v>1.0826</v>
      </c>
      <c r="Y26" s="2406">
        <f>ROUND(SUMPRODUCT(PRODUCT(1+O26:O$32)),4)</f>
        <v>1.0738000000000001</v>
      </c>
      <c r="Z26" s="2406">
        <f t="shared" si="0"/>
        <v>1.0738000000000001</v>
      </c>
      <c r="AA26" s="2406">
        <f>ROUND(SUMPRODUCT(PRODUCT(1+P26:P$32)),4)</f>
        <v>1.0855999999999999</v>
      </c>
      <c r="AB26" s="2406">
        <f>ROUND(SUMPRODUCT(PRODUCT(1+Q26:Q$32)),4)</f>
        <v>1.0837000000000001</v>
      </c>
      <c r="AD26" s="2407">
        <f>ROUND(AVERAGE(I26:I$33)/100,4)</f>
        <v>1.37E-2</v>
      </c>
      <c r="AE26" s="2407">
        <f>ROUND(AVERAGE(J26:J$33)/100,4)</f>
        <v>1.1900000000000001E-2</v>
      </c>
      <c r="AF26" s="2407">
        <f t="shared" si="1"/>
        <v>1.1900000000000001E-2</v>
      </c>
      <c r="AG26" s="2407">
        <f>ROUND(AVERAGE(K26:K$33)/100,4)</f>
        <v>1.4500000000000001E-2</v>
      </c>
      <c r="AH26" s="2407">
        <f>ROUND(AVERAGE(L26:L$33)/100,4)</f>
        <v>1.18E-2</v>
      </c>
    </row>
    <row r="27" spans="1:34">
      <c r="A27" s="2419" t="s">
        <v>150</v>
      </c>
      <c r="B27" s="2420">
        <f t="shared" ref="B27:C29" si="169">B26/(1+N26)</f>
        <v>327.65915576109415</v>
      </c>
      <c r="C27" s="2420">
        <f t="shared" si="169"/>
        <v>273.95905449510434</v>
      </c>
      <c r="D27" s="2420">
        <f t="shared" si="166"/>
        <v>273.95905449510434</v>
      </c>
      <c r="E27" s="2420">
        <f t="shared" ref="E27:F29" si="170">E26/(1+P26)</f>
        <v>451.01699911565294</v>
      </c>
      <c r="F27" s="2420">
        <f t="shared" si="170"/>
        <v>244.38119540681129</v>
      </c>
      <c r="G27" s="3402"/>
      <c r="H27" s="2445">
        <v>3</v>
      </c>
      <c r="I27" s="2445">
        <v>1.65</v>
      </c>
      <c r="J27" s="2445">
        <v>0.92</v>
      </c>
      <c r="K27" s="2445">
        <v>1.88</v>
      </c>
      <c r="L27" s="2446">
        <v>1.26</v>
      </c>
      <c r="N27" s="2422">
        <f t="shared" si="168"/>
        <v>1.6500000000000001E-2</v>
      </c>
      <c r="O27" s="2447">
        <f t="shared" si="163"/>
        <v>9.1999999999999998E-3</v>
      </c>
      <c r="P27" s="2447">
        <f t="shared" si="163"/>
        <v>1.8799999999999997E-2</v>
      </c>
      <c r="Q27" s="2447">
        <f t="shared" si="163"/>
        <v>1.26E-2</v>
      </c>
      <c r="R27" s="2423"/>
      <c r="S27" s="2422"/>
      <c r="T27" s="2407"/>
      <c r="U27" s="2407"/>
      <c r="V27" s="2407"/>
      <c r="X27" s="2406">
        <f>ROUND(SUMPRODUCT(PRODUCT(1+N27:N$32)),4)</f>
        <v>1.0651999999999999</v>
      </c>
      <c r="Y27" s="2406">
        <f>ROUND(SUMPRODUCT(PRODUCT(1+O27:O$32)),4)</f>
        <v>1.0621</v>
      </c>
      <c r="Z27" s="2406">
        <f t="shared" si="0"/>
        <v>1.0621</v>
      </c>
      <c r="AA27" s="2406">
        <f>ROUND(SUMPRODUCT(PRODUCT(1+P27:P$32)),4)</f>
        <v>1.0668</v>
      </c>
      <c r="AB27" s="2406">
        <f>ROUND(SUMPRODUCT(PRODUCT(1+Q27:Q$32)),4)</f>
        <v>1.0636000000000001</v>
      </c>
      <c r="AD27" s="2407">
        <f>ROUND(AVERAGE(I27:I$33)/100,4)</f>
        <v>1.3299999999999999E-2</v>
      </c>
      <c r="AE27" s="2407">
        <f>ROUND(AVERAGE(J27:J$33)/100,4)</f>
        <v>1.2E-2</v>
      </c>
      <c r="AF27" s="2407">
        <f t="shared" si="1"/>
        <v>1.2E-2</v>
      </c>
      <c r="AG27" s="2407">
        <f>ROUND(AVERAGE(K27:K$33)/100,4)</f>
        <v>1.4E-2</v>
      </c>
      <c r="AH27" s="2407">
        <f>ROUND(AVERAGE(L27:L$33)/100,4)</f>
        <v>1.0800000000000001E-2</v>
      </c>
    </row>
    <row r="28" spans="1:34">
      <c r="A28" s="2419" t="s">
        <v>149</v>
      </c>
      <c r="B28" s="2420">
        <f t="shared" si="169"/>
        <v>322.34053690220776</v>
      </c>
      <c r="C28" s="2420">
        <f t="shared" si="169"/>
        <v>271.46160770422546</v>
      </c>
      <c r="D28" s="2420">
        <f t="shared" si="166"/>
        <v>271.46160770422546</v>
      </c>
      <c r="E28" s="2420">
        <f t="shared" si="170"/>
        <v>442.69434542172456</v>
      </c>
      <c r="F28" s="2420">
        <f t="shared" si="170"/>
        <v>241.34030753190925</v>
      </c>
      <c r="G28" s="3402"/>
      <c r="H28" s="2432">
        <v>2</v>
      </c>
      <c r="I28" s="2432">
        <v>0.77</v>
      </c>
      <c r="J28" s="2432">
        <v>0.69</v>
      </c>
      <c r="K28" s="2432">
        <v>0.8</v>
      </c>
      <c r="L28" s="2433">
        <v>0.88</v>
      </c>
      <c r="N28" s="2422">
        <f t="shared" si="168"/>
        <v>7.7000000000000002E-3</v>
      </c>
      <c r="O28" s="2447">
        <f t="shared" si="163"/>
        <v>6.8999999999999999E-3</v>
      </c>
      <c r="P28" s="2447">
        <f t="shared" si="163"/>
        <v>8.0000000000000002E-3</v>
      </c>
      <c r="Q28" s="2447">
        <f t="shared" si="163"/>
        <v>8.8000000000000005E-3</v>
      </c>
      <c r="R28" s="2423"/>
      <c r="S28" s="2422"/>
      <c r="T28" s="2407"/>
      <c r="U28" s="2407"/>
      <c r="V28" s="2407"/>
      <c r="X28" s="2406">
        <f>ROUND(SUMPRODUCT(PRODUCT(1+N28:N$32)),4)</f>
        <v>1.048</v>
      </c>
      <c r="Y28" s="2406">
        <f>ROUND(SUMPRODUCT(PRODUCT(1+O28:O$32)),4)</f>
        <v>1.0524</v>
      </c>
      <c r="Z28" s="2406">
        <f t="shared" si="0"/>
        <v>1.0524</v>
      </c>
      <c r="AA28" s="2406">
        <f>ROUND(SUMPRODUCT(PRODUCT(1+P28:P$32)),4)</f>
        <v>1.0470999999999999</v>
      </c>
      <c r="AB28" s="2406">
        <f>ROUND(SUMPRODUCT(PRODUCT(1+Q28:Q$32)),4)</f>
        <v>1.0504</v>
      </c>
      <c r="AD28" s="2407">
        <f>ROUND(AVERAGE(I28:I$33)/100,4)</f>
        <v>1.2800000000000001E-2</v>
      </c>
      <c r="AE28" s="2407">
        <f>ROUND(AVERAGE(J28:J$33)/100,4)</f>
        <v>1.2500000000000001E-2</v>
      </c>
      <c r="AF28" s="2407">
        <f t="shared" si="1"/>
        <v>1.2500000000000001E-2</v>
      </c>
      <c r="AG28" s="2407">
        <f>ROUND(AVERAGE(K28:K$33)/100,4)</f>
        <v>1.32E-2</v>
      </c>
      <c r="AH28" s="2407">
        <f>ROUND(AVERAGE(L28:L$33)/100,4)</f>
        <v>1.0500000000000001E-2</v>
      </c>
    </row>
    <row r="29" spans="1:34">
      <c r="A29" s="2419" t="s">
        <v>148</v>
      </c>
      <c r="B29" s="2420">
        <f t="shared" si="169"/>
        <v>319.87748030386797</v>
      </c>
      <c r="C29" s="2420">
        <f t="shared" si="169"/>
        <v>269.60135833173649</v>
      </c>
      <c r="D29" s="2420">
        <f t="shared" si="166"/>
        <v>269.60135833173649</v>
      </c>
      <c r="E29" s="2420">
        <f t="shared" si="170"/>
        <v>439.18089823583784</v>
      </c>
      <c r="F29" s="2420">
        <f t="shared" si="170"/>
        <v>239.23503918706311</v>
      </c>
      <c r="G29" s="3403"/>
      <c r="H29" s="2421">
        <v>1</v>
      </c>
      <c r="I29" s="2421">
        <v>0.51</v>
      </c>
      <c r="J29" s="2421">
        <v>0.54</v>
      </c>
      <c r="K29" s="2421">
        <v>0.48</v>
      </c>
      <c r="L29" s="2427">
        <v>0.93</v>
      </c>
      <c r="N29" s="2438">
        <f t="shared" si="168"/>
        <v>5.1000000000000004E-3</v>
      </c>
      <c r="O29" s="2439">
        <f t="shared" si="163"/>
        <v>5.4000000000000003E-3</v>
      </c>
      <c r="P29" s="2439">
        <f t="shared" si="163"/>
        <v>4.7999999999999996E-3</v>
      </c>
      <c r="Q29" s="2439">
        <f t="shared" si="163"/>
        <v>9.300000000000001E-3</v>
      </c>
      <c r="R29" s="2423"/>
      <c r="S29" s="2438">
        <f>B29/B30-1</f>
        <v>5.9040261127922822E-3</v>
      </c>
      <c r="T29" s="2439">
        <f>C29/C30-1</f>
        <v>5.9752176557332781E-3</v>
      </c>
      <c r="U29" s="2439">
        <f>E29/E30-1</f>
        <v>4.9906138119859556E-3</v>
      </c>
      <c r="V29" s="2439">
        <f>F29/F30-1</f>
        <v>9.4305450930933787E-3</v>
      </c>
      <c r="X29" s="2406">
        <f>ROUND(SUMPRODUCT(PRODUCT(1+N29:N$32)),4)</f>
        <v>1.0399</v>
      </c>
      <c r="Y29" s="2406">
        <f>ROUND(SUMPRODUCT(PRODUCT(1+O29:O$32)),4)</f>
        <v>1.0451999999999999</v>
      </c>
      <c r="Z29" s="2406">
        <f t="shared" si="0"/>
        <v>1.0451999999999999</v>
      </c>
      <c r="AA29" s="2406">
        <f>ROUND(SUMPRODUCT(PRODUCT(1+P29:P$32)),4)</f>
        <v>1.0387999999999999</v>
      </c>
      <c r="AB29" s="2406">
        <f>ROUND(SUMPRODUCT(PRODUCT(1+Q29:Q$32)),4)</f>
        <v>1.0411999999999999</v>
      </c>
      <c r="AD29" s="2407">
        <f>ROUND(AVERAGE(I29:I$33)/100,4)</f>
        <v>1.38E-2</v>
      </c>
      <c r="AE29" s="2407">
        <f>ROUND(AVERAGE(J29:J$33)/100,4)</f>
        <v>1.3599999999999999E-2</v>
      </c>
      <c r="AF29" s="2407">
        <f t="shared" si="1"/>
        <v>1.3599999999999999E-2</v>
      </c>
      <c r="AG29" s="2407">
        <f>ROUND(AVERAGE(K29:K$33)/100,4)</f>
        <v>1.4200000000000001E-2</v>
      </c>
      <c r="AH29" s="2407">
        <f>ROUND(AVERAGE(L29:L$33)/100,4)</f>
        <v>1.0800000000000001E-2</v>
      </c>
    </row>
    <row r="30" spans="1:34" ht="13.5" thickBot="1">
      <c r="A30" s="2419" t="s">
        <v>147</v>
      </c>
      <c r="B30" s="2448">
        <v>318</v>
      </c>
      <c r="C30" s="2448">
        <v>268</v>
      </c>
      <c r="D30" s="2448">
        <f t="shared" si="166"/>
        <v>268</v>
      </c>
      <c r="E30" s="2448">
        <v>437</v>
      </c>
      <c r="F30" s="2449">
        <v>237</v>
      </c>
      <c r="G30" s="3401">
        <v>2014</v>
      </c>
      <c r="H30" s="2440">
        <v>4</v>
      </c>
      <c r="I30" s="2440">
        <v>0.21</v>
      </c>
      <c r="J30" s="2440">
        <v>0.41</v>
      </c>
      <c r="K30" s="2440">
        <v>0.12</v>
      </c>
      <c r="L30" s="2441">
        <v>0.89</v>
      </c>
      <c r="N30" s="2422">
        <f t="shared" si="168"/>
        <v>2.0999999999999999E-3</v>
      </c>
      <c r="O30" s="2407">
        <f t="shared" si="163"/>
        <v>4.0999999999999995E-3</v>
      </c>
      <c r="P30" s="2407">
        <f t="shared" si="163"/>
        <v>1.1999999999999999E-3</v>
      </c>
      <c r="Q30" s="2407">
        <f t="shared" si="163"/>
        <v>8.8999999999999999E-3</v>
      </c>
      <c r="R30" s="2423"/>
      <c r="S30" s="2436"/>
      <c r="T30" s="2437"/>
      <c r="U30" s="2437"/>
      <c r="V30" s="2437"/>
      <c r="X30" s="2406">
        <f>ROUND(SUMPRODUCT(PRODUCT(1+N30:N$32)),4)</f>
        <v>1.0347</v>
      </c>
      <c r="Y30" s="2406">
        <f>ROUND(SUMPRODUCT(PRODUCT(1+O30:O$32)),4)</f>
        <v>1.0395000000000001</v>
      </c>
      <c r="Z30" s="2406">
        <f t="shared" si="0"/>
        <v>1.0395000000000001</v>
      </c>
      <c r="AA30" s="2406">
        <f>ROUND(SUMPRODUCT(PRODUCT(1+P30:P$32)),4)</f>
        <v>1.0338000000000001</v>
      </c>
      <c r="AB30" s="2406">
        <f>ROUND(SUMPRODUCT(PRODUCT(1+Q30:Q$32)),4)</f>
        <v>1.0316000000000001</v>
      </c>
      <c r="AD30" s="2407">
        <f>ROUND(AVERAGE(I30:I$33)/100,4)</f>
        <v>1.6E-2</v>
      </c>
      <c r="AE30" s="2407">
        <f>ROUND(AVERAGE(J30:J$33)/100,4)</f>
        <v>1.5599999999999999E-2</v>
      </c>
      <c r="AF30" s="2407">
        <f t="shared" si="1"/>
        <v>1.5599999999999999E-2</v>
      </c>
      <c r="AG30" s="2407">
        <f>ROUND(AVERAGE(K30:K$33)/100,4)</f>
        <v>1.66E-2</v>
      </c>
      <c r="AH30" s="2407">
        <f>ROUND(AVERAGE(L30:L$33)/100,4)</f>
        <v>1.12E-2</v>
      </c>
    </row>
    <row r="31" spans="1:34">
      <c r="A31" s="2419" t="s">
        <v>146</v>
      </c>
      <c r="B31" s="2420">
        <f t="shared" ref="B31:C33" si="171">B30/(1+N30)</f>
        <v>317.33359944117353</v>
      </c>
      <c r="C31" s="2420">
        <f t="shared" si="171"/>
        <v>266.90568668459315</v>
      </c>
      <c r="D31" s="2420">
        <f t="shared" si="166"/>
        <v>266.90568668459315</v>
      </c>
      <c r="E31" s="2420">
        <f t="shared" ref="E31:F33" si="172">E30/(1+P30)</f>
        <v>436.47622852576905</v>
      </c>
      <c r="F31" s="2420">
        <f t="shared" si="172"/>
        <v>234.90930716622066</v>
      </c>
      <c r="G31" s="3402"/>
      <c r="H31" s="2450">
        <v>3</v>
      </c>
      <c r="I31" s="2450">
        <v>0.83</v>
      </c>
      <c r="J31" s="2450">
        <v>1.47</v>
      </c>
      <c r="K31" s="2450">
        <v>0.65</v>
      </c>
      <c r="L31" s="2451">
        <v>0.72</v>
      </c>
      <c r="N31" s="2422">
        <f t="shared" si="168"/>
        <v>8.3000000000000001E-3</v>
      </c>
      <c r="O31" s="2407">
        <f t="shared" si="163"/>
        <v>1.47E-2</v>
      </c>
      <c r="P31" s="2407">
        <f t="shared" si="163"/>
        <v>6.5000000000000006E-3</v>
      </c>
      <c r="Q31" s="2407">
        <f t="shared" si="163"/>
        <v>7.1999999999999998E-3</v>
      </c>
      <c r="R31" s="2423"/>
      <c r="S31" s="2422"/>
      <c r="T31" s="2407"/>
      <c r="U31" s="2407"/>
      <c r="V31" s="2407"/>
      <c r="X31" s="2406">
        <f>ROUND(SUMPRODUCT(PRODUCT(1+N31:N$32)),4)</f>
        <v>1.0325</v>
      </c>
      <c r="Y31" s="2406">
        <f>ROUND(SUMPRODUCT(PRODUCT(1+O31:O$32)),4)</f>
        <v>1.0353000000000001</v>
      </c>
      <c r="Z31" s="2406">
        <f t="shared" ref="Z31:Z32" si="173">Y31</f>
        <v>1.0353000000000001</v>
      </c>
      <c r="AA31" s="2406">
        <f>ROUND(SUMPRODUCT(PRODUCT(1+P31:P$32)),4)</f>
        <v>1.0326</v>
      </c>
      <c r="AB31" s="2406">
        <f>ROUND(SUMPRODUCT(PRODUCT(1+Q31:Q$32)),4)</f>
        <v>1.0225</v>
      </c>
      <c r="AD31" s="2407">
        <f>ROUND(AVERAGE(I31:I$33)/100,4)</f>
        <v>2.07E-2</v>
      </c>
      <c r="AE31" s="2407">
        <f>ROUND(AVERAGE(J31:J$33)/100,4)</f>
        <v>1.95E-2</v>
      </c>
      <c r="AF31" s="2407">
        <f t="shared" si="1"/>
        <v>1.95E-2</v>
      </c>
      <c r="AG31" s="2407">
        <f>ROUND(AVERAGE(K31:K$33)/100,4)</f>
        <v>2.1700000000000001E-2</v>
      </c>
      <c r="AH31" s="2407">
        <f>ROUND(AVERAGE(L31:L$33)/100,4)</f>
        <v>1.2E-2</v>
      </c>
    </row>
    <row r="32" spans="1:34" ht="13.5" thickBot="1">
      <c r="A32" s="2419" t="s">
        <v>145</v>
      </c>
      <c r="B32" s="2420">
        <f t="shared" si="171"/>
        <v>314.72141172386546</v>
      </c>
      <c r="C32" s="2420">
        <f t="shared" si="171"/>
        <v>263.03901319069001</v>
      </c>
      <c r="D32" s="2420">
        <f t="shared" si="166"/>
        <v>263.03901319069001</v>
      </c>
      <c r="E32" s="2420">
        <f t="shared" si="172"/>
        <v>433.65745506782821</v>
      </c>
      <c r="F32" s="2420">
        <f t="shared" si="172"/>
        <v>233.23005080045735</v>
      </c>
      <c r="G32" s="3402"/>
      <c r="H32" s="2440">
        <v>2</v>
      </c>
      <c r="I32" s="2440">
        <v>2.4</v>
      </c>
      <c r="J32" s="2440">
        <v>2.0299999999999998</v>
      </c>
      <c r="K32" s="2440">
        <v>2.59</v>
      </c>
      <c r="L32" s="2441">
        <v>1.52</v>
      </c>
      <c r="N32" s="2422">
        <f t="shared" si="168"/>
        <v>2.4E-2</v>
      </c>
      <c r="O32" s="2407">
        <f t="shared" si="163"/>
        <v>2.0299999999999999E-2</v>
      </c>
      <c r="P32" s="2407">
        <f t="shared" si="163"/>
        <v>2.5899999999999999E-2</v>
      </c>
      <c r="Q32" s="2407">
        <f t="shared" si="163"/>
        <v>1.52E-2</v>
      </c>
      <c r="R32" s="2423"/>
      <c r="S32" s="2422"/>
      <c r="T32" s="2407"/>
      <c r="U32" s="2407"/>
      <c r="V32" s="2407"/>
      <c r="X32" s="2406">
        <f>1+N32</f>
        <v>1.024</v>
      </c>
      <c r="Y32" s="2406">
        <f>1+O32</f>
        <v>1.0203</v>
      </c>
      <c r="Z32" s="2406">
        <f t="shared" si="173"/>
        <v>1.0203</v>
      </c>
      <c r="AA32" s="2406">
        <f>1+P32</f>
        <v>1.0259</v>
      </c>
      <c r="AB32" s="2406">
        <f>1+Q32</f>
        <v>1.0152000000000001</v>
      </c>
      <c r="AD32" s="2407">
        <f>ROUND(AVERAGE(I32:I$33)/100,4)</f>
        <v>2.69E-2</v>
      </c>
      <c r="AE32" s="2407">
        <f>ROUND(AVERAGE(J32:J$33)/100,4)</f>
        <v>2.1899999999999999E-2</v>
      </c>
      <c r="AF32" s="2407">
        <f t="shared" ref="AF32" si="174">AE32</f>
        <v>2.1899999999999999E-2</v>
      </c>
      <c r="AG32" s="2407">
        <f>ROUND(AVERAGE(K32:K$33)/100,4)</f>
        <v>2.9399999999999999E-2</v>
      </c>
      <c r="AH32" s="2407">
        <f>ROUND(AVERAGE(L32:L$33)/100,4)</f>
        <v>1.44E-2</v>
      </c>
    </row>
    <row r="33" spans="1:34" s="2456" customFormat="1" ht="13.5" thickBot="1">
      <c r="A33" s="2452" t="s">
        <v>144</v>
      </c>
      <c r="B33" s="2453">
        <f t="shared" si="171"/>
        <v>307.34512863658733</v>
      </c>
      <c r="C33" s="2453">
        <f t="shared" si="171"/>
        <v>257.80556031626975</v>
      </c>
      <c r="D33" s="2453">
        <f t="shared" si="166"/>
        <v>257.80556031626975</v>
      </c>
      <c r="E33" s="2453">
        <f t="shared" si="172"/>
        <v>422.70928459677179</v>
      </c>
      <c r="F33" s="2453">
        <f t="shared" si="172"/>
        <v>229.73803270336617</v>
      </c>
      <c r="G33" s="3403"/>
      <c r="H33" s="2454">
        <v>1</v>
      </c>
      <c r="I33" s="2454">
        <v>2.97</v>
      </c>
      <c r="J33" s="2454">
        <v>2.34</v>
      </c>
      <c r="K33" s="2454">
        <v>3.28</v>
      </c>
      <c r="L33" s="2455">
        <v>1.36</v>
      </c>
      <c r="N33" s="2457">
        <f t="shared" si="168"/>
        <v>2.9700000000000001E-2</v>
      </c>
      <c r="O33" s="2458">
        <f t="shared" si="163"/>
        <v>2.3399999999999997E-2</v>
      </c>
      <c r="P33" s="2458">
        <f t="shared" si="163"/>
        <v>3.2799999999999996E-2</v>
      </c>
      <c r="Q33" s="2458">
        <f t="shared" si="163"/>
        <v>1.3600000000000001E-2</v>
      </c>
      <c r="R33" s="2459"/>
      <c r="S33" s="2460">
        <f>B33/B34-1</f>
        <v>2.7910129219355539E-2</v>
      </c>
      <c r="T33" s="2461">
        <f>C33/C34-1</f>
        <v>2.3037937762975247E-2</v>
      </c>
      <c r="U33" s="2461">
        <f>E33/E34-1</f>
        <v>3.3519033243940788E-2</v>
      </c>
      <c r="V33" s="2461">
        <f>F33/F34-1</f>
        <v>1.2061818076502862E-2</v>
      </c>
      <c r="W33" s="2462" t="s">
        <v>1129</v>
      </c>
      <c r="X33" s="2463">
        <v>1</v>
      </c>
      <c r="Y33" s="2463">
        <v>1</v>
      </c>
      <c r="Z33" s="2463">
        <v>1</v>
      </c>
      <c r="AA33" s="2463">
        <v>1</v>
      </c>
      <c r="AB33" s="2463">
        <v>1</v>
      </c>
      <c r="AD33" s="2458">
        <f>I33/100</f>
        <v>2.9700000000000001E-2</v>
      </c>
      <c r="AE33" s="2458">
        <f>J33/100</f>
        <v>2.3399999999999997E-2</v>
      </c>
      <c r="AF33" s="2458">
        <f>AE33</f>
        <v>2.3399999999999997E-2</v>
      </c>
      <c r="AG33" s="2458">
        <f>K33/100</f>
        <v>3.2799999999999996E-2</v>
      </c>
      <c r="AH33" s="2458">
        <f>L33/100</f>
        <v>1.3600000000000001E-2</v>
      </c>
    </row>
    <row r="34" spans="1:34" ht="13.5" thickBot="1">
      <c r="A34" s="2419" t="s">
        <v>1130</v>
      </c>
      <c r="B34" s="2434">
        <v>299</v>
      </c>
      <c r="C34" s="2434">
        <v>252</v>
      </c>
      <c r="D34" s="2434">
        <f t="shared" si="166"/>
        <v>252</v>
      </c>
      <c r="E34" s="2434">
        <v>409</v>
      </c>
      <c r="F34" s="2435">
        <v>227</v>
      </c>
      <c r="G34" s="3406">
        <v>2013</v>
      </c>
      <c r="H34" s="2464">
        <v>4</v>
      </c>
      <c r="I34" s="2464">
        <v>1.83</v>
      </c>
      <c r="J34" s="2464">
        <v>1.68</v>
      </c>
      <c r="K34" s="2464">
        <v>1.97</v>
      </c>
      <c r="L34" s="2465">
        <v>0.87</v>
      </c>
      <c r="N34" s="2442">
        <f t="shared" si="168"/>
        <v>1.83E-2</v>
      </c>
      <c r="O34" s="2443">
        <f t="shared" si="163"/>
        <v>1.6799999999999999E-2</v>
      </c>
      <c r="P34" s="2443">
        <f t="shared" si="163"/>
        <v>1.9699999999999999E-2</v>
      </c>
      <c r="Q34" s="2443">
        <f t="shared" si="163"/>
        <v>8.6999999999999994E-3</v>
      </c>
      <c r="R34" s="2423"/>
      <c r="S34" s="2436"/>
      <c r="T34" s="2437"/>
      <c r="U34" s="2437"/>
      <c r="V34" s="2437"/>
      <c r="X34" s="2437"/>
      <c r="Y34" s="2437"/>
      <c r="Z34" s="2437"/>
    </row>
    <row r="35" spans="1:34">
      <c r="A35" s="2419" t="s">
        <v>1131</v>
      </c>
      <c r="B35" s="2420">
        <f t="shared" ref="B35:C37" si="175">B34/(1+N34)</f>
        <v>293.62663262299913</v>
      </c>
      <c r="C35" s="2420">
        <f t="shared" si="175"/>
        <v>247.83634933123525</v>
      </c>
      <c r="D35" s="2420">
        <f t="shared" si="166"/>
        <v>247.83634933123525</v>
      </c>
      <c r="E35" s="2420">
        <f t="shared" ref="E35:F37" si="176">E34/(1+P34)</f>
        <v>401.09836226341076</v>
      </c>
      <c r="F35" s="2420">
        <f t="shared" si="176"/>
        <v>225.04213343908003</v>
      </c>
      <c r="G35" s="3407"/>
      <c r="H35" s="2445">
        <v>3</v>
      </c>
      <c r="I35" s="2445">
        <v>1.86</v>
      </c>
      <c r="J35" s="2445">
        <v>1.72</v>
      </c>
      <c r="K35" s="2445">
        <v>1.98</v>
      </c>
      <c r="L35" s="2446">
        <v>0.88</v>
      </c>
      <c r="N35" s="2422">
        <f t="shared" si="168"/>
        <v>1.8600000000000002E-2</v>
      </c>
      <c r="O35" s="2447">
        <f t="shared" si="163"/>
        <v>1.72E-2</v>
      </c>
      <c r="P35" s="2447">
        <f t="shared" si="163"/>
        <v>1.9799999999999998E-2</v>
      </c>
      <c r="Q35" s="2447">
        <f t="shared" si="163"/>
        <v>8.8000000000000005E-3</v>
      </c>
      <c r="R35" s="2423"/>
      <c r="S35" s="2422"/>
      <c r="T35" s="2407"/>
      <c r="U35" s="2407"/>
      <c r="V35" s="2407"/>
    </row>
    <row r="36" spans="1:34">
      <c r="A36" s="2419" t="s">
        <v>1132</v>
      </c>
      <c r="B36" s="2420">
        <f t="shared" si="175"/>
        <v>288.2649053828776</v>
      </c>
      <c r="C36" s="2420">
        <f t="shared" si="175"/>
        <v>243.64564425013293</v>
      </c>
      <c r="D36" s="2420">
        <f t="shared" si="166"/>
        <v>243.64564425013293</v>
      </c>
      <c r="E36" s="2420">
        <f t="shared" si="176"/>
        <v>393.31080825986544</v>
      </c>
      <c r="F36" s="2420">
        <f t="shared" si="176"/>
        <v>223.07903790551154</v>
      </c>
      <c r="G36" s="3407"/>
      <c r="H36" s="2432">
        <v>2</v>
      </c>
      <c r="I36" s="2432">
        <v>2.04</v>
      </c>
      <c r="J36" s="2432">
        <v>2.33</v>
      </c>
      <c r="K36" s="2432">
        <v>2.0699999999999998</v>
      </c>
      <c r="L36" s="2433">
        <v>0.69</v>
      </c>
      <c r="N36" s="2422">
        <f t="shared" si="168"/>
        <v>2.0400000000000001E-2</v>
      </c>
      <c r="O36" s="2447">
        <f t="shared" si="163"/>
        <v>2.3300000000000001E-2</v>
      </c>
      <c r="P36" s="2447">
        <f t="shared" si="163"/>
        <v>2.07E-2</v>
      </c>
      <c r="Q36" s="2447">
        <f t="shared" si="163"/>
        <v>6.8999999999999999E-3</v>
      </c>
      <c r="R36" s="2423"/>
      <c r="S36" s="2422"/>
      <c r="T36" s="2407"/>
      <c r="U36" s="2407"/>
      <c r="V36" s="2407"/>
      <c r="X36" s="2466"/>
      <c r="Y36" s="2467"/>
    </row>
    <row r="37" spans="1:34">
      <c r="A37" s="2419" t="s">
        <v>1133</v>
      </c>
      <c r="B37" s="2420">
        <f t="shared" si="175"/>
        <v>282.50186729015837</v>
      </c>
      <c r="C37" s="2420">
        <f t="shared" si="175"/>
        <v>238.09796174155468</v>
      </c>
      <c r="D37" s="2420">
        <f t="shared" si="166"/>
        <v>238.09796174155468</v>
      </c>
      <c r="E37" s="2420">
        <f t="shared" si="176"/>
        <v>385.33438646014054</v>
      </c>
      <c r="F37" s="2420">
        <f t="shared" si="176"/>
        <v>221.55034055567739</v>
      </c>
      <c r="G37" s="3408"/>
      <c r="H37" s="2421">
        <v>1</v>
      </c>
      <c r="I37" s="2421">
        <v>1.67</v>
      </c>
      <c r="J37" s="2421">
        <v>1.31</v>
      </c>
      <c r="K37" s="2421">
        <v>1.85</v>
      </c>
      <c r="L37" s="2427">
        <v>0.96</v>
      </c>
      <c r="N37" s="2438">
        <f t="shared" si="168"/>
        <v>1.67E-2</v>
      </c>
      <c r="O37" s="2439">
        <f t="shared" si="168"/>
        <v>1.3100000000000001E-2</v>
      </c>
      <c r="P37" s="2439">
        <f t="shared" si="168"/>
        <v>1.8500000000000003E-2</v>
      </c>
      <c r="Q37" s="2439">
        <f t="shared" si="168"/>
        <v>9.5999999999999992E-3</v>
      </c>
      <c r="R37" s="2423"/>
      <c r="S37" s="2438">
        <f>B37/B38-1</f>
        <v>1.6193767230785472E-2</v>
      </c>
      <c r="T37" s="2439">
        <f>C37/C38-1</f>
        <v>1.7512657015190891E-2</v>
      </c>
      <c r="U37" s="2439">
        <f>E37/E38-1</f>
        <v>1.6713420739157048E-2</v>
      </c>
      <c r="V37" s="2439">
        <f>F37/F38-1</f>
        <v>7.0470025258062563E-3</v>
      </c>
      <c r="X37" s="2468"/>
      <c r="Y37" s="2407"/>
      <c r="Z37" s="2407"/>
    </row>
    <row r="38" spans="1:34" ht="13.5" thickBot="1">
      <c r="A38" s="2419" t="s">
        <v>1134</v>
      </c>
      <c r="B38" s="2469">
        <v>278</v>
      </c>
      <c r="C38" s="2469">
        <v>234</v>
      </c>
      <c r="D38" s="2469">
        <f t="shared" si="166"/>
        <v>234</v>
      </c>
      <c r="E38" s="2469">
        <v>379</v>
      </c>
      <c r="F38" s="2470">
        <v>220</v>
      </c>
      <c r="G38" s="3401">
        <v>2012</v>
      </c>
      <c r="H38" s="2440">
        <v>4</v>
      </c>
      <c r="I38" s="2440">
        <v>0.91</v>
      </c>
      <c r="J38" s="2440">
        <v>0.68</v>
      </c>
      <c r="K38" s="2440">
        <v>0.98</v>
      </c>
      <c r="L38" s="2441">
        <v>0.9</v>
      </c>
      <c r="N38" s="2422">
        <f t="shared" si="168"/>
        <v>9.1000000000000004E-3</v>
      </c>
      <c r="O38" s="2407">
        <f t="shared" si="168"/>
        <v>6.8000000000000005E-3</v>
      </c>
      <c r="P38" s="2407">
        <f t="shared" si="168"/>
        <v>9.7999999999999997E-3</v>
      </c>
      <c r="Q38" s="2407">
        <f t="shared" si="168"/>
        <v>9.0000000000000011E-3</v>
      </c>
      <c r="R38" s="2423"/>
      <c r="S38" s="2436"/>
      <c r="T38" s="2437"/>
      <c r="U38" s="2437"/>
      <c r="V38" s="2437"/>
      <c r="X38" s="2437"/>
      <c r="Y38" s="2437"/>
      <c r="Z38" s="2437"/>
    </row>
    <row r="39" spans="1:34">
      <c r="A39" s="2419" t="s">
        <v>1135</v>
      </c>
      <c r="B39" s="2420">
        <f>B38/(1+N38)</f>
        <v>275.49301357645425</v>
      </c>
      <c r="C39" s="2420">
        <f>C38/(1+O38)</f>
        <v>232.41954707985698</v>
      </c>
      <c r="D39" s="2420">
        <f t="shared" si="166"/>
        <v>232.41954707985698</v>
      </c>
      <c r="E39" s="2420">
        <f t="shared" ref="E39:F41" si="177">E38/(1+P38)</f>
        <v>375.32184591008121</v>
      </c>
      <c r="F39" s="2420">
        <f t="shared" si="177"/>
        <v>218.03766105054513</v>
      </c>
      <c r="G39" s="3402"/>
      <c r="H39" s="2445">
        <v>3</v>
      </c>
      <c r="I39" s="2445">
        <v>0.09</v>
      </c>
      <c r="J39" s="2445">
        <v>0.28999999999999998</v>
      </c>
      <c r="K39" s="2445">
        <v>-0.01</v>
      </c>
      <c r="L39" s="2446">
        <v>0.57999999999999996</v>
      </c>
      <c r="N39" s="2422">
        <f t="shared" si="168"/>
        <v>8.9999999999999998E-4</v>
      </c>
      <c r="O39" s="2407">
        <f t="shared" si="168"/>
        <v>2.8999999999999998E-3</v>
      </c>
      <c r="P39" s="2407">
        <f t="shared" si="168"/>
        <v>-1E-4</v>
      </c>
      <c r="Q39" s="2407">
        <f t="shared" si="168"/>
        <v>5.7999999999999996E-3</v>
      </c>
      <c r="R39" s="2423"/>
      <c r="S39" s="2422"/>
      <c r="T39" s="2407"/>
      <c r="U39" s="2407"/>
      <c r="V39" s="2407"/>
    </row>
    <row r="40" spans="1:34">
      <c r="A40" s="2419" t="s">
        <v>1136</v>
      </c>
      <c r="B40" s="2420">
        <f>B39/(1+N39)</f>
        <v>275.24529281292263</v>
      </c>
      <c r="C40" s="2420">
        <f>C39/(1+O39)</f>
        <v>231.74747938962707</v>
      </c>
      <c r="D40" s="2420">
        <f t="shared" si="166"/>
        <v>231.74747938962707</v>
      </c>
      <c r="E40" s="2420">
        <f t="shared" si="177"/>
        <v>375.35938184826603</v>
      </c>
      <c r="F40" s="2420">
        <f t="shared" si="177"/>
        <v>216.78033510692495</v>
      </c>
      <c r="G40" s="3402"/>
      <c r="H40" s="2432">
        <v>2</v>
      </c>
      <c r="I40" s="2432">
        <v>0.02</v>
      </c>
      <c r="J40" s="2432">
        <v>0.12</v>
      </c>
      <c r="K40" s="2432">
        <v>-0.08</v>
      </c>
      <c r="L40" s="2433">
        <v>1.24</v>
      </c>
      <c r="N40" s="2422">
        <f t="shared" si="168"/>
        <v>2.0000000000000001E-4</v>
      </c>
      <c r="O40" s="2407">
        <f t="shared" si="168"/>
        <v>1.1999999999999999E-3</v>
      </c>
      <c r="P40" s="2407">
        <f t="shared" si="168"/>
        <v>-8.0000000000000004E-4</v>
      </c>
      <c r="Q40" s="2407">
        <f t="shared" si="168"/>
        <v>1.24E-2</v>
      </c>
      <c r="R40" s="2423"/>
      <c r="S40" s="2422"/>
      <c r="T40" s="2407"/>
      <c r="U40" s="2407"/>
      <c r="V40" s="2407"/>
    </row>
    <row r="41" spans="1:34" ht="13.5" thickBot="1">
      <c r="A41" s="2419" t="s">
        <v>1137</v>
      </c>
      <c r="B41" s="2420">
        <f>B40/(1+N40)</f>
        <v>275.19025476197027</v>
      </c>
      <c r="C41" s="2471">
        <v>232</v>
      </c>
      <c r="D41" s="2471">
        <f t="shared" si="166"/>
        <v>232</v>
      </c>
      <c r="E41" s="2420">
        <f t="shared" si="177"/>
        <v>375.65990977608692</v>
      </c>
      <c r="F41" s="2420">
        <f t="shared" si="177"/>
        <v>214.12518283971252</v>
      </c>
      <c r="G41" s="3403"/>
      <c r="H41" s="2421">
        <v>1</v>
      </c>
      <c r="I41" s="2421">
        <v>0.02</v>
      </c>
      <c r="J41" s="2421">
        <v>0.13</v>
      </c>
      <c r="K41" s="2421">
        <v>-0.04</v>
      </c>
      <c r="L41" s="2427">
        <v>0.46</v>
      </c>
      <c r="N41" s="2422">
        <f t="shared" si="168"/>
        <v>2.0000000000000001E-4</v>
      </c>
      <c r="O41" s="2407">
        <f t="shared" si="168"/>
        <v>1.2999999999999999E-3</v>
      </c>
      <c r="P41" s="2407">
        <f t="shared" si="168"/>
        <v>-4.0000000000000002E-4</v>
      </c>
      <c r="Q41" s="2407">
        <f t="shared" si="168"/>
        <v>4.5999999999999999E-3</v>
      </c>
      <c r="R41" s="2423"/>
      <c r="S41" s="2438">
        <f>B41/B42-1</f>
        <v>6.9183549807361189E-4</v>
      </c>
      <c r="T41" s="2439">
        <f>C41/C42-1</f>
        <v>0</v>
      </c>
      <c r="U41" s="2439">
        <f>E41/E42-1</f>
        <v>-9.0449527636460303E-4</v>
      </c>
      <c r="V41" s="2439">
        <f>F41/F42-1</f>
        <v>5.2825485432512753E-3</v>
      </c>
      <c r="X41" s="2407"/>
      <c r="Y41" s="2407"/>
      <c r="Z41" s="2407"/>
    </row>
    <row r="42" spans="1:34" ht="13.5" thickBot="1">
      <c r="A42" s="2419" t="s">
        <v>1138</v>
      </c>
      <c r="B42" s="2434">
        <v>275</v>
      </c>
      <c r="C42" s="2434">
        <v>232</v>
      </c>
      <c r="D42" s="2434">
        <f t="shared" si="166"/>
        <v>232</v>
      </c>
      <c r="E42" s="2434">
        <v>376</v>
      </c>
      <c r="F42" s="2435">
        <v>213</v>
      </c>
      <c r="G42" s="3401">
        <v>2011</v>
      </c>
      <c r="H42" s="2440">
        <v>4</v>
      </c>
      <c r="I42" s="2440">
        <v>-0.2</v>
      </c>
      <c r="J42" s="2440">
        <v>0.04</v>
      </c>
      <c r="K42" s="2440">
        <v>-0.34</v>
      </c>
      <c r="L42" s="2441">
        <v>0.46</v>
      </c>
      <c r="N42" s="2442">
        <f t="shared" si="168"/>
        <v>-2E-3</v>
      </c>
      <c r="O42" s="2443">
        <f t="shared" si="168"/>
        <v>4.0000000000000002E-4</v>
      </c>
      <c r="P42" s="2443">
        <f t="shared" si="168"/>
        <v>-3.4000000000000002E-3</v>
      </c>
      <c r="Q42" s="2443">
        <f t="shared" si="168"/>
        <v>4.5999999999999999E-3</v>
      </c>
      <c r="R42" s="2423"/>
      <c r="S42" s="2436"/>
      <c r="T42" s="2437"/>
      <c r="U42" s="2437"/>
      <c r="V42" s="2437"/>
      <c r="X42" s="2437"/>
      <c r="Y42" s="2437"/>
      <c r="Z42" s="2437"/>
    </row>
    <row r="43" spans="1:34">
      <c r="A43" s="2419" t="s">
        <v>1139</v>
      </c>
      <c r="B43" s="2420">
        <f t="shared" ref="B43:C45" si="178">B42/(1+N42)</f>
        <v>275.55110220440883</v>
      </c>
      <c r="C43" s="2420">
        <f t="shared" si="178"/>
        <v>231.90723710515795</v>
      </c>
      <c r="D43" s="2420">
        <f t="shared" si="166"/>
        <v>231.90723710515795</v>
      </c>
      <c r="E43" s="2420">
        <f t="shared" ref="E43:F45" si="179">E42/(1+P42)</f>
        <v>377.28276138872161</v>
      </c>
      <c r="F43" s="2420">
        <f t="shared" si="179"/>
        <v>212.02468644236512</v>
      </c>
      <c r="G43" s="3402">
        <v>2011</v>
      </c>
      <c r="H43" s="2445">
        <v>3</v>
      </c>
      <c r="I43" s="2445">
        <v>0.13</v>
      </c>
      <c r="J43" s="2445">
        <v>0.75</v>
      </c>
      <c r="K43" s="2445">
        <v>-0.08</v>
      </c>
      <c r="L43" s="2446">
        <v>0.53</v>
      </c>
      <c r="N43" s="2422">
        <f t="shared" si="168"/>
        <v>1.2999999999999999E-3</v>
      </c>
      <c r="O43" s="2447">
        <f t="shared" si="168"/>
        <v>7.4999999999999997E-3</v>
      </c>
      <c r="P43" s="2447">
        <f t="shared" si="168"/>
        <v>-8.0000000000000004E-4</v>
      </c>
      <c r="Q43" s="2447">
        <f t="shared" si="168"/>
        <v>5.3E-3</v>
      </c>
      <c r="R43" s="2423"/>
      <c r="S43" s="2422"/>
      <c r="T43" s="2407"/>
      <c r="U43" s="2407"/>
      <c r="V43" s="2407"/>
    </row>
    <row r="44" spans="1:34">
      <c r="A44" s="2419" t="s">
        <v>1140</v>
      </c>
      <c r="B44" s="2420">
        <f t="shared" si="178"/>
        <v>275.19335084830601</v>
      </c>
      <c r="C44" s="2420">
        <f t="shared" si="178"/>
        <v>230.18088050139744</v>
      </c>
      <c r="D44" s="2420">
        <f t="shared" si="166"/>
        <v>230.18088050139744</v>
      </c>
      <c r="E44" s="2420">
        <f t="shared" si="179"/>
        <v>377.58482925212331</v>
      </c>
      <c r="F44" s="2420">
        <f t="shared" si="179"/>
        <v>210.90687997847917</v>
      </c>
      <c r="G44" s="3402">
        <v>2011</v>
      </c>
      <c r="H44" s="2432">
        <v>2</v>
      </c>
      <c r="I44" s="2432">
        <v>-0.4</v>
      </c>
      <c r="J44" s="2432">
        <v>0.17</v>
      </c>
      <c r="K44" s="2432">
        <v>-0.57999999999999996</v>
      </c>
      <c r="L44" s="2433">
        <v>-0.2</v>
      </c>
      <c r="N44" s="2422">
        <f t="shared" si="168"/>
        <v>-4.0000000000000001E-3</v>
      </c>
      <c r="O44" s="2447">
        <f t="shared" si="168"/>
        <v>1.7000000000000001E-3</v>
      </c>
      <c r="P44" s="2447">
        <f t="shared" si="168"/>
        <v>-5.7999999999999996E-3</v>
      </c>
      <c r="Q44" s="2447">
        <f t="shared" si="168"/>
        <v>-2E-3</v>
      </c>
      <c r="R44" s="2423"/>
      <c r="S44" s="2422"/>
      <c r="T44" s="2407"/>
      <c r="U44" s="2407"/>
      <c r="V44" s="2407"/>
    </row>
    <row r="45" spans="1:34" ht="13.5" thickBot="1">
      <c r="A45" s="2419" t="s">
        <v>1141</v>
      </c>
      <c r="B45" s="2420">
        <f t="shared" si="178"/>
        <v>276.29854502841971</v>
      </c>
      <c r="C45" s="2420">
        <f t="shared" si="178"/>
        <v>229.79023709833027</v>
      </c>
      <c r="D45" s="2420">
        <f t="shared" si="166"/>
        <v>229.79023709833027</v>
      </c>
      <c r="E45" s="2420">
        <f t="shared" si="179"/>
        <v>379.78759731655936</v>
      </c>
      <c r="F45" s="2420">
        <f t="shared" si="179"/>
        <v>211.32953905659235</v>
      </c>
      <c r="G45" s="3403">
        <v>2011</v>
      </c>
      <c r="H45" s="2421">
        <v>1</v>
      </c>
      <c r="I45" s="2421">
        <v>2.65</v>
      </c>
      <c r="J45" s="2421">
        <v>3.76</v>
      </c>
      <c r="K45" s="2421">
        <v>1.89</v>
      </c>
      <c r="L45" s="2427">
        <v>7.95</v>
      </c>
      <c r="N45" s="2438">
        <f t="shared" si="168"/>
        <v>2.6499999999999999E-2</v>
      </c>
      <c r="O45" s="2439">
        <f t="shared" si="168"/>
        <v>3.7599999999999995E-2</v>
      </c>
      <c r="P45" s="2439">
        <f t="shared" si="168"/>
        <v>1.89E-2</v>
      </c>
      <c r="Q45" s="2439">
        <f t="shared" si="168"/>
        <v>7.9500000000000001E-2</v>
      </c>
      <c r="R45" s="2423"/>
      <c r="S45" s="2438">
        <f>B45/B46-1</f>
        <v>2.713213765211786E-2</v>
      </c>
      <c r="T45" s="2439">
        <f>C45/C46-1</f>
        <v>3.9774828499231862E-2</v>
      </c>
      <c r="U45" s="2439">
        <f>E45/E46-1</f>
        <v>1.8197311840641772E-2</v>
      </c>
      <c r="V45" s="2439">
        <f>F45/F46-1</f>
        <v>7.8211933962205826E-2</v>
      </c>
      <c r="X45" s="2407"/>
      <c r="Y45" s="2407"/>
      <c r="Z45" s="2407"/>
    </row>
    <row r="46" spans="1:34" ht="13.5" thickBot="1">
      <c r="A46" s="2419" t="s">
        <v>1142</v>
      </c>
      <c r="B46" s="2434">
        <v>269</v>
      </c>
      <c r="C46" s="2434">
        <v>221</v>
      </c>
      <c r="D46" s="2434">
        <f t="shared" si="166"/>
        <v>221</v>
      </c>
      <c r="E46" s="2434">
        <v>373</v>
      </c>
      <c r="F46" s="2435">
        <v>196</v>
      </c>
      <c r="G46" s="3401">
        <v>2010</v>
      </c>
      <c r="H46" s="2440">
        <v>4</v>
      </c>
      <c r="I46" s="2440">
        <v>5.72</v>
      </c>
      <c r="J46" s="2440">
        <v>6.57</v>
      </c>
      <c r="K46" s="2440">
        <v>5.72</v>
      </c>
      <c r="L46" s="2441">
        <v>2.72</v>
      </c>
      <c r="N46" s="2422">
        <f t="shared" si="168"/>
        <v>5.7200000000000001E-2</v>
      </c>
      <c r="O46" s="2407">
        <f t="shared" si="168"/>
        <v>6.5700000000000008E-2</v>
      </c>
      <c r="P46" s="2407">
        <f t="shared" si="168"/>
        <v>5.7200000000000001E-2</v>
      </c>
      <c r="Q46" s="2407">
        <f t="shared" si="168"/>
        <v>2.7200000000000002E-2</v>
      </c>
      <c r="R46" s="2423"/>
      <c r="S46" s="2436"/>
      <c r="T46" s="2437"/>
      <c r="U46" s="2437"/>
      <c r="V46" s="2437"/>
      <c r="X46" s="2437"/>
      <c r="Y46" s="2437"/>
      <c r="Z46" s="2437"/>
    </row>
    <row r="47" spans="1:34">
      <c r="A47" s="2419" t="s">
        <v>1143</v>
      </c>
      <c r="B47" s="2420">
        <f t="shared" ref="B47:C49" si="180">B46/(1+N46)</f>
        <v>254.44570563753314</v>
      </c>
      <c r="C47" s="2420">
        <f t="shared" si="180"/>
        <v>207.37543398705074</v>
      </c>
      <c r="D47" s="2420">
        <f t="shared" si="166"/>
        <v>207.37543398705074</v>
      </c>
      <c r="E47" s="2420">
        <f t="shared" ref="E47:F49" si="181">E46/(1+P46)</f>
        <v>352.81876655315932</v>
      </c>
      <c r="F47" s="2420">
        <f t="shared" si="181"/>
        <v>190.809968847352</v>
      </c>
      <c r="G47" s="3402">
        <v>2010</v>
      </c>
      <c r="H47" s="2445">
        <v>3</v>
      </c>
      <c r="I47" s="2445">
        <v>4.7300000000000004</v>
      </c>
      <c r="J47" s="2445">
        <v>3.9</v>
      </c>
      <c r="K47" s="2445">
        <v>5.03</v>
      </c>
      <c r="L47" s="2446">
        <v>4.21</v>
      </c>
      <c r="N47" s="2422">
        <f t="shared" si="168"/>
        <v>4.7300000000000002E-2</v>
      </c>
      <c r="O47" s="2407">
        <f t="shared" si="168"/>
        <v>3.9E-2</v>
      </c>
      <c r="P47" s="2407">
        <f t="shared" si="168"/>
        <v>5.0300000000000004E-2</v>
      </c>
      <c r="Q47" s="2407">
        <f t="shared" si="168"/>
        <v>4.2099999999999999E-2</v>
      </c>
      <c r="R47" s="2423"/>
      <c r="S47" s="2422"/>
      <c r="T47" s="2407"/>
      <c r="U47" s="2407"/>
      <c r="V47" s="2407"/>
    </row>
    <row r="48" spans="1:34">
      <c r="A48" s="2419" t="s">
        <v>1144</v>
      </c>
      <c r="B48" s="2420">
        <f t="shared" si="180"/>
        <v>242.95398227588385</v>
      </c>
      <c r="C48" s="2420">
        <f t="shared" si="180"/>
        <v>199.59137053614126</v>
      </c>
      <c r="D48" s="2420">
        <f t="shared" si="166"/>
        <v>199.59137053614126</v>
      </c>
      <c r="E48" s="2420">
        <f t="shared" si="181"/>
        <v>335.92189522342125</v>
      </c>
      <c r="F48" s="2420">
        <f t="shared" si="181"/>
        <v>183.10139991109489</v>
      </c>
      <c r="G48" s="3402">
        <v>2010</v>
      </c>
      <c r="H48" s="2432">
        <v>2</v>
      </c>
      <c r="I48" s="2432">
        <v>4.6900000000000004</v>
      </c>
      <c r="J48" s="2432">
        <v>3.55</v>
      </c>
      <c r="K48" s="2432">
        <v>5.07</v>
      </c>
      <c r="L48" s="2433">
        <v>4.2300000000000004</v>
      </c>
      <c r="N48" s="2422">
        <f t="shared" si="168"/>
        <v>4.6900000000000004E-2</v>
      </c>
      <c r="O48" s="2407">
        <f t="shared" si="168"/>
        <v>3.5499999999999997E-2</v>
      </c>
      <c r="P48" s="2407">
        <f t="shared" si="168"/>
        <v>5.0700000000000002E-2</v>
      </c>
      <c r="Q48" s="2407">
        <f t="shared" si="168"/>
        <v>4.2300000000000004E-2</v>
      </c>
      <c r="R48" s="2423"/>
      <c r="S48" s="2422"/>
      <c r="T48" s="2407"/>
      <c r="U48" s="2407"/>
      <c r="V48" s="2407"/>
    </row>
    <row r="49" spans="1:26" ht="13.5" thickBot="1">
      <c r="A49" s="2419" t="s">
        <v>1145</v>
      </c>
      <c r="B49" s="2420">
        <f t="shared" si="180"/>
        <v>232.06990378821649</v>
      </c>
      <c r="C49" s="2420">
        <f t="shared" si="180"/>
        <v>192.74878854286936</v>
      </c>
      <c r="D49" s="2420">
        <f t="shared" si="166"/>
        <v>192.74878854286936</v>
      </c>
      <c r="E49" s="2420">
        <f t="shared" si="181"/>
        <v>319.71247284992984</v>
      </c>
      <c r="F49" s="2420">
        <f t="shared" si="181"/>
        <v>175.67053622862409</v>
      </c>
      <c r="G49" s="3403">
        <v>2010</v>
      </c>
      <c r="H49" s="2421">
        <v>1</v>
      </c>
      <c r="I49" s="2421">
        <v>5.4</v>
      </c>
      <c r="J49" s="2421">
        <v>3.2</v>
      </c>
      <c r="K49" s="2421">
        <v>6.16</v>
      </c>
      <c r="L49" s="2427">
        <v>4.51</v>
      </c>
      <c r="N49" s="2422">
        <f t="shared" si="168"/>
        <v>5.4000000000000006E-2</v>
      </c>
      <c r="O49" s="2407">
        <f t="shared" si="168"/>
        <v>3.2000000000000001E-2</v>
      </c>
      <c r="P49" s="2407">
        <f t="shared" si="168"/>
        <v>6.1600000000000002E-2</v>
      </c>
      <c r="Q49" s="2407">
        <f t="shared" si="168"/>
        <v>4.5100000000000001E-2</v>
      </c>
      <c r="R49" s="2423"/>
      <c r="S49" s="2438">
        <f>B49/B50-1</f>
        <v>5.4863199037347599E-2</v>
      </c>
      <c r="T49" s="2439">
        <f>C49/C50-1</f>
        <v>3.0742184721226584E-2</v>
      </c>
      <c r="U49" s="2439">
        <f>E49/E50-1</f>
        <v>6.2167683886810154E-2</v>
      </c>
      <c r="V49" s="2439">
        <f>F49/F50-1</f>
        <v>4.5657953741810031E-2</v>
      </c>
      <c r="X49" s="2407"/>
      <c r="Y49" s="2407"/>
      <c r="Z49" s="2407"/>
    </row>
    <row r="50" spans="1:26" ht="13.5" thickBot="1">
      <c r="A50" s="2419" t="s">
        <v>1146</v>
      </c>
      <c r="B50" s="2434">
        <v>220</v>
      </c>
      <c r="C50" s="2434">
        <v>187</v>
      </c>
      <c r="D50" s="2434">
        <f t="shared" si="166"/>
        <v>187</v>
      </c>
      <c r="E50" s="2434">
        <v>301</v>
      </c>
      <c r="F50" s="2435">
        <v>168</v>
      </c>
      <c r="G50" s="3401">
        <v>2009</v>
      </c>
      <c r="H50" s="2440">
        <v>4</v>
      </c>
      <c r="I50" s="2440">
        <v>2.2999999999999998</v>
      </c>
      <c r="J50" s="2440">
        <v>1.04</v>
      </c>
      <c r="K50" s="2440">
        <v>2.84</v>
      </c>
      <c r="L50" s="2441">
        <v>0.67</v>
      </c>
      <c r="N50" s="2442">
        <f t="shared" si="168"/>
        <v>2.3E-2</v>
      </c>
      <c r="O50" s="2443">
        <f t="shared" si="168"/>
        <v>1.04E-2</v>
      </c>
      <c r="P50" s="2443">
        <f t="shared" si="168"/>
        <v>2.8399999999999998E-2</v>
      </c>
      <c r="Q50" s="2443">
        <f t="shared" si="168"/>
        <v>6.7000000000000002E-3</v>
      </c>
      <c r="R50" s="2423"/>
      <c r="S50" s="2436"/>
      <c r="T50" s="2437"/>
      <c r="U50" s="2437"/>
      <c r="V50" s="2437"/>
      <c r="X50" s="2437"/>
      <c r="Y50" s="2437"/>
      <c r="Z50" s="2437"/>
    </row>
    <row r="51" spans="1:26">
      <c r="A51" s="2419" t="s">
        <v>1147</v>
      </c>
      <c r="B51" s="2420">
        <f t="shared" ref="B51:C53" si="182">B50/(1+N50)</f>
        <v>215.05376344086022</v>
      </c>
      <c r="C51" s="2420">
        <f t="shared" si="182"/>
        <v>185.0752177355503</v>
      </c>
      <c r="D51" s="2420">
        <f t="shared" si="166"/>
        <v>185.0752177355503</v>
      </c>
      <c r="E51" s="2420">
        <f t="shared" ref="E51:F53" si="183">E50/(1+P50)</f>
        <v>292.68767016725008</v>
      </c>
      <c r="F51" s="2420">
        <f t="shared" si="183"/>
        <v>166.88189132810174</v>
      </c>
      <c r="G51" s="3402">
        <v>2009</v>
      </c>
      <c r="H51" s="2445">
        <v>3</v>
      </c>
      <c r="I51" s="2445">
        <v>2.1</v>
      </c>
      <c r="J51" s="2445">
        <v>1.86</v>
      </c>
      <c r="K51" s="2445">
        <v>2.29</v>
      </c>
      <c r="L51" s="2446">
        <v>0.85</v>
      </c>
      <c r="N51" s="2422">
        <f t="shared" si="168"/>
        <v>2.1000000000000001E-2</v>
      </c>
      <c r="O51" s="2447">
        <f t="shared" si="168"/>
        <v>1.8600000000000002E-2</v>
      </c>
      <c r="P51" s="2447">
        <f t="shared" si="168"/>
        <v>2.29E-2</v>
      </c>
      <c r="Q51" s="2447">
        <f t="shared" si="168"/>
        <v>8.5000000000000006E-3</v>
      </c>
      <c r="R51" s="2423"/>
      <c r="S51" s="2422"/>
      <c r="T51" s="2407"/>
      <c r="U51" s="2407"/>
      <c r="V51" s="2407"/>
    </row>
    <row r="52" spans="1:26">
      <c r="A52" s="2419" t="s">
        <v>1148</v>
      </c>
      <c r="B52" s="2420">
        <f t="shared" si="182"/>
        <v>210.630522469011</v>
      </c>
      <c r="C52" s="2420">
        <f t="shared" si="182"/>
        <v>181.69567812247232</v>
      </c>
      <c r="D52" s="2420">
        <f t="shared" si="166"/>
        <v>181.69567812247232</v>
      </c>
      <c r="E52" s="2420">
        <f t="shared" si="183"/>
        <v>286.13517466736738</v>
      </c>
      <c r="F52" s="2420">
        <f t="shared" si="183"/>
        <v>165.47535084591149</v>
      </c>
      <c r="G52" s="3402">
        <v>2009</v>
      </c>
      <c r="H52" s="2432">
        <v>2</v>
      </c>
      <c r="I52" s="2432">
        <v>0.86</v>
      </c>
      <c r="J52" s="2432">
        <v>-1.1299999999999999</v>
      </c>
      <c r="K52" s="2432">
        <v>1.79</v>
      </c>
      <c r="L52" s="2433">
        <v>-2.0699999999999998</v>
      </c>
      <c r="N52" s="2422">
        <f t="shared" si="168"/>
        <v>8.6E-3</v>
      </c>
      <c r="O52" s="2447">
        <f t="shared" si="168"/>
        <v>-1.1299999999999999E-2</v>
      </c>
      <c r="P52" s="2447">
        <f t="shared" si="168"/>
        <v>1.7899999999999999E-2</v>
      </c>
      <c r="Q52" s="2447">
        <f t="shared" si="168"/>
        <v>-2.07E-2</v>
      </c>
      <c r="R52" s="2423"/>
      <c r="S52" s="2422"/>
      <c r="T52" s="2407"/>
      <c r="U52" s="2407"/>
      <c r="V52" s="2407"/>
    </row>
    <row r="53" spans="1:26">
      <c r="A53" s="2419" t="s">
        <v>1149</v>
      </c>
      <c r="B53" s="2420">
        <f t="shared" si="182"/>
        <v>208.83454537875372</v>
      </c>
      <c r="C53" s="2420">
        <f t="shared" si="182"/>
        <v>183.77230517090351</v>
      </c>
      <c r="D53" s="2420">
        <f t="shared" si="166"/>
        <v>183.77230517090351</v>
      </c>
      <c r="E53" s="2420">
        <f t="shared" si="183"/>
        <v>281.10342338870947</v>
      </c>
      <c r="F53" s="2420">
        <f t="shared" si="183"/>
        <v>168.97309388942256</v>
      </c>
      <c r="G53" s="3403">
        <v>2009</v>
      </c>
      <c r="H53" s="2421">
        <v>1</v>
      </c>
      <c r="I53" s="2421">
        <v>-2.64</v>
      </c>
      <c r="J53" s="2421">
        <v>-2.5299999999999998</v>
      </c>
      <c r="K53" s="2421">
        <v>-3.02</v>
      </c>
      <c r="L53" s="2427">
        <v>1.52</v>
      </c>
      <c r="N53" s="2438">
        <f t="shared" si="168"/>
        <v>-2.64E-2</v>
      </c>
      <c r="O53" s="2439">
        <f t="shared" si="168"/>
        <v>-2.53E-2</v>
      </c>
      <c r="P53" s="2439">
        <f t="shared" si="168"/>
        <v>-3.0200000000000001E-2</v>
      </c>
      <c r="Q53" s="2439">
        <f t="shared" si="168"/>
        <v>1.52E-2</v>
      </c>
      <c r="R53" s="2423"/>
      <c r="S53" s="2438">
        <f>B53/B54-1</f>
        <v>-2.4137638417038754E-2</v>
      </c>
      <c r="T53" s="2439">
        <f>C53/C54-1</f>
        <v>-2.248773845264096E-2</v>
      </c>
      <c r="U53" s="2439">
        <f>E53/E54-1</f>
        <v>-2.7323794502735366E-2</v>
      </c>
      <c r="V53" s="2439">
        <f>F53/F54-1</f>
        <v>1.7910204153148035E-2</v>
      </c>
      <c r="X53" s="2407"/>
      <c r="Y53" s="2407"/>
      <c r="Z53" s="2407"/>
    </row>
    <row r="54" spans="1:26" ht="13.5" thickBot="1">
      <c r="A54" s="2419" t="s">
        <v>1150</v>
      </c>
      <c r="B54" s="2469">
        <v>214</v>
      </c>
      <c r="C54" s="2469">
        <v>188</v>
      </c>
      <c r="D54" s="2469">
        <f t="shared" si="166"/>
        <v>188</v>
      </c>
      <c r="E54" s="2469">
        <v>289</v>
      </c>
      <c r="F54" s="2470">
        <v>166</v>
      </c>
      <c r="G54" s="3401">
        <v>2008</v>
      </c>
      <c r="H54" s="2440">
        <v>4</v>
      </c>
      <c r="I54" s="2440">
        <v>1.73</v>
      </c>
      <c r="J54" s="2440">
        <v>0.03</v>
      </c>
      <c r="K54" s="2440">
        <v>2.59</v>
      </c>
      <c r="L54" s="2441">
        <v>-1.66</v>
      </c>
      <c r="N54" s="2422">
        <f t="shared" si="168"/>
        <v>1.7299999999999999E-2</v>
      </c>
      <c r="O54" s="2407">
        <f t="shared" si="168"/>
        <v>2.9999999999999997E-4</v>
      </c>
      <c r="P54" s="2407">
        <f t="shared" si="168"/>
        <v>2.5899999999999999E-2</v>
      </c>
      <c r="Q54" s="2407">
        <f t="shared" si="168"/>
        <v>-1.66E-2</v>
      </c>
      <c r="R54" s="2423"/>
      <c r="S54" s="2436"/>
      <c r="T54" s="2437"/>
      <c r="U54" s="2437"/>
      <c r="V54" s="2437"/>
      <c r="X54" s="2437"/>
      <c r="Y54" s="2437"/>
      <c r="Z54" s="2437"/>
    </row>
    <row r="55" spans="1:26">
      <c r="A55" s="2419" t="s">
        <v>1151</v>
      </c>
      <c r="B55" s="2420">
        <f t="shared" ref="B55:C57" si="184">B54/(1+N54)</f>
        <v>210.36075887152265</v>
      </c>
      <c r="C55" s="2420">
        <f t="shared" si="184"/>
        <v>187.94361691492554</v>
      </c>
      <c r="D55" s="2420">
        <f t="shared" si="166"/>
        <v>187.94361691492554</v>
      </c>
      <c r="E55" s="2420">
        <f t="shared" ref="E55:F57" si="185">E54/(1+P54)</f>
        <v>281.70386977288234</v>
      </c>
      <c r="F55" s="2420">
        <f t="shared" si="185"/>
        <v>168.80211511083994</v>
      </c>
      <c r="G55" s="3402">
        <v>2008</v>
      </c>
      <c r="H55" s="2445">
        <v>3</v>
      </c>
      <c r="I55" s="2445">
        <v>1.96</v>
      </c>
      <c r="J55" s="2445">
        <v>2.36</v>
      </c>
      <c r="K55" s="2445">
        <v>1.82</v>
      </c>
      <c r="L55" s="2446">
        <v>2.2200000000000002</v>
      </c>
      <c r="N55" s="2422">
        <f t="shared" si="168"/>
        <v>1.9599999999999999E-2</v>
      </c>
      <c r="O55" s="2407">
        <f t="shared" si="168"/>
        <v>2.3599999999999999E-2</v>
      </c>
      <c r="P55" s="2407">
        <f t="shared" si="168"/>
        <v>1.8200000000000001E-2</v>
      </c>
      <c r="Q55" s="2407">
        <f t="shared" si="168"/>
        <v>2.2200000000000001E-2</v>
      </c>
      <c r="R55" s="2423"/>
      <c r="S55" s="2422"/>
      <c r="T55" s="2407"/>
      <c r="U55" s="2407"/>
      <c r="V55" s="2407"/>
    </row>
    <row r="56" spans="1:26">
      <c r="A56" s="2419" t="s">
        <v>1152</v>
      </c>
      <c r="B56" s="2420">
        <f t="shared" si="184"/>
        <v>206.31694671589116</v>
      </c>
      <c r="C56" s="2420">
        <f t="shared" si="184"/>
        <v>183.61041121036101</v>
      </c>
      <c r="D56" s="2420">
        <f t="shared" si="166"/>
        <v>183.61041121036101</v>
      </c>
      <c r="E56" s="2420">
        <f t="shared" si="185"/>
        <v>276.66850301795557</v>
      </c>
      <c r="F56" s="2420">
        <f t="shared" si="185"/>
        <v>165.1360938278614</v>
      </c>
      <c r="G56" s="3402">
        <v>2008</v>
      </c>
      <c r="H56" s="2432">
        <v>2</v>
      </c>
      <c r="I56" s="2432">
        <v>4.93</v>
      </c>
      <c r="J56" s="2432">
        <v>7.38</v>
      </c>
      <c r="K56" s="2432">
        <v>3.98</v>
      </c>
      <c r="L56" s="2433">
        <v>6.86</v>
      </c>
      <c r="N56" s="2422">
        <f t="shared" si="168"/>
        <v>4.9299999999999997E-2</v>
      </c>
      <c r="O56" s="2407">
        <f t="shared" si="168"/>
        <v>7.3800000000000004E-2</v>
      </c>
      <c r="P56" s="2407">
        <f t="shared" si="168"/>
        <v>3.9800000000000002E-2</v>
      </c>
      <c r="Q56" s="2407">
        <f t="shared" si="168"/>
        <v>6.8600000000000008E-2</v>
      </c>
      <c r="R56" s="2423"/>
      <c r="S56" s="2422"/>
      <c r="T56" s="2407"/>
      <c r="U56" s="2407"/>
      <c r="V56" s="2407"/>
    </row>
    <row r="57" spans="1:26" s="2475" customFormat="1" ht="13.5" thickBot="1">
      <c r="A57" s="2419" t="s">
        <v>1153</v>
      </c>
      <c r="B57" s="2472">
        <f t="shared" si="184"/>
        <v>196.62341248059772</v>
      </c>
      <c r="C57" s="2472">
        <f t="shared" si="184"/>
        <v>170.99125648199012</v>
      </c>
      <c r="D57" s="2472">
        <f t="shared" si="166"/>
        <v>170.99125648199012</v>
      </c>
      <c r="E57" s="2472">
        <f t="shared" si="185"/>
        <v>266.07857570490052</v>
      </c>
      <c r="F57" s="2472">
        <f t="shared" si="185"/>
        <v>154.53499328828505</v>
      </c>
      <c r="G57" s="3403">
        <v>2008</v>
      </c>
      <c r="H57" s="2473">
        <v>1</v>
      </c>
      <c r="I57" s="2473">
        <v>4.1399999999999997</v>
      </c>
      <c r="J57" s="2473">
        <v>3.45</v>
      </c>
      <c r="K57" s="2473">
        <v>4.95</v>
      </c>
      <c r="L57" s="2474">
        <v>4.82</v>
      </c>
      <c r="N57" s="2476">
        <f t="shared" si="168"/>
        <v>4.1399999999999999E-2</v>
      </c>
      <c r="O57" s="2477">
        <f t="shared" si="168"/>
        <v>3.4500000000000003E-2</v>
      </c>
      <c r="P57" s="2477">
        <f t="shared" si="168"/>
        <v>4.9500000000000002E-2</v>
      </c>
      <c r="Q57" s="2477">
        <f t="shared" si="168"/>
        <v>4.82E-2</v>
      </c>
      <c r="R57" s="2478"/>
      <c r="S57" s="2476">
        <f>B57/B58-1</f>
        <v>4.5869215322328349E-2</v>
      </c>
      <c r="T57" s="2477">
        <f>C57/C58-1</f>
        <v>3.6310645345394743E-2</v>
      </c>
      <c r="U57" s="2477">
        <f>E57/E58-1</f>
        <v>4.7553447657088688E-2</v>
      </c>
      <c r="V57" s="2477">
        <f>F57/F58-1</f>
        <v>4.4155360055980086E-2</v>
      </c>
      <c r="X57" s="2477"/>
      <c r="Y57" s="2477"/>
      <c r="Z57" s="2477"/>
    </row>
    <row r="58" spans="1:26" ht="13.5" thickBot="1">
      <c r="A58" s="2419" t="s">
        <v>1154</v>
      </c>
      <c r="B58" s="2434">
        <v>188</v>
      </c>
      <c r="C58" s="2434">
        <v>165</v>
      </c>
      <c r="D58" s="2434">
        <f t="shared" si="166"/>
        <v>165</v>
      </c>
      <c r="E58" s="2434">
        <v>254</v>
      </c>
      <c r="F58" s="2435">
        <v>148</v>
      </c>
      <c r="G58" s="3401">
        <v>2007</v>
      </c>
      <c r="H58" s="2479">
        <v>4</v>
      </c>
      <c r="I58" s="2479">
        <v>5.51</v>
      </c>
      <c r="J58" s="2479">
        <v>4.8899999999999997</v>
      </c>
      <c r="K58" s="2479">
        <v>6.43</v>
      </c>
      <c r="L58" s="2480">
        <v>5.36</v>
      </c>
      <c r="N58" s="2481">
        <f t="shared" ref="N58:O61" si="186">B58/B59-1</f>
        <v>4.1339718365245526E-2</v>
      </c>
      <c r="O58" s="2482">
        <f t="shared" si="186"/>
        <v>4.0324492593776018E-2</v>
      </c>
      <c r="P58" s="2482">
        <f t="shared" ref="P58:Q61" si="187">E58/E59-1</f>
        <v>6.1625555347990968E-2</v>
      </c>
      <c r="Q58" s="2482">
        <f t="shared" si="187"/>
        <v>4.6757569250590603E-2</v>
      </c>
      <c r="R58" s="2423"/>
      <c r="S58" s="2436"/>
      <c r="T58" s="2437"/>
      <c r="U58" s="2437"/>
      <c r="V58" s="2437"/>
      <c r="X58" s="2437"/>
      <c r="Y58" s="2437"/>
      <c r="Z58" s="2437"/>
    </row>
    <row r="59" spans="1:26">
      <c r="A59" s="2419" t="s">
        <v>1155</v>
      </c>
      <c r="B59" s="2420">
        <f t="shared" ref="B59:C61" si="188">B60+(B$58-B$62)*I59/SUM(I$58:I$61)</f>
        <v>180.5366651097618</v>
      </c>
      <c r="C59" s="2420">
        <f t="shared" si="188"/>
        <v>158.60435967302453</v>
      </c>
      <c r="D59" s="2420">
        <f t="shared" si="166"/>
        <v>158.60435967302453</v>
      </c>
      <c r="E59" s="2420">
        <f t="shared" ref="E59:F61" si="189">E60+(E$58-E$62)*K59/SUM(K$58:K$61)</f>
        <v>239.25573260785075</v>
      </c>
      <c r="F59" s="2420">
        <f t="shared" si="189"/>
        <v>141.38899430740037</v>
      </c>
      <c r="G59" s="3402">
        <v>2007</v>
      </c>
      <c r="H59" s="2445">
        <v>3</v>
      </c>
      <c r="I59" s="2445">
        <v>8.65</v>
      </c>
      <c r="J59" s="2445">
        <v>8.06</v>
      </c>
      <c r="K59" s="2445">
        <v>9.94</v>
      </c>
      <c r="L59" s="2446">
        <v>5.8</v>
      </c>
      <c r="N59" s="2481">
        <f t="shared" si="186"/>
        <v>6.940217571740015E-2</v>
      </c>
      <c r="O59" s="2482">
        <f t="shared" si="186"/>
        <v>7.1197482471153428E-2</v>
      </c>
      <c r="P59" s="2482">
        <f t="shared" si="187"/>
        <v>0.10529679922579582</v>
      </c>
      <c r="Q59" s="2482">
        <f t="shared" si="187"/>
        <v>5.3292245059512133E-2</v>
      </c>
      <c r="R59" s="2423"/>
      <c r="S59" s="2422"/>
      <c r="T59" s="2407"/>
      <c r="U59" s="2407"/>
      <c r="V59" s="2407"/>
      <c r="X59" s="2483"/>
      <c r="Y59" s="2483"/>
      <c r="Z59" s="2483"/>
    </row>
    <row r="60" spans="1:26">
      <c r="A60" s="2419" t="s">
        <v>1156</v>
      </c>
      <c r="B60" s="2420">
        <f t="shared" si="188"/>
        <v>168.82017748715555</v>
      </c>
      <c r="C60" s="2420">
        <f t="shared" si="188"/>
        <v>148.06267029972753</v>
      </c>
      <c r="D60" s="2420">
        <f t="shared" si="166"/>
        <v>148.06267029972753</v>
      </c>
      <c r="E60" s="2420">
        <f t="shared" si="189"/>
        <v>216.46288379323747</v>
      </c>
      <c r="F60" s="2420">
        <f t="shared" si="189"/>
        <v>134.23529411764704</v>
      </c>
      <c r="G60" s="3402">
        <v>2007</v>
      </c>
      <c r="H60" s="2432">
        <v>2</v>
      </c>
      <c r="I60" s="2432">
        <v>3.67</v>
      </c>
      <c r="J60" s="2432">
        <v>2.3199999999999998</v>
      </c>
      <c r="K60" s="2432">
        <v>5.0199999999999996</v>
      </c>
      <c r="L60" s="2433">
        <v>6.71</v>
      </c>
      <c r="N60" s="2481">
        <f t="shared" si="186"/>
        <v>3.0339138143848032E-2</v>
      </c>
      <c r="O60" s="2482">
        <f t="shared" si="186"/>
        <v>2.0922341588790472E-2</v>
      </c>
      <c r="P60" s="2482">
        <f t="shared" si="187"/>
        <v>5.6164796592717003E-2</v>
      </c>
      <c r="Q60" s="2482">
        <f t="shared" si="187"/>
        <v>6.5704536723887319E-2</v>
      </c>
      <c r="R60" s="2423"/>
      <c r="S60" s="2422"/>
      <c r="T60" s="2407"/>
      <c r="U60" s="2407"/>
      <c r="V60" s="2407"/>
      <c r="X60" s="2483"/>
      <c r="Y60" s="2483"/>
      <c r="Z60" s="2483"/>
    </row>
    <row r="61" spans="1:26">
      <c r="A61" s="2419" t="s">
        <v>1157</v>
      </c>
      <c r="B61" s="2420">
        <f t="shared" si="188"/>
        <v>163.84913591779542</v>
      </c>
      <c r="C61" s="2420">
        <f t="shared" si="188"/>
        <v>145.0283378746594</v>
      </c>
      <c r="D61" s="2420">
        <f t="shared" si="166"/>
        <v>145.0283378746594</v>
      </c>
      <c r="E61" s="2420">
        <f t="shared" si="189"/>
        <v>204.95180722891567</v>
      </c>
      <c r="F61" s="2420">
        <f t="shared" si="189"/>
        <v>125.95920303605313</v>
      </c>
      <c r="G61" s="3403">
        <v>2007</v>
      </c>
      <c r="H61" s="2421">
        <v>1</v>
      </c>
      <c r="I61" s="2421">
        <v>3.58</v>
      </c>
      <c r="J61" s="2421">
        <v>3.08</v>
      </c>
      <c r="K61" s="2421">
        <v>4.34</v>
      </c>
      <c r="L61" s="2427">
        <v>3.21</v>
      </c>
      <c r="N61" s="2484">
        <f t="shared" si="186"/>
        <v>3.0497710174814063E-2</v>
      </c>
      <c r="O61" s="2485">
        <f t="shared" si="186"/>
        <v>2.8569772160704998E-2</v>
      </c>
      <c r="P61" s="2485">
        <f t="shared" si="187"/>
        <v>5.1034908866234296E-2</v>
      </c>
      <c r="Q61" s="2485">
        <f t="shared" si="187"/>
        <v>3.245248390207478E-2</v>
      </c>
      <c r="R61" s="2423"/>
      <c r="S61" s="2438">
        <f>B61/B62-1</f>
        <v>3.0497710174814063E-2</v>
      </c>
      <c r="T61" s="2439">
        <f>C61/C62-1</f>
        <v>2.8569772160704998E-2</v>
      </c>
      <c r="U61" s="2439">
        <f>E61/E62-1</f>
        <v>5.1034908866234296E-2</v>
      </c>
      <c r="V61" s="2439">
        <f>F61/F62-1</f>
        <v>3.245248390207478E-2</v>
      </c>
      <c r="X61" s="2483"/>
      <c r="Y61" s="2483"/>
      <c r="Z61" s="2483"/>
    </row>
    <row r="62" spans="1:26" ht="13.5" thickBot="1">
      <c r="A62" s="2419" t="s">
        <v>1158</v>
      </c>
      <c r="B62" s="2448">
        <v>159</v>
      </c>
      <c r="C62" s="2448">
        <v>141</v>
      </c>
      <c r="D62" s="2448">
        <f t="shared" si="166"/>
        <v>141</v>
      </c>
      <c r="E62" s="2448">
        <v>195</v>
      </c>
      <c r="F62" s="2449">
        <v>122</v>
      </c>
      <c r="G62" s="3401">
        <v>2006</v>
      </c>
      <c r="H62" s="2440">
        <v>4</v>
      </c>
      <c r="I62" s="2440">
        <v>3.79</v>
      </c>
      <c r="J62" s="2440">
        <v>2.21</v>
      </c>
      <c r="K62" s="2440">
        <v>5.65</v>
      </c>
      <c r="L62" s="2441">
        <v>5.41</v>
      </c>
      <c r="N62" s="2481">
        <f t="shared" ref="N62:O65" si="190">I62/SUM(I$62:I$65)*(B$62/B$66-1)</f>
        <v>7.245466462748526E-2</v>
      </c>
      <c r="O62" s="2482">
        <f t="shared" si="190"/>
        <v>2.3237230038062766E-2</v>
      </c>
      <c r="P62" s="2482">
        <f t="shared" ref="P62:Q65" si="191">K62/SUM(K$62:K$65)*(E$62/E$66-1)</f>
        <v>0.16146893866323722</v>
      </c>
      <c r="Q62" s="2482">
        <f t="shared" si="191"/>
        <v>5.0755230321793784E-2</v>
      </c>
      <c r="R62" s="2423"/>
      <c r="S62" s="2436"/>
      <c r="T62" s="2437"/>
      <c r="U62" s="2437"/>
      <c r="V62" s="2437"/>
      <c r="X62" s="2483"/>
      <c r="Y62" s="2483"/>
      <c r="Z62" s="2483"/>
    </row>
    <row r="63" spans="1:26">
      <c r="A63" s="2419" t="s">
        <v>1159</v>
      </c>
      <c r="B63" s="2420">
        <f t="shared" ref="B63:C65" si="192">B64+(B$62-B$66)*I63/SUM(I$62:I$65)</f>
        <v>149.00125628140702</v>
      </c>
      <c r="C63" s="2420">
        <f t="shared" si="192"/>
        <v>137.95592286501378</v>
      </c>
      <c r="D63" s="2420">
        <f t="shared" si="166"/>
        <v>137.95592286501378</v>
      </c>
      <c r="E63" s="2420">
        <f t="shared" ref="E63:F65" si="193">E64+(E$62-E$66)*K63/SUM(K$62:K$65)</f>
        <v>169.97231450719823</v>
      </c>
      <c r="F63" s="2420">
        <f t="shared" si="193"/>
        <v>116.21390374331551</v>
      </c>
      <c r="G63" s="3402">
        <v>2006</v>
      </c>
      <c r="H63" s="2445">
        <v>3</v>
      </c>
      <c r="I63" s="2445">
        <v>0.92</v>
      </c>
      <c r="J63" s="2445">
        <v>1.08</v>
      </c>
      <c r="K63" s="2445">
        <v>0.73</v>
      </c>
      <c r="L63" s="2446">
        <v>1.08</v>
      </c>
      <c r="N63" s="2481">
        <f t="shared" si="190"/>
        <v>1.7587939698492462E-2</v>
      </c>
      <c r="O63" s="2482">
        <f t="shared" si="190"/>
        <v>1.1355750425840628E-2</v>
      </c>
      <c r="P63" s="2482">
        <f t="shared" si="191"/>
        <v>2.0862358446754544E-2</v>
      </c>
      <c r="Q63" s="2482">
        <f t="shared" si="191"/>
        <v>1.0132282578103011E-2</v>
      </c>
      <c r="R63" s="2423"/>
      <c r="S63" s="2422"/>
      <c r="T63" s="2407"/>
      <c r="U63" s="2407"/>
      <c r="V63" s="2407"/>
      <c r="X63" s="2483"/>
      <c r="Y63" s="2483"/>
      <c r="Z63" s="2483"/>
    </row>
    <row r="64" spans="1:26">
      <c r="A64" s="2419" t="s">
        <v>1160</v>
      </c>
      <c r="B64" s="2420">
        <f t="shared" si="192"/>
        <v>146.57412060301507</v>
      </c>
      <c r="C64" s="2420">
        <f t="shared" si="192"/>
        <v>136.46831955922866</v>
      </c>
      <c r="D64" s="2420">
        <f t="shared" si="166"/>
        <v>136.46831955922866</v>
      </c>
      <c r="E64" s="2420">
        <f t="shared" si="193"/>
        <v>166.73864894795128</v>
      </c>
      <c r="F64" s="2420">
        <f t="shared" si="193"/>
        <v>115.05882352941177</v>
      </c>
      <c r="G64" s="3402">
        <v>2006</v>
      </c>
      <c r="H64" s="2432">
        <v>2</v>
      </c>
      <c r="I64" s="2432">
        <v>0.96</v>
      </c>
      <c r="J64" s="2432">
        <v>0.25</v>
      </c>
      <c r="K64" s="2432">
        <v>1.9</v>
      </c>
      <c r="L64" s="2433">
        <v>0.95</v>
      </c>
      <c r="N64" s="2481">
        <f t="shared" si="190"/>
        <v>1.8352632728861701E-2</v>
      </c>
      <c r="O64" s="2482">
        <f t="shared" si="190"/>
        <v>2.6286459319075526E-3</v>
      </c>
      <c r="P64" s="2482">
        <f t="shared" si="191"/>
        <v>5.4299289107991269E-2</v>
      </c>
      <c r="Q64" s="2482">
        <f t="shared" si="191"/>
        <v>8.9126559714794995E-3</v>
      </c>
      <c r="R64" s="2423"/>
      <c r="S64" s="2422"/>
      <c r="T64" s="2407"/>
      <c r="U64" s="2407"/>
      <c r="V64" s="2407"/>
      <c r="X64" s="2483"/>
      <c r="Y64" s="2483"/>
      <c r="Z64" s="2483"/>
    </row>
    <row r="65" spans="1:26">
      <c r="A65" s="2419" t="s">
        <v>1161</v>
      </c>
      <c r="B65" s="2420">
        <f t="shared" si="192"/>
        <v>144.04145728643215</v>
      </c>
      <c r="C65" s="2420">
        <f t="shared" si="192"/>
        <v>136.12396694214877</v>
      </c>
      <c r="D65" s="2420">
        <f t="shared" si="166"/>
        <v>136.12396694214877</v>
      </c>
      <c r="E65" s="2420">
        <f t="shared" si="193"/>
        <v>158.32225913621264</v>
      </c>
      <c r="F65" s="2420">
        <f t="shared" si="193"/>
        <v>114.04278074866311</v>
      </c>
      <c r="G65" s="3403">
        <v>2006</v>
      </c>
      <c r="H65" s="2421">
        <v>1</v>
      </c>
      <c r="I65" s="2421">
        <v>2.29</v>
      </c>
      <c r="J65" s="2421">
        <v>3.72</v>
      </c>
      <c r="K65" s="2421">
        <v>0.75</v>
      </c>
      <c r="L65" s="2427">
        <v>0.04</v>
      </c>
      <c r="N65" s="2484">
        <f t="shared" si="190"/>
        <v>4.3778675988638847E-2</v>
      </c>
      <c r="O65" s="2485">
        <f t="shared" si="190"/>
        <v>3.9114251466784385E-2</v>
      </c>
      <c r="P65" s="2485">
        <f t="shared" si="191"/>
        <v>2.1433929911049188E-2</v>
      </c>
      <c r="Q65" s="2485">
        <f t="shared" si="191"/>
        <v>3.7526972511492629E-4</v>
      </c>
      <c r="R65" s="2423"/>
      <c r="S65" s="2438">
        <f>B65/B66-1</f>
        <v>4.3778675988638716E-2</v>
      </c>
      <c r="T65" s="2439">
        <f>C65/C66-1</f>
        <v>3.91142514667846E-2</v>
      </c>
      <c r="U65" s="2439">
        <f>E65/E66-1</f>
        <v>2.143392991104931E-2</v>
      </c>
      <c r="V65" s="2439">
        <f>F65/F66-1</f>
        <v>3.7526972511492396E-4</v>
      </c>
      <c r="X65" s="2483"/>
      <c r="Y65" s="2483"/>
      <c r="Z65" s="2483"/>
    </row>
    <row r="66" spans="1:26" ht="13.5" thickBot="1">
      <c r="A66" s="2419" t="s">
        <v>1162</v>
      </c>
      <c r="B66" s="2448">
        <v>138</v>
      </c>
      <c r="C66" s="2448">
        <v>131</v>
      </c>
      <c r="D66" s="2448">
        <f t="shared" si="166"/>
        <v>131</v>
      </c>
      <c r="E66" s="2448">
        <v>155</v>
      </c>
      <c r="F66" s="2449">
        <v>114</v>
      </c>
      <c r="G66" s="3401">
        <v>2005</v>
      </c>
      <c r="H66" s="2440">
        <v>4</v>
      </c>
      <c r="I66" s="2440">
        <v>3.29</v>
      </c>
      <c r="J66" s="2440">
        <v>1.44</v>
      </c>
      <c r="K66" s="2440">
        <v>0.66</v>
      </c>
      <c r="L66" s="2441">
        <v>7.78</v>
      </c>
      <c r="N66" s="2481">
        <f t="shared" ref="N66:O69" si="194">I66/SUM(I$66:I$69)*(B$66/B$70-1)</f>
        <v>9.9404603216919935E-2</v>
      </c>
      <c r="O66" s="2482">
        <f t="shared" si="194"/>
        <v>4.7636550760861554E-2</v>
      </c>
      <c r="P66" s="2482">
        <f t="shared" ref="P66:Q69" si="195">K66/SUM(K$66:K$69)*(E$66/E$70-1)</f>
        <v>8.3756345177664976E-2</v>
      </c>
      <c r="Q66" s="2482">
        <f t="shared" si="195"/>
        <v>5.2148766661559584E-2</v>
      </c>
      <c r="R66" s="2423"/>
      <c r="S66" s="2436"/>
      <c r="T66" s="2437"/>
      <c r="U66" s="2437"/>
      <c r="V66" s="2437"/>
      <c r="X66" s="2483"/>
      <c r="Y66" s="2483"/>
      <c r="Z66" s="2483"/>
    </row>
    <row r="67" spans="1:26">
      <c r="A67" s="2419" t="s">
        <v>1163</v>
      </c>
      <c r="B67" s="2420">
        <f t="shared" ref="B67:C69" si="196">B68+(B$66-B$70)*I67/SUM(I$66:I$69)</f>
        <v>125.9720430107527</v>
      </c>
      <c r="C67" s="2420">
        <f t="shared" si="196"/>
        <v>125.1883408071749</v>
      </c>
      <c r="D67" s="2420">
        <f t="shared" si="166"/>
        <v>125.1883408071749</v>
      </c>
      <c r="E67" s="2420">
        <f t="shared" ref="E67:F69" si="197">E68+(E$66-E$70)*K67/SUM(K$66:K$69)</f>
        <v>144.61421319796952</v>
      </c>
      <c r="F67" s="2420">
        <f t="shared" si="197"/>
        <v>108.42008196721311</v>
      </c>
      <c r="G67" s="3402">
        <v>2005</v>
      </c>
      <c r="H67" s="2445">
        <v>3</v>
      </c>
      <c r="I67" s="2445">
        <v>0.46</v>
      </c>
      <c r="J67" s="2445">
        <v>0.32</v>
      </c>
      <c r="K67" s="2445">
        <v>0.42</v>
      </c>
      <c r="L67" s="2446">
        <v>0.64</v>
      </c>
      <c r="N67" s="2481">
        <f t="shared" si="194"/>
        <v>1.3898515951301874E-2</v>
      </c>
      <c r="O67" s="2482">
        <f t="shared" si="194"/>
        <v>1.0585900169080346E-2</v>
      </c>
      <c r="P67" s="2482">
        <f t="shared" si="195"/>
        <v>5.3299492385786795E-2</v>
      </c>
      <c r="Q67" s="2482">
        <f t="shared" si="195"/>
        <v>4.2898728359123568E-3</v>
      </c>
      <c r="R67" s="2423"/>
      <c r="S67" s="2422"/>
      <c r="T67" s="2407"/>
      <c r="U67" s="2407"/>
      <c r="V67" s="2407"/>
      <c r="X67" s="2483"/>
      <c r="Y67" s="2483"/>
      <c r="Z67" s="2483"/>
    </row>
    <row r="68" spans="1:26">
      <c r="A68" s="2419" t="s">
        <v>1164</v>
      </c>
      <c r="B68" s="2420">
        <f t="shared" si="196"/>
        <v>124.29032258064517</v>
      </c>
      <c r="C68" s="2420">
        <f t="shared" si="196"/>
        <v>123.8968609865471</v>
      </c>
      <c r="D68" s="2420">
        <f t="shared" si="166"/>
        <v>123.8968609865471</v>
      </c>
      <c r="E68" s="2420">
        <f t="shared" si="197"/>
        <v>138.00507614213197</v>
      </c>
      <c r="F68" s="2420">
        <f t="shared" si="197"/>
        <v>107.96106557377048</v>
      </c>
      <c r="G68" s="3402">
        <v>2005</v>
      </c>
      <c r="H68" s="2432">
        <v>2</v>
      </c>
      <c r="I68" s="2432">
        <v>0.47</v>
      </c>
      <c r="J68" s="2432">
        <v>0.1</v>
      </c>
      <c r="K68" s="2432">
        <v>0.52</v>
      </c>
      <c r="L68" s="2433">
        <v>0.79</v>
      </c>
      <c r="N68" s="2481">
        <f t="shared" si="194"/>
        <v>1.420065760241713E-2</v>
      </c>
      <c r="O68" s="2482">
        <f t="shared" si="194"/>
        <v>3.3080938028376083E-3</v>
      </c>
      <c r="P68" s="2482">
        <f t="shared" si="195"/>
        <v>6.598984771573603E-2</v>
      </c>
      <c r="Q68" s="2482">
        <f t="shared" si="195"/>
        <v>5.2953117818293153E-3</v>
      </c>
      <c r="R68" s="2423"/>
      <c r="S68" s="2422"/>
      <c r="T68" s="2407"/>
      <c r="U68" s="2407"/>
      <c r="V68" s="2407"/>
      <c r="X68" s="2483"/>
      <c r="Y68" s="2483"/>
      <c r="Z68" s="2483"/>
    </row>
    <row r="69" spans="1:26">
      <c r="A69" s="2419" t="s">
        <v>1165</v>
      </c>
      <c r="B69" s="2420">
        <f t="shared" si="196"/>
        <v>122.57204301075269</v>
      </c>
      <c r="C69" s="2420">
        <f t="shared" si="196"/>
        <v>123.4932735426009</v>
      </c>
      <c r="D69" s="2420">
        <f t="shared" si="166"/>
        <v>123.4932735426009</v>
      </c>
      <c r="E69" s="2420">
        <f t="shared" si="197"/>
        <v>129.82233502538071</v>
      </c>
      <c r="F69" s="2420">
        <f t="shared" si="197"/>
        <v>107.39446721311475</v>
      </c>
      <c r="G69" s="3403">
        <v>2005</v>
      </c>
      <c r="H69" s="2421">
        <v>1</v>
      </c>
      <c r="I69" s="2421">
        <v>0.43</v>
      </c>
      <c r="J69" s="2421">
        <v>0.37</v>
      </c>
      <c r="K69" s="2421">
        <v>0.37</v>
      </c>
      <c r="L69" s="2427">
        <v>0.55000000000000004</v>
      </c>
      <c r="N69" s="2484">
        <f t="shared" si="194"/>
        <v>1.2992090997956099E-2</v>
      </c>
      <c r="O69" s="2485">
        <f t="shared" si="194"/>
        <v>1.2239947070499151E-2</v>
      </c>
      <c r="P69" s="2485">
        <f t="shared" si="195"/>
        <v>4.6954314720812178E-2</v>
      </c>
      <c r="Q69" s="2485">
        <f t="shared" si="195"/>
        <v>3.6866094683621815E-3</v>
      </c>
      <c r="R69" s="2423"/>
      <c r="S69" s="2438">
        <f>B69/B70-1</f>
        <v>1.2992090997956174E-2</v>
      </c>
      <c r="T69" s="2439">
        <f>C69/C70-1</f>
        <v>1.2239947070499246E-2</v>
      </c>
      <c r="U69" s="2439">
        <f>E69/E70-1</f>
        <v>4.695431472081224E-2</v>
      </c>
      <c r="V69" s="2439">
        <f>F69/F70-1</f>
        <v>3.6866094683620787E-3</v>
      </c>
      <c r="X69" s="2483"/>
      <c r="Y69" s="2483"/>
      <c r="Z69" s="2483"/>
    </row>
    <row r="70" spans="1:26" ht="13.5" thickBot="1">
      <c r="A70" s="2419" t="s">
        <v>1166</v>
      </c>
      <c r="B70" s="2469">
        <v>121</v>
      </c>
      <c r="C70" s="2469">
        <v>122</v>
      </c>
      <c r="D70" s="2469">
        <f t="shared" si="166"/>
        <v>122</v>
      </c>
      <c r="E70" s="2469">
        <v>124</v>
      </c>
      <c r="F70" s="2470">
        <v>107</v>
      </c>
      <c r="G70" s="3401">
        <v>2004</v>
      </c>
      <c r="H70" s="2440">
        <v>4</v>
      </c>
      <c r="I70" s="2440">
        <v>0.33</v>
      </c>
      <c r="J70" s="2440">
        <v>0.5</v>
      </c>
      <c r="K70" s="2440">
        <v>0.5</v>
      </c>
      <c r="L70" s="2441">
        <v>0</v>
      </c>
      <c r="N70" s="2481">
        <f t="shared" ref="N70:O73" si="198">I70/SUM(I$70:I$73)*(B$70/B$74-1)</f>
        <v>1.3391770148526898E-2</v>
      </c>
      <c r="O70" s="2482">
        <f t="shared" si="198"/>
        <v>1.063264221158958E-2</v>
      </c>
      <c r="P70" s="2482">
        <f t="shared" ref="P70:Q73" si="199">K70/SUM(K$70:K$73)*(E$70/E$74-1)</f>
        <v>2.2244466688911134E-2</v>
      </c>
      <c r="Q70" s="2482">
        <f t="shared" si="199"/>
        <v>0</v>
      </c>
      <c r="R70" s="2423"/>
      <c r="S70" s="2436"/>
      <c r="T70" s="2437"/>
      <c r="U70" s="2437"/>
      <c r="V70" s="2437"/>
      <c r="X70" s="2483"/>
      <c r="Y70" s="2483"/>
      <c r="Z70" s="2483"/>
    </row>
    <row r="71" spans="1:26">
      <c r="A71" s="2419" t="s">
        <v>1167</v>
      </c>
      <c r="B71" s="2420">
        <f t="shared" ref="B71:C73" si="200">B72+(B$70-B$74)*I71/SUM(I$70:I$73)</f>
        <v>119.51351351351352</v>
      </c>
      <c r="C71" s="2420">
        <f t="shared" si="200"/>
        <v>120.7878787878788</v>
      </c>
      <c r="D71" s="2420">
        <f t="shared" si="166"/>
        <v>120.7878787878788</v>
      </c>
      <c r="E71" s="2420">
        <f t="shared" ref="E71:F73" si="201">E72+(E$70-E$74)*K71/SUM(K$70:K$73)</f>
        <v>121.5975975975976</v>
      </c>
      <c r="F71" s="2420">
        <f t="shared" si="201"/>
        <v>107</v>
      </c>
      <c r="G71" s="3402">
        <v>2004</v>
      </c>
      <c r="H71" s="2445">
        <v>3</v>
      </c>
      <c r="I71" s="2445">
        <v>0.56000000000000005</v>
      </c>
      <c r="J71" s="2445">
        <v>0.8</v>
      </c>
      <c r="K71" s="2445">
        <v>0.83</v>
      </c>
      <c r="L71" s="2446">
        <v>0.06</v>
      </c>
      <c r="N71" s="2481">
        <f t="shared" si="198"/>
        <v>2.2725428130833527E-2</v>
      </c>
      <c r="O71" s="2482">
        <f t="shared" si="198"/>
        <v>1.7012227538543329E-2</v>
      </c>
      <c r="P71" s="2482">
        <f t="shared" si="199"/>
        <v>3.6925814703592477E-2</v>
      </c>
      <c r="Q71" s="2482">
        <f t="shared" si="199"/>
        <v>2.8846153846153744E-2</v>
      </c>
      <c r="R71" s="2423"/>
      <c r="S71" s="2422"/>
      <c r="T71" s="2407"/>
      <c r="U71" s="2407"/>
      <c r="V71" s="2407"/>
      <c r="X71" s="2483"/>
      <c r="Y71" s="2483"/>
      <c r="Z71" s="2483"/>
    </row>
    <row r="72" spans="1:26">
      <c r="A72" s="2419" t="s">
        <v>1168</v>
      </c>
      <c r="B72" s="2420">
        <f t="shared" si="200"/>
        <v>116.99099099099099</v>
      </c>
      <c r="C72" s="2420">
        <f t="shared" si="200"/>
        <v>118.84848484848486</v>
      </c>
      <c r="D72" s="2420">
        <f t="shared" si="166"/>
        <v>118.84848484848486</v>
      </c>
      <c r="E72" s="2420">
        <f t="shared" si="201"/>
        <v>117.60960960960961</v>
      </c>
      <c r="F72" s="2420">
        <f t="shared" si="201"/>
        <v>104</v>
      </c>
      <c r="G72" s="3402">
        <v>2004</v>
      </c>
      <c r="H72" s="2432">
        <v>2</v>
      </c>
      <c r="I72" s="2432">
        <v>1</v>
      </c>
      <c r="J72" s="2432">
        <v>1.5</v>
      </c>
      <c r="K72" s="2432">
        <v>1.5</v>
      </c>
      <c r="L72" s="2433">
        <v>0</v>
      </c>
      <c r="N72" s="2481">
        <f t="shared" si="198"/>
        <v>4.0581121662202721E-2</v>
      </c>
      <c r="O72" s="2482">
        <f t="shared" si="198"/>
        <v>3.1897926634768738E-2</v>
      </c>
      <c r="P72" s="2482">
        <f t="shared" si="199"/>
        <v>6.6733400066733395E-2</v>
      </c>
      <c r="Q72" s="2482">
        <f t="shared" si="199"/>
        <v>0</v>
      </c>
      <c r="R72" s="2423"/>
      <c r="S72" s="2422"/>
      <c r="T72" s="2407"/>
      <c r="U72" s="2407"/>
      <c r="V72" s="2407"/>
      <c r="X72" s="2483"/>
      <c r="Y72" s="2483"/>
      <c r="Z72" s="2483"/>
    </row>
    <row r="73" spans="1:26" s="2475" customFormat="1" ht="13.5" thickBot="1">
      <c r="A73" s="2419" t="s">
        <v>1169</v>
      </c>
      <c r="B73" s="2472">
        <f t="shared" si="200"/>
        <v>112.48648648648648</v>
      </c>
      <c r="C73" s="2472">
        <f t="shared" si="200"/>
        <v>115.21212121212122</v>
      </c>
      <c r="D73" s="2472">
        <f t="shared" si="166"/>
        <v>115.21212121212122</v>
      </c>
      <c r="E73" s="2472">
        <f t="shared" si="201"/>
        <v>110.4024024024024</v>
      </c>
      <c r="F73" s="2472">
        <f t="shared" si="201"/>
        <v>104</v>
      </c>
      <c r="G73" s="3403">
        <v>2004</v>
      </c>
      <c r="H73" s="2473">
        <v>1</v>
      </c>
      <c r="I73" s="2473">
        <v>0.33</v>
      </c>
      <c r="J73" s="2473">
        <v>0.5</v>
      </c>
      <c r="K73" s="2473">
        <v>0.5</v>
      </c>
      <c r="L73" s="2474">
        <v>0</v>
      </c>
      <c r="N73" s="2486">
        <f t="shared" si="198"/>
        <v>1.3391770148526898E-2</v>
      </c>
      <c r="O73" s="2487">
        <f t="shared" si="198"/>
        <v>1.063264221158958E-2</v>
      </c>
      <c r="P73" s="2487">
        <f t="shared" si="199"/>
        <v>2.2244466688911134E-2</v>
      </c>
      <c r="Q73" s="2487">
        <f t="shared" si="199"/>
        <v>0</v>
      </c>
      <c r="R73" s="2478"/>
      <c r="S73" s="2476">
        <f>B73/B74-1</f>
        <v>1.3391770148526883E-2</v>
      </c>
      <c r="T73" s="2477">
        <f>C73/C74-1</f>
        <v>1.063264221158966E-2</v>
      </c>
      <c r="U73" s="2477">
        <f>E73/E74-1</f>
        <v>2.2244466688911224E-2</v>
      </c>
      <c r="V73" s="2477">
        <f>F73/F74-1</f>
        <v>0</v>
      </c>
      <c r="X73" s="2488"/>
      <c r="Y73" s="2488"/>
      <c r="Z73" s="2488"/>
    </row>
    <row r="74" spans="1:26" ht="13.5" thickBot="1">
      <c r="A74" s="2419" t="s">
        <v>1170</v>
      </c>
      <c r="B74" s="2489">
        <v>111</v>
      </c>
      <c r="C74" s="2489">
        <v>114</v>
      </c>
      <c r="D74" s="2489">
        <f t="shared" si="166"/>
        <v>114</v>
      </c>
      <c r="E74" s="2489">
        <v>108</v>
      </c>
      <c r="F74" s="2490">
        <v>104</v>
      </c>
      <c r="G74" s="3401">
        <v>2003</v>
      </c>
      <c r="H74" s="2479">
        <v>4</v>
      </c>
      <c r="I74" s="2491"/>
      <c r="J74" s="2491"/>
      <c r="K74" s="2491"/>
      <c r="L74" s="2491"/>
      <c r="N74" s="2492"/>
      <c r="O74" s="2491"/>
      <c r="P74" s="2491"/>
      <c r="Q74" s="2491"/>
      <c r="S74" s="2492"/>
      <c r="T74" s="2491"/>
      <c r="U74" s="2491"/>
      <c r="V74" s="2491"/>
      <c r="X74" s="2483"/>
      <c r="Y74" s="2483"/>
      <c r="Z74" s="2483"/>
    </row>
    <row r="75" spans="1:26">
      <c r="A75" s="2419" t="s">
        <v>1171</v>
      </c>
      <c r="B75" s="2493">
        <f t="shared" ref="B75:C77" si="202">B76+(B$74-B$78)/4</f>
        <v>109.75</v>
      </c>
      <c r="C75" s="2493">
        <f t="shared" si="202"/>
        <v>112.25</v>
      </c>
      <c r="D75" s="2493">
        <f t="shared" si="166"/>
        <v>112.25</v>
      </c>
      <c r="E75" s="2493">
        <f t="shared" ref="E75:F77" si="203">E76+(E$74-E$78)/4</f>
        <v>107.25</v>
      </c>
      <c r="F75" s="2493">
        <f t="shared" si="203"/>
        <v>103.5</v>
      </c>
      <c r="G75" s="3402">
        <v>2003</v>
      </c>
      <c r="H75" s="2445">
        <v>3</v>
      </c>
      <c r="I75" s="2491"/>
      <c r="J75" s="2491"/>
      <c r="K75" s="2491"/>
      <c r="L75" s="2491"/>
      <c r="X75" s="2483"/>
      <c r="Y75" s="2483"/>
      <c r="Z75" s="2483"/>
    </row>
    <row r="76" spans="1:26">
      <c r="A76" s="2419" t="s">
        <v>1172</v>
      </c>
      <c r="B76" s="2493">
        <f t="shared" si="202"/>
        <v>108.5</v>
      </c>
      <c r="C76" s="2493">
        <f t="shared" si="202"/>
        <v>110.5</v>
      </c>
      <c r="D76" s="2493">
        <f t="shared" si="166"/>
        <v>110.5</v>
      </c>
      <c r="E76" s="2493">
        <f t="shared" si="203"/>
        <v>106.5</v>
      </c>
      <c r="F76" s="2493">
        <f t="shared" si="203"/>
        <v>103</v>
      </c>
      <c r="G76" s="3402">
        <v>2003</v>
      </c>
      <c r="H76" s="2432">
        <v>2</v>
      </c>
      <c r="I76" s="2491"/>
      <c r="J76" s="2491"/>
      <c r="K76" s="2491"/>
      <c r="L76" s="2491"/>
      <c r="X76" s="2483"/>
      <c r="Y76" s="2483"/>
      <c r="Z76" s="2483"/>
    </row>
    <row r="77" spans="1:26" ht="13.5" thickBot="1">
      <c r="A77" s="2419" t="s">
        <v>1173</v>
      </c>
      <c r="B77" s="2493">
        <f t="shared" si="202"/>
        <v>107.25</v>
      </c>
      <c r="C77" s="2493">
        <f t="shared" si="202"/>
        <v>108.75</v>
      </c>
      <c r="D77" s="2493">
        <f t="shared" si="166"/>
        <v>108.75</v>
      </c>
      <c r="E77" s="2493">
        <f t="shared" si="203"/>
        <v>105.75</v>
      </c>
      <c r="F77" s="2493">
        <f t="shared" si="203"/>
        <v>102.5</v>
      </c>
      <c r="G77" s="3403">
        <v>2003</v>
      </c>
      <c r="H77" s="2494">
        <v>1</v>
      </c>
      <c r="I77" s="2491"/>
      <c r="J77" s="2491"/>
      <c r="K77" s="2491"/>
      <c r="L77" s="2491"/>
      <c r="S77" s="2422"/>
      <c r="T77" s="2407"/>
      <c r="U77" s="2407"/>
      <c r="X77" s="2483"/>
      <c r="Y77" s="2483"/>
      <c r="Z77" s="2483"/>
    </row>
    <row r="78" spans="1:26" ht="13.5" thickBot="1">
      <c r="A78" s="2419" t="s">
        <v>1174</v>
      </c>
      <c r="B78" s="2495">
        <v>106</v>
      </c>
      <c r="C78" s="2495">
        <v>107</v>
      </c>
      <c r="D78" s="2495">
        <f t="shared" si="166"/>
        <v>107</v>
      </c>
      <c r="E78" s="2495">
        <v>105</v>
      </c>
      <c r="F78" s="2496">
        <v>102</v>
      </c>
      <c r="G78" s="3401">
        <v>2002</v>
      </c>
      <c r="H78" s="2440">
        <v>4</v>
      </c>
      <c r="I78" s="2491"/>
      <c r="J78" s="2491"/>
      <c r="K78" s="2491"/>
      <c r="L78" s="2491"/>
      <c r="N78" s="2492"/>
      <c r="O78" s="2491"/>
      <c r="P78" s="2491"/>
      <c r="Q78" s="2491"/>
      <c r="S78" s="2492"/>
      <c r="T78" s="2491"/>
      <c r="U78" s="2491"/>
      <c r="V78" s="2491"/>
      <c r="X78" s="2483"/>
      <c r="Y78" s="2483"/>
      <c r="Z78" s="2483"/>
    </row>
    <row r="79" spans="1:26">
      <c r="A79" s="2419" t="s">
        <v>1175</v>
      </c>
      <c r="B79" s="2493">
        <f t="shared" ref="B79:C81" si="204">B80+(B$78-B$82)/4</f>
        <v>105</v>
      </c>
      <c r="C79" s="2493">
        <f t="shared" si="204"/>
        <v>106</v>
      </c>
      <c r="D79" s="2493">
        <f t="shared" si="166"/>
        <v>106</v>
      </c>
      <c r="E79" s="2493">
        <f t="shared" ref="E79:F81" si="205">E80+(E$78-E$82)/4</f>
        <v>104.5</v>
      </c>
      <c r="F79" s="2493">
        <f t="shared" si="205"/>
        <v>101.5</v>
      </c>
      <c r="G79" s="3402">
        <v>2002</v>
      </c>
      <c r="H79" s="2445">
        <v>3</v>
      </c>
      <c r="I79" s="2491"/>
      <c r="J79" s="2491"/>
      <c r="K79" s="2491"/>
      <c r="L79" s="2491"/>
      <c r="X79" s="2483"/>
      <c r="Y79" s="2483"/>
      <c r="Z79" s="2483"/>
    </row>
    <row r="80" spans="1:26">
      <c r="A80" s="2419" t="s">
        <v>1176</v>
      </c>
      <c r="B80" s="2493">
        <f t="shared" si="204"/>
        <v>104</v>
      </c>
      <c r="C80" s="2493">
        <f t="shared" si="204"/>
        <v>105</v>
      </c>
      <c r="D80" s="2493">
        <f t="shared" si="166"/>
        <v>105</v>
      </c>
      <c r="E80" s="2493">
        <f t="shared" si="205"/>
        <v>104</v>
      </c>
      <c r="F80" s="2493">
        <f t="shared" si="205"/>
        <v>101</v>
      </c>
      <c r="G80" s="3402">
        <v>2002</v>
      </c>
      <c r="H80" s="2432">
        <v>2</v>
      </c>
      <c r="I80" s="2491"/>
      <c r="J80" s="2491"/>
      <c r="K80" s="2491"/>
      <c r="L80" s="2491"/>
      <c r="X80" s="2483"/>
      <c r="Y80" s="2483"/>
      <c r="Z80" s="2483"/>
    </row>
    <row r="81" spans="1:26" s="2456" customFormat="1" ht="13.5" thickBot="1">
      <c r="A81" s="2452" t="s">
        <v>1177</v>
      </c>
      <c r="B81" s="2459">
        <f t="shared" si="204"/>
        <v>103</v>
      </c>
      <c r="C81" s="2459">
        <f t="shared" si="204"/>
        <v>104</v>
      </c>
      <c r="D81" s="2459">
        <f t="shared" si="166"/>
        <v>104</v>
      </c>
      <c r="E81" s="2459">
        <f t="shared" si="205"/>
        <v>103.5</v>
      </c>
      <c r="F81" s="2459">
        <f t="shared" si="205"/>
        <v>100.5</v>
      </c>
      <c r="G81" s="3403">
        <v>2002</v>
      </c>
      <c r="H81" s="2497">
        <v>1</v>
      </c>
      <c r="I81" s="2498"/>
      <c r="J81" s="2498"/>
      <c r="K81" s="2498"/>
      <c r="L81" s="2498"/>
      <c r="N81" s="2499"/>
      <c r="S81" s="2499"/>
      <c r="X81" s="2500"/>
      <c r="Y81" s="2500"/>
      <c r="Z81" s="2500"/>
    </row>
    <row r="82" spans="1:26" ht="13.5" thickBot="1">
      <c r="B82" s="2501">
        <v>102</v>
      </c>
      <c r="C82" s="2502">
        <v>103</v>
      </c>
      <c r="D82" s="2502">
        <f t="shared" si="166"/>
        <v>103</v>
      </c>
      <c r="E82" s="2502">
        <v>103</v>
      </c>
      <c r="F82" s="2503">
        <v>100</v>
      </c>
      <c r="I82" s="2491"/>
      <c r="J82" s="2491"/>
      <c r="K82" s="2491"/>
      <c r="L82" s="2491"/>
      <c r="N82" s="2492"/>
      <c r="O82" s="2491"/>
      <c r="P82" s="2491"/>
      <c r="Q82" s="2491"/>
      <c r="S82" s="2492"/>
      <c r="T82" s="2491"/>
      <c r="U82" s="2491"/>
      <c r="V82" s="2491"/>
      <c r="X82" s="2437"/>
      <c r="Y82" s="2437"/>
      <c r="Z82" s="2437"/>
    </row>
    <row r="84" spans="1:26" s="2505" customFormat="1">
      <c r="A84" s="2504" t="s">
        <v>1178</v>
      </c>
      <c r="G84" s="2506"/>
      <c r="N84" s="2506"/>
      <c r="S84" s="2506"/>
    </row>
    <row r="85" spans="1:26" s="2505" customFormat="1">
      <c r="A85" s="2505" t="s">
        <v>1179</v>
      </c>
      <c r="G85" s="2506"/>
      <c r="N85" s="2506"/>
      <c r="S85" s="2506"/>
    </row>
    <row r="86" spans="1:26" s="2505" customFormat="1">
      <c r="A86" s="2505" t="s">
        <v>1180</v>
      </c>
      <c r="G86" s="2506"/>
      <c r="I86" s="2507"/>
      <c r="J86" s="2507"/>
      <c r="K86" s="2507"/>
      <c r="L86" s="2507"/>
      <c r="N86" s="2508"/>
      <c r="O86" s="2507"/>
      <c r="P86" s="2507"/>
      <c r="Q86" s="2507"/>
      <c r="S86" s="2508"/>
      <c r="T86" s="2507"/>
      <c r="U86" s="2507"/>
      <c r="V86" s="2507"/>
    </row>
    <row r="87" spans="1:26" s="2505" customFormat="1">
      <c r="A87" s="2505" t="s">
        <v>1181</v>
      </c>
      <c r="G87" s="2506"/>
      <c r="N87" s="2506"/>
      <c r="S87" s="2506"/>
    </row>
    <row r="94" spans="1:26" ht="13.5" thickBot="1"/>
    <row r="95" spans="1:26">
      <c r="G95" s="2406"/>
      <c r="S95" s="2509" t="s">
        <v>1182</v>
      </c>
      <c r="T95" s="2510" t="s">
        <v>1183</v>
      </c>
      <c r="U95" s="2510" t="s">
        <v>1184</v>
      </c>
      <c r="V95" s="2510" t="s">
        <v>1185</v>
      </c>
    </row>
    <row r="96" spans="1:26">
      <c r="G96" s="2406"/>
      <c r="N96" s="2436"/>
      <c r="O96" s="2437"/>
      <c r="P96" s="2437"/>
      <c r="Q96" s="2437"/>
      <c r="S96" s="2511">
        <v>2006</v>
      </c>
      <c r="T96" s="2512">
        <v>15.1</v>
      </c>
      <c r="U96" s="2512">
        <v>7.43</v>
      </c>
      <c r="V96" s="2512">
        <v>26.26</v>
      </c>
    </row>
    <row r="97" spans="7:22">
      <c r="G97" s="2406"/>
      <c r="N97" s="2436"/>
      <c r="O97" s="2437"/>
      <c r="P97" s="2437"/>
      <c r="Q97" s="2437"/>
      <c r="S97" s="2513">
        <v>2005</v>
      </c>
      <c r="T97" s="2514">
        <v>13.9</v>
      </c>
      <c r="U97" s="2514">
        <v>7.49</v>
      </c>
      <c r="V97" s="2514">
        <v>24.92</v>
      </c>
    </row>
    <row r="98" spans="7:22">
      <c r="G98" s="2406"/>
      <c r="N98" s="2436"/>
      <c r="O98" s="2437"/>
      <c r="P98" s="2437"/>
      <c r="Q98" s="2437"/>
      <c r="S98" s="2511">
        <v>2004</v>
      </c>
      <c r="T98" s="2512">
        <v>9.48</v>
      </c>
      <c r="U98" s="2512">
        <v>7.2</v>
      </c>
      <c r="V98" s="2512">
        <v>14.68</v>
      </c>
    </row>
    <row r="99" spans="7:22">
      <c r="G99" s="2406"/>
      <c r="N99" s="2436"/>
      <c r="O99" s="2437"/>
      <c r="P99" s="2437"/>
      <c r="Q99" s="2437"/>
      <c r="S99" s="2513">
        <v>2003</v>
      </c>
      <c r="T99" s="2514">
        <v>4.5</v>
      </c>
      <c r="U99" s="2514">
        <v>6.12</v>
      </c>
      <c r="V99" s="2514">
        <v>2.34</v>
      </c>
    </row>
    <row r="100" spans="7:22" ht="13.5" thickBot="1">
      <c r="G100" s="2406"/>
      <c r="N100" s="2436"/>
      <c r="O100" s="2437"/>
      <c r="P100" s="2437"/>
      <c r="Q100" s="2437"/>
      <c r="S100" s="2515">
        <v>2002</v>
      </c>
      <c r="T100" s="2516">
        <v>3.59</v>
      </c>
      <c r="U100" s="2516">
        <v>4.54</v>
      </c>
      <c r="V100" s="2516">
        <v>2.5499999999999998</v>
      </c>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估价结果一览表（市场价值不需“结果表-1”）</v>
      </c>
      <c r="B3" s="3085"/>
      <c r="C3" s="3085"/>
      <c r="D3" s="3085"/>
      <c r="E3" s="3085"/>
    </row>
    <row r="4" spans="1:5" ht="19.5" thickBot="1">
      <c r="A4" s="1676"/>
      <c r="B4" s="3083" t="s">
        <v>1595</v>
      </c>
      <c r="C4" s="3083"/>
      <c r="D4" s="3083"/>
      <c r="E4" s="1676"/>
    </row>
    <row r="5" spans="1:5" ht="16.5" thickTop="1">
      <c r="A5" s="1674"/>
      <c r="B5" s="3081" t="s">
        <v>1587</v>
      </c>
      <c r="C5" s="1677" t="s">
        <v>1588</v>
      </c>
      <c r="D5" s="956">
        <f ca="1">结果表!H101</f>
        <v>85587</v>
      </c>
      <c r="E5" s="1674"/>
    </row>
    <row r="6" spans="1:5" ht="15.75">
      <c r="A6" s="1674"/>
      <c r="B6" s="3081"/>
      <c r="C6" s="1677" t="s">
        <v>1589</v>
      </c>
      <c r="D6" s="956" t="str">
        <f ca="1">NUMBERSTRING(INT(D5*10000),2)&amp;"元整"</f>
        <v>捌亿伍仟伍佰捌拾柒万元整</v>
      </c>
      <c r="E6" s="1674"/>
    </row>
    <row r="7" spans="1:5" ht="15.75">
      <c r="A7" s="1674"/>
      <c r="B7" s="3086"/>
      <c r="C7" s="1678" t="s">
        <v>1590</v>
      </c>
      <c r="D7" s="957">
        <f ca="1">结果表!H102</f>
        <v>8825</v>
      </c>
      <c r="E7" s="1674"/>
    </row>
    <row r="8" spans="1:5" ht="15.75">
      <c r="A8" s="1674"/>
      <c r="B8" s="3087" t="str">
        <f>结果表!E103</f>
        <v>2.估价师知悉的法定优先受偿款</v>
      </c>
      <c r="C8" s="1679" t="s">
        <v>1591</v>
      </c>
      <c r="D8" s="957">
        <f>结果表!H103</f>
        <v>0</v>
      </c>
      <c r="E8" s="1674"/>
    </row>
    <row r="9" spans="1:5" ht="15.75">
      <c r="A9" s="1674"/>
      <c r="B9" s="3089"/>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80" t="str">
        <f>结果表!E107</f>
        <v>3.房地产抵押价值</v>
      </c>
      <c r="C13" s="1682" t="s">
        <v>1588</v>
      </c>
      <c r="D13" s="959">
        <f ca="1">结果表!H107</f>
        <v>85587</v>
      </c>
      <c r="E13" s="1674"/>
    </row>
    <row r="14" spans="1:5" ht="15.75">
      <c r="A14" s="1674"/>
      <c r="B14" s="3081"/>
      <c r="C14" s="1677" t="s">
        <v>1589</v>
      </c>
      <c r="D14" s="956" t="str">
        <f ca="1">NUMBERSTRING(INT(D13*10000),2)&amp;"元整"</f>
        <v>捌亿伍仟伍佰捌拾柒万元整</v>
      </c>
      <c r="E14" s="1674"/>
    </row>
    <row r="15" spans="1:5" ht="15">
      <c r="A15" s="1674"/>
      <c r="B15" s="3086"/>
      <c r="C15" s="1678" t="s">
        <v>1599</v>
      </c>
      <c r="D15" s="965">
        <f ca="1">结果表!H108</f>
        <v>8825</v>
      </c>
      <c r="E15" s="1674"/>
    </row>
    <row r="16" spans="1:5" ht="15">
      <c r="A16" s="1674"/>
      <c r="B16" s="3087" t="str">
        <f>结果表!E109</f>
        <v>——</v>
      </c>
      <c r="C16" s="1682" t="s">
        <v>1600</v>
      </c>
      <c r="D16" s="1683" t="str">
        <f>结果表!H109</f>
        <v>——</v>
      </c>
      <c r="E16" s="1674"/>
    </row>
    <row r="17" spans="1:5" ht="15.75">
      <c r="A17" s="1674"/>
      <c r="B17" s="3088"/>
      <c r="C17" s="1677" t="s">
        <v>1601</v>
      </c>
      <c r="D17" s="956" t="e">
        <f>NUMBERSTRING(INT(D16*10000),2)&amp;"元整"</f>
        <v>#VALUE!</v>
      </c>
      <c r="E17" s="1674"/>
    </row>
    <row r="18" spans="1:5" ht="15">
      <c r="A18" s="1674"/>
      <c r="B18" s="3089"/>
      <c r="C18" s="1678" t="s">
        <v>1590</v>
      </c>
      <c r="D18" s="965" t="str">
        <f>结果表!H110</f>
        <v>——</v>
      </c>
      <c r="E18" s="1674"/>
    </row>
    <row r="19" spans="1:5" ht="15.75">
      <c r="A19" s="1674"/>
      <c r="B19" s="3080" t="str">
        <f>结果表!E111</f>
        <v>——</v>
      </c>
      <c r="C19" s="1682" t="s">
        <v>1588</v>
      </c>
      <c r="D19" s="957" t="str">
        <f>结果表!H111</f>
        <v>——</v>
      </c>
      <c r="E19" s="1674"/>
    </row>
    <row r="20" spans="1:5" ht="15.75">
      <c r="A20" s="1674"/>
      <c r="B20" s="3081"/>
      <c r="C20" s="1677" t="s">
        <v>1601</v>
      </c>
      <c r="D20" s="956" t="e">
        <f>NUMBERSTRING(INT(D19*10000),2)&amp;"元整"</f>
        <v>#VALUE!</v>
      </c>
      <c r="E20" s="1674"/>
    </row>
    <row r="21" spans="1:5" ht="15.75" thickBot="1">
      <c r="A21" s="1674"/>
      <c r="B21" s="3082"/>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2815</v>
      </c>
      <c r="C1" s="3413" t="s">
        <v>2816</v>
      </c>
      <c r="D1" s="3414"/>
      <c r="E1" s="3414"/>
      <c r="F1" s="3414"/>
      <c r="G1" s="3414"/>
      <c r="H1" s="3414"/>
      <c r="I1" s="3414"/>
      <c r="J1" s="3414"/>
      <c r="K1" s="3414"/>
      <c r="L1" s="3414"/>
      <c r="M1" s="3414"/>
      <c r="N1" s="3414"/>
      <c r="O1" s="3414"/>
      <c r="P1" s="3414"/>
      <c r="Q1" s="3414"/>
      <c r="R1" s="3414"/>
      <c r="S1" s="3415"/>
      <c r="T1" s="1111" t="s">
        <v>2817</v>
      </c>
    </row>
    <row r="2" spans="1:45" s="660" customFormat="1">
      <c r="A2" s="1112"/>
      <c r="B2" s="656" t="s">
        <v>2818</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4" t="s">
        <v>2819</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5" t="s">
        <v>2820</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5" t="s">
        <v>2821</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4" t="s">
        <v>2822</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4" t="s">
        <v>2823</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4" t="s">
        <v>2824</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0" t="s">
        <v>2825</v>
      </c>
      <c r="B17" s="2361" t="s">
        <v>2826</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2" t="s">
        <v>2827</v>
      </c>
      <c r="E19" s="1522"/>
      <c r="F19" s="1522"/>
      <c r="G19" s="1522"/>
      <c r="H19" s="1187"/>
      <c r="I19" s="161"/>
      <c r="J19" s="161"/>
      <c r="K19" s="161"/>
      <c r="L19" s="161"/>
      <c r="M19" s="161"/>
      <c r="N19" s="161"/>
      <c r="O19" s="161"/>
      <c r="P19" s="161"/>
      <c r="Q19" s="161"/>
      <c r="R19" s="724"/>
      <c r="S19" s="131"/>
    </row>
    <row r="20" spans="1:45" ht="16.5" thickBot="1">
      <c r="A20" s="668" t="s">
        <v>2828</v>
      </c>
      <c r="B20" s="297" t="e">
        <f ca="1">IF(D20="——",S22,S22-F20)</f>
        <v>#REF!</v>
      </c>
      <c r="C20" s="161"/>
      <c r="D20" s="2363"/>
      <c r="E20" s="1523"/>
      <c r="F20" s="1111" t="e">
        <f ca="1">SUMIF(INDIRECT("'"&amp;H20&amp;"'"&amp;"!A:A"),"承租人权益价值",INDIRECT("'"&amp;H20&amp;"'"&amp;"!c:c"))</f>
        <v>#REF!</v>
      </c>
      <c r="G20" s="1111" t="s">
        <v>2829</v>
      </c>
      <c r="H20" s="2364"/>
      <c r="I20" s="161"/>
      <c r="J20" s="161"/>
      <c r="K20" s="161"/>
      <c r="L20" s="161"/>
      <c r="M20" s="161"/>
      <c r="N20" s="161"/>
      <c r="O20" s="161"/>
      <c r="P20" s="161"/>
      <c r="Q20" s="161"/>
      <c r="R20" s="724"/>
      <c r="S20" s="131"/>
    </row>
    <row r="21" spans="1:45" ht="15.75">
      <c r="A21" s="668" t="s">
        <v>2830</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2831</v>
      </c>
      <c r="B22" s="24">
        <f>SUM(B24:B10000)</f>
        <v>100</v>
      </c>
      <c r="C22" s="3410" t="s">
        <v>33</v>
      </c>
      <c r="D22" s="3411"/>
      <c r="E22" s="3411"/>
      <c r="F22" s="3411"/>
      <c r="G22" s="3411"/>
      <c r="H22" s="3411"/>
      <c r="I22" s="3411"/>
      <c r="J22" s="3411"/>
      <c r="K22" s="3411"/>
      <c r="L22" s="3411"/>
      <c r="M22" s="3411"/>
      <c r="N22" s="3411"/>
      <c r="O22" s="3411"/>
      <c r="P22" s="3411"/>
      <c r="Q22" s="3412"/>
      <c r="R22" s="669">
        <f>ROUND(S22*10000/B22,0)</f>
        <v>10000</v>
      </c>
      <c r="S22" s="24">
        <f>SUM(S24:S10000)</f>
        <v>100</v>
      </c>
    </row>
    <row r="23" spans="1:45" s="12" customFormat="1" ht="24">
      <c r="A23" s="11" t="s">
        <v>2832</v>
      </c>
      <c r="B23" s="11" t="s">
        <v>2833</v>
      </c>
      <c r="C23" s="11" t="s">
        <v>2834</v>
      </c>
      <c r="D23" s="11" t="str">
        <f>B5</f>
        <v>修正项2</v>
      </c>
      <c r="E23" s="11" t="s">
        <v>2834</v>
      </c>
      <c r="F23" s="11" t="str">
        <f>B7</f>
        <v>修正项3</v>
      </c>
      <c r="G23" s="11" t="s">
        <v>2834</v>
      </c>
      <c r="H23" s="11" t="str">
        <f>B9</f>
        <v>修正项4</v>
      </c>
      <c r="I23" s="11" t="s">
        <v>2834</v>
      </c>
      <c r="J23" s="11" t="str">
        <f>B11</f>
        <v>修正项5</v>
      </c>
      <c r="K23" s="11" t="s">
        <v>2834</v>
      </c>
      <c r="L23" s="11" t="str">
        <f>B13</f>
        <v>修正项6</v>
      </c>
      <c r="M23" s="11" t="s">
        <v>2834</v>
      </c>
      <c r="N23" s="11" t="str">
        <f>B15</f>
        <v>修正项7</v>
      </c>
      <c r="O23" s="11" t="s">
        <v>2834</v>
      </c>
      <c r="P23" s="11" t="str">
        <f>B17</f>
        <v>楼层</v>
      </c>
      <c r="Q23" s="11" t="s">
        <v>2834</v>
      </c>
      <c r="R23" s="670" t="s">
        <v>2835</v>
      </c>
      <c r="S23" s="11" t="s">
        <v>2836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2837</v>
      </c>
      <c r="B24" s="671">
        <v>100</v>
      </c>
      <c r="C24" s="3032">
        <v>1</v>
      </c>
      <c r="D24" s="3033"/>
      <c r="E24" s="3032">
        <v>1</v>
      </c>
      <c r="F24" s="3033"/>
      <c r="G24" s="3032">
        <v>1</v>
      </c>
      <c r="H24" s="3033"/>
      <c r="I24" s="3032">
        <v>1</v>
      </c>
      <c r="J24" s="3033"/>
      <c r="K24" s="3032">
        <v>1</v>
      </c>
      <c r="L24" s="3033"/>
      <c r="M24" s="3032">
        <v>1</v>
      </c>
      <c r="N24" s="3033"/>
      <c r="O24" s="3032">
        <v>1</v>
      </c>
      <c r="P24" s="3033"/>
      <c r="Q24" s="3032">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87403</v>
      </c>
      <c r="C2" s="2" t="s">
        <v>133</v>
      </c>
      <c r="D2" s="202"/>
      <c r="E2" s="202"/>
      <c r="F2" s="202"/>
      <c r="G2" s="202"/>
    </row>
    <row r="3" spans="1:7" s="203" customFormat="1" ht="18" customHeight="1" thickBot="1">
      <c r="A3" s="206" t="s">
        <v>85</v>
      </c>
      <c r="B3" s="207">
        <f ca="1">ROUND(B2*10000/'数据-汇总表'!E3,0)</f>
        <v>9012</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0</v>
      </c>
      <c r="F9" s="224"/>
      <c r="G9" s="229"/>
    </row>
    <row r="10" spans="1:7" s="217" customFormat="1" ht="13.5" customHeight="1">
      <c r="A10" s="884" t="s">
        <v>801</v>
      </c>
      <c r="B10" s="227" t="s">
        <v>94</v>
      </c>
      <c r="C10" s="228">
        <f>ROUND(D10*E10/10000,0)</f>
        <v>436</v>
      </c>
      <c r="D10" s="951">
        <f>'数据-汇总表'!E6</f>
        <v>96983.22</v>
      </c>
      <c r="E10" s="228">
        <f>'数据-取费表'!B28</f>
        <v>45</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1940</v>
      </c>
      <c r="D19" s="955">
        <f>'数据-汇总表'!E3</f>
        <v>96983.22</v>
      </c>
      <c r="E19" s="214">
        <f>'数据-取费表'!B31</f>
        <v>200</v>
      </c>
      <c r="F19" s="234"/>
      <c r="G19" s="1" t="s">
        <v>1042</v>
      </c>
    </row>
    <row r="20" spans="1:7" s="217" customFormat="1" ht="13.5" customHeight="1">
      <c r="A20" s="882" t="s">
        <v>1025</v>
      </c>
      <c r="B20" s="213" t="s">
        <v>104</v>
      </c>
      <c r="C20" s="235">
        <f>ROUND((C5+C19)*F20,0)</f>
        <v>451</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2024</v>
      </c>
      <c r="D22" s="238">
        <f ca="1">C26</f>
        <v>8.9999999999999998E-4</v>
      </c>
      <c r="E22" s="239" t="s">
        <v>126</v>
      </c>
      <c r="F22" s="240">
        <f ca="1">'数据-取费表'!B40</f>
        <v>4.3499999999999997E-2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1832</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172</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8.9999999999999998E-4</v>
      </c>
      <c r="D26" s="241"/>
      <c r="E26" s="244"/>
      <c r="F26" s="242"/>
      <c r="G26" s="246"/>
    </row>
    <row r="27" spans="1:7" s="217" customFormat="1" ht="24.75">
      <c r="A27" s="882" t="s">
        <v>787</v>
      </c>
      <c r="B27" s="247" t="s">
        <v>112</v>
      </c>
      <c r="C27" s="248">
        <f>C28</f>
        <v>4600</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4600</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32106</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43255</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38793</v>
      </c>
      <c r="D34" s="220"/>
      <c r="E34" s="223"/>
      <c r="F34" s="260">
        <f>IF('数据-取费表'!B24=0,1,'数据-取费表'!N16)</f>
        <v>1</v>
      </c>
      <c r="G34" s="222" t="s">
        <v>116</v>
      </c>
    </row>
    <row r="35" spans="1:7" ht="13.5" customHeight="1">
      <c r="A35" s="885" t="s">
        <v>796</v>
      </c>
      <c r="B35" s="218" t="s">
        <v>60</v>
      </c>
      <c r="C35" s="223">
        <f>ROUND(C34*F35,0)</f>
        <v>1940</v>
      </c>
      <c r="D35" s="223"/>
      <c r="E35" s="223"/>
      <c r="F35" s="262">
        <f>'数据-取费表'!B33</f>
        <v>0.05</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1940</v>
      </c>
      <c r="D37" s="220">
        <f>'数据-汇总表'!E3</f>
        <v>96983.22</v>
      </c>
      <c r="E37" s="252">
        <f>'数据-取费表'!B35</f>
        <v>200</v>
      </c>
      <c r="F37" s="262"/>
      <c r="G37" s="264" t="s">
        <v>119</v>
      </c>
    </row>
    <row r="38" spans="1:7" ht="13.5" customHeight="1">
      <c r="A38" s="885" t="s">
        <v>799</v>
      </c>
      <c r="B38" s="218" t="s">
        <v>63</v>
      </c>
      <c r="C38" s="223">
        <f>ROUND(C34*F38,0)</f>
        <v>582</v>
      </c>
      <c r="D38" s="223"/>
      <c r="E38" s="223"/>
      <c r="F38" s="262">
        <f>'数据-取费表'!B36</f>
        <v>1.4999999999999999E-2</v>
      </c>
      <c r="G38" s="222" t="s">
        <v>117</v>
      </c>
    </row>
    <row r="39" spans="1:7" s="217" customFormat="1" ht="13.5" customHeight="1">
      <c r="A39" s="882" t="s">
        <v>783</v>
      </c>
      <c r="B39" s="213" t="s">
        <v>104</v>
      </c>
      <c r="C39" s="235">
        <f>ROUND(C33*F20,0)</f>
        <v>865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1920</v>
      </c>
      <c r="D41" s="238">
        <f ca="1">C44</f>
        <v>8.9999999999999998E-4</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1882</v>
      </c>
      <c r="D42" s="241"/>
      <c r="E42" s="241"/>
      <c r="F42" s="242"/>
      <c r="G42" s="3269" t="s">
        <v>121</v>
      </c>
    </row>
    <row r="43" spans="1:7" ht="13.5" customHeight="1">
      <c r="A43" s="885" t="s">
        <v>792</v>
      </c>
      <c r="B43" s="218" t="s">
        <v>1032</v>
      </c>
      <c r="C43" s="241">
        <f ca="1">ROUND(IF('数据-取费表'!B22&lt;=1,C39*F22*'数据-取费表'!B21/2,C39*(POWER((1+F22),'数据-取费表'!B21/2)-1)),0)</f>
        <v>38</v>
      </c>
      <c r="D43" s="241"/>
      <c r="E43" s="241"/>
      <c r="F43" s="242"/>
      <c r="G43" s="3270"/>
    </row>
    <row r="44" spans="1:7" ht="13.5" customHeight="1">
      <c r="A44" s="885" t="s">
        <v>793</v>
      </c>
      <c r="B44" s="218" t="s">
        <v>1034</v>
      </c>
      <c r="C44" s="241">
        <f ca="1">ROUND(IF('数据-取费表'!B22&lt;=1,C40*F22*'数据-取费表'!B21/2,C40*(POWER((1+F22),'数据-取费表'!B21/2)-1)),4)</f>
        <v>8.9999999999999998E-4</v>
      </c>
      <c r="D44" s="241"/>
      <c r="E44" s="241"/>
      <c r="F44" s="242"/>
      <c r="G44" s="3271"/>
    </row>
    <row r="45" spans="1:7" s="217" customFormat="1" ht="13.5" customHeight="1">
      <c r="A45" s="882" t="s">
        <v>786</v>
      </c>
      <c r="B45" s="247" t="s">
        <v>112</v>
      </c>
      <c r="C45" s="248">
        <f>C46</f>
        <v>8824</v>
      </c>
      <c r="D45" s="238">
        <f>C47</f>
        <v>4.0000000000000001E-3</v>
      </c>
      <c r="E45" s="239" t="s">
        <v>129</v>
      </c>
      <c r="F45" s="249"/>
      <c r="G45" s="250" t="s">
        <v>1040</v>
      </c>
    </row>
    <row r="46" spans="1:7" s="217" customFormat="1" ht="13.5" customHeight="1">
      <c r="A46" s="885" t="s">
        <v>794</v>
      </c>
      <c r="B46" s="251" t="s">
        <v>1033</v>
      </c>
      <c r="C46" s="252">
        <f>ROUND((C33+C39)*F27,0)</f>
        <v>8824</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5.5000000000000007E-2</v>
      </c>
      <c r="D48" s="239" t="s">
        <v>130</v>
      </c>
      <c r="E48" s="235"/>
      <c r="F48" s="240"/>
      <c r="G48" s="237" t="s">
        <v>123</v>
      </c>
    </row>
    <row r="49" spans="1:7" ht="16.5" customHeight="1">
      <c r="A49" s="882" t="s">
        <v>788</v>
      </c>
      <c r="B49" s="213" t="s">
        <v>131</v>
      </c>
      <c r="C49" s="235">
        <f ca="1">ROUND((C33+C39+C41+C45)/(1-C40-D41-D45-C48/(1+'数据-取费表'!B42)),0)</f>
        <v>59459</v>
      </c>
      <c r="D49" s="235"/>
      <c r="E49" s="235"/>
      <c r="F49" s="267"/>
      <c r="G49" s="237" t="s">
        <v>1041</v>
      </c>
    </row>
    <row r="50" spans="1:7" s="261" customFormat="1" ht="24">
      <c r="A50" s="882" t="s">
        <v>789</v>
      </c>
      <c r="B50" s="213" t="s">
        <v>124</v>
      </c>
      <c r="C50" s="235"/>
      <c r="D50" s="235"/>
      <c r="E50" s="235"/>
      <c r="F50" s="267">
        <f>IF('数据-取费表'!B24=0,'数据-取费表'!N16,1)</f>
        <v>0.93</v>
      </c>
      <c r="G50" s="250" t="s">
        <v>125</v>
      </c>
    </row>
    <row r="51" spans="1:7" ht="16.5" customHeight="1">
      <c r="A51" s="882" t="s">
        <v>790</v>
      </c>
      <c r="B51" s="213" t="s">
        <v>132</v>
      </c>
      <c r="C51" s="235">
        <f ca="1">ROUND(C49*F50,0)</f>
        <v>55297</v>
      </c>
      <c r="D51" s="235"/>
      <c r="E51" s="235"/>
      <c r="F51" s="267"/>
      <c r="G51" s="237" t="s">
        <v>64</v>
      </c>
    </row>
    <row r="52" spans="1:7" s="211" customFormat="1" ht="16.5" thickBot="1">
      <c r="A52" s="268" t="s">
        <v>65</v>
      </c>
      <c r="B52" s="269"/>
      <c r="C52" s="270">
        <f ca="1">C31+C51</f>
        <v>87403</v>
      </c>
      <c r="D52" s="269"/>
      <c r="E52" s="269"/>
      <c r="F52" s="269"/>
      <c r="G52" s="271"/>
    </row>
    <row r="55" spans="1:7" ht="15">
      <c r="B55" s="273" t="s">
        <v>66</v>
      </c>
      <c r="C55" s="274"/>
    </row>
    <row r="56" spans="1:7">
      <c r="B56" s="276" t="s">
        <v>67</v>
      </c>
      <c r="C56" s="277">
        <f ca="1">ROUND(C51/C52,3)</f>
        <v>0.63300000000000001</v>
      </c>
    </row>
    <row r="57" spans="1:7">
      <c r="B57" s="276" t="s">
        <v>68</v>
      </c>
      <c r="C57" s="278">
        <f ca="1">1-C56</f>
        <v>0.36699999999999999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6" t="s">
        <v>156</v>
      </c>
      <c r="B1" s="3416"/>
      <c r="C1" s="3416"/>
      <c r="D1" s="3416"/>
      <c r="E1" s="3416"/>
      <c r="F1" s="3416"/>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7" t="s">
        <v>169</v>
      </c>
      <c r="B2" s="3417"/>
      <c r="C2" s="3417"/>
      <c r="D2" s="3417"/>
      <c r="E2" s="3417"/>
      <c r="F2" s="3417"/>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8"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9"/>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6" t="s">
        <v>839</v>
      </c>
      <c r="B1" s="3416"/>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7" customFormat="1" ht="14.25" thickBot="1">
      <c r="A1" s="1461"/>
      <c r="B1" s="1468" t="s">
        <v>1267</v>
      </c>
      <c r="C1" s="1462">
        <f>项目基本情况!D3</f>
        <v>44362</v>
      </c>
      <c r="D1" s="1468" t="s">
        <v>1268</v>
      </c>
      <c r="E1" s="1463">
        <f>'数据-取费表'!B22</f>
        <v>2</v>
      </c>
      <c r="F1" s="1468" t="s">
        <v>1269</v>
      </c>
      <c r="G1" s="1464">
        <f ca="1">INDIRECT("d"&amp;$K$1)/100</f>
        <v>3.85E-2</v>
      </c>
      <c r="H1" s="1468" t="s">
        <v>1299</v>
      </c>
      <c r="I1" s="1464">
        <f ca="1">F4/100</f>
        <v>1.4999999999999999E-2</v>
      </c>
      <c r="J1" s="1469">
        <f>IF(C1&gt;C13,0,MATCH(C1,C$13:C$104,-1))+IF(SUMIF(C13:C104,C1,D13:D104)=0,13,12)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2">
        <v>43941</v>
      </c>
      <c r="D13" s="3043">
        <v>3.85</v>
      </c>
      <c r="E13" s="3043">
        <v>3.85</v>
      </c>
      <c r="F13" s="3043">
        <v>3.85</v>
      </c>
      <c r="G13" s="3043">
        <v>3.85</v>
      </c>
      <c r="H13" s="3043">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8"/>
      <c r="C14" s="3039">
        <v>43881</v>
      </c>
      <c r="D14" s="3038">
        <v>4.05</v>
      </c>
      <c r="E14" s="3038">
        <v>4.05</v>
      </c>
      <c r="F14" s="3038">
        <v>4.05</v>
      </c>
      <c r="G14" s="3038">
        <v>4.05</v>
      </c>
      <c r="H14" s="3038">
        <v>4.75</v>
      </c>
      <c r="I14" s="3038"/>
      <c r="J14" s="3038"/>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8"/>
      <c r="C15" s="3039">
        <v>43789</v>
      </c>
      <c r="D15" s="3038">
        <v>4.1500000000000004</v>
      </c>
      <c r="E15" s="3038">
        <v>4.1500000000000004</v>
      </c>
      <c r="F15" s="3038">
        <v>4.1500000000000004</v>
      </c>
      <c r="G15" s="3038">
        <v>4.1500000000000004</v>
      </c>
      <c r="H15" s="3038">
        <v>4.8</v>
      </c>
      <c r="I15" s="3038"/>
      <c r="J15" s="3038"/>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8"/>
      <c r="C16" s="3039">
        <v>43728</v>
      </c>
      <c r="D16" s="3038">
        <v>4.2</v>
      </c>
      <c r="E16" s="3038">
        <v>4.2</v>
      </c>
      <c r="F16" s="3038">
        <v>4.2</v>
      </c>
      <c r="G16" s="3038">
        <v>4.2</v>
      </c>
      <c r="H16" s="3038">
        <v>4.8499999999999996</v>
      </c>
      <c r="I16" s="3038"/>
      <c r="J16" s="3038"/>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37" t="s">
        <v>3043</v>
      </c>
      <c r="C17" s="3040">
        <v>43697</v>
      </c>
      <c r="D17" s="3041">
        <v>4.25</v>
      </c>
      <c r="E17" s="3041">
        <v>4.25</v>
      </c>
      <c r="F17" s="3041">
        <v>4.25</v>
      </c>
      <c r="G17" s="3041">
        <v>4.25</v>
      </c>
      <c r="H17" s="3041">
        <v>4.8499999999999996</v>
      </c>
      <c r="I17" s="3041"/>
      <c r="J17" s="3041"/>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1298</v>
      </c>
      <c r="J59" s="1455" t="s">
        <v>1298</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90" zoomScaleNormal="90" workbookViewId="0">
      <selection activeCell="H3" sqref="H3"/>
    </sheetView>
  </sheetViews>
  <sheetFormatPr defaultRowHeight="13.5"/>
  <cols>
    <col min="1" max="1" width="19.25" customWidth="1"/>
    <col min="3" max="3" width="18.625" customWidth="1"/>
    <col min="6" max="6" width="19.375" customWidth="1"/>
    <col min="16" max="16" width="30.5" customWidth="1"/>
  </cols>
  <sheetData>
    <row r="1" spans="1:17">
      <c r="A1" s="3067" t="s">
        <v>3131</v>
      </c>
      <c r="B1" s="3067" t="s">
        <v>3132</v>
      </c>
      <c r="C1" s="3067" t="s">
        <v>3133</v>
      </c>
      <c r="D1" s="3067" t="s">
        <v>3134</v>
      </c>
      <c r="E1" s="3067" t="s">
        <v>3135</v>
      </c>
      <c r="F1" s="3067" t="s">
        <v>3136</v>
      </c>
      <c r="G1" s="3067" t="s">
        <v>3137</v>
      </c>
      <c r="H1" s="3067" t="s">
        <v>3138</v>
      </c>
      <c r="I1" s="3067" t="s">
        <v>3139</v>
      </c>
      <c r="J1" s="3067" t="s">
        <v>3140</v>
      </c>
      <c r="K1" s="3067" t="s">
        <v>3141</v>
      </c>
      <c r="L1" s="3067" t="s">
        <v>3142</v>
      </c>
      <c r="M1" s="3067" t="s">
        <v>3143</v>
      </c>
      <c r="N1" s="3067" t="s">
        <v>3144</v>
      </c>
      <c r="O1" s="3067" t="s">
        <v>3145</v>
      </c>
      <c r="P1" s="3067" t="s">
        <v>3146</v>
      </c>
      <c r="Q1" s="3067" t="s">
        <v>3147</v>
      </c>
    </row>
    <row r="2" spans="1:17">
      <c r="A2" s="3067" t="s">
        <v>3180</v>
      </c>
      <c r="B2" s="3067" t="s">
        <v>3181</v>
      </c>
      <c r="C2" s="3067" t="s">
        <v>3148</v>
      </c>
      <c r="D2" s="3067">
        <v>2867.61</v>
      </c>
      <c r="E2" s="3067">
        <v>2867.61</v>
      </c>
      <c r="F2" s="3067" t="s">
        <v>3162</v>
      </c>
      <c r="G2" s="3067" t="s">
        <v>3182</v>
      </c>
      <c r="H2" s="3067" t="s">
        <v>3154</v>
      </c>
      <c r="I2" s="3067">
        <v>0</v>
      </c>
      <c r="J2" s="3067" t="s">
        <v>3183</v>
      </c>
      <c r="K2" s="3067" t="s">
        <v>3183</v>
      </c>
      <c r="L2" s="3067">
        <v>1487.79</v>
      </c>
      <c r="M2" s="3067">
        <v>6235</v>
      </c>
      <c r="N2" s="3067">
        <v>21742.84</v>
      </c>
      <c r="O2" s="3067">
        <v>319.08</v>
      </c>
      <c r="P2" s="3067" t="s">
        <v>3184</v>
      </c>
      <c r="Q2" s="3067" t="s">
        <v>3152</v>
      </c>
    </row>
    <row r="3" spans="1:17" s="3062" customFormat="1">
      <c r="A3" s="3431" t="s">
        <v>3303</v>
      </c>
      <c r="B3" s="3061" t="s">
        <v>3181</v>
      </c>
      <c r="C3" s="3061" t="s">
        <v>3148</v>
      </c>
      <c r="D3" s="3061">
        <v>3624.7</v>
      </c>
      <c r="E3" s="3061">
        <v>3624.7</v>
      </c>
      <c r="F3" s="3061" t="s">
        <v>3162</v>
      </c>
      <c r="G3" s="3061" t="s">
        <v>3182</v>
      </c>
      <c r="H3" s="3431" t="s">
        <v>3325</v>
      </c>
      <c r="I3" s="3061">
        <v>0</v>
      </c>
      <c r="J3" s="3061" t="s">
        <v>3183</v>
      </c>
      <c r="K3" s="3061" t="s">
        <v>3183</v>
      </c>
      <c r="L3" s="3061">
        <v>495.04</v>
      </c>
      <c r="M3" s="3061">
        <v>495.04</v>
      </c>
      <c r="N3" s="3061">
        <v>1365.74</v>
      </c>
      <c r="O3" s="3061">
        <v>0</v>
      </c>
      <c r="P3" s="3061" t="s">
        <v>3185</v>
      </c>
      <c r="Q3" s="3061" t="s">
        <v>3152</v>
      </c>
    </row>
    <row r="4" spans="1:17">
      <c r="A4" s="3432" t="s">
        <v>3304</v>
      </c>
      <c r="B4" s="3067" t="s">
        <v>3181</v>
      </c>
      <c r="C4" s="3067" t="s">
        <v>3148</v>
      </c>
      <c r="D4" s="3067">
        <v>38127.019999999997</v>
      </c>
      <c r="E4" s="3067">
        <v>38127.019999999997</v>
      </c>
      <c r="F4" s="3067" t="s">
        <v>3162</v>
      </c>
      <c r="G4" s="3067" t="s">
        <v>3182</v>
      </c>
      <c r="H4" s="3067" t="s">
        <v>3187</v>
      </c>
      <c r="I4" s="3067">
        <v>0</v>
      </c>
      <c r="J4" s="3067" t="s">
        <v>3188</v>
      </c>
      <c r="K4" s="3067" t="s">
        <v>3188</v>
      </c>
      <c r="L4" s="3067">
        <v>4460.8100000000004</v>
      </c>
      <c r="M4" s="3067">
        <v>4460.8100000000004</v>
      </c>
      <c r="N4" s="3067">
        <v>1169.99</v>
      </c>
      <c r="O4" s="3067">
        <v>0</v>
      </c>
      <c r="P4" s="3067" t="s">
        <v>3189</v>
      </c>
      <c r="Q4" s="3067" t="s">
        <v>3152</v>
      </c>
    </row>
    <row r="5" spans="1:17">
      <c r="A5" s="3067" t="s">
        <v>3186</v>
      </c>
      <c r="B5" s="3067" t="s">
        <v>3181</v>
      </c>
      <c r="C5" s="3067" t="s">
        <v>3148</v>
      </c>
      <c r="D5" s="3067">
        <v>4605.55</v>
      </c>
      <c r="E5" s="3067">
        <v>13816.65</v>
      </c>
      <c r="F5" s="3067" t="s">
        <v>3190</v>
      </c>
      <c r="G5" s="3067" t="s">
        <v>3182</v>
      </c>
      <c r="H5" s="3067" t="s">
        <v>3191</v>
      </c>
      <c r="I5" s="3067">
        <v>0</v>
      </c>
      <c r="J5" s="3067" t="s">
        <v>3188</v>
      </c>
      <c r="K5" s="3067" t="s">
        <v>3188</v>
      </c>
      <c r="L5" s="3067">
        <v>1278.3399999999999</v>
      </c>
      <c r="M5" s="3067">
        <v>1278.3399999999999</v>
      </c>
      <c r="N5" s="3067">
        <v>925.22</v>
      </c>
      <c r="O5" s="3067">
        <v>0</v>
      </c>
      <c r="P5" s="3067" t="s">
        <v>3189</v>
      </c>
      <c r="Q5" s="3067" t="s">
        <v>3152</v>
      </c>
    </row>
    <row r="6" spans="1:17">
      <c r="A6" s="3432" t="s">
        <v>3305</v>
      </c>
      <c r="B6" s="3067" t="s">
        <v>3181</v>
      </c>
      <c r="C6" s="3067" t="s">
        <v>3148</v>
      </c>
      <c r="D6" s="3067">
        <v>10203.709999999999</v>
      </c>
      <c r="E6" s="3067">
        <v>25509.279999999999</v>
      </c>
      <c r="F6" s="3067" t="s">
        <v>3153</v>
      </c>
      <c r="G6" s="3067" t="s">
        <v>3182</v>
      </c>
      <c r="H6" s="3067" t="s">
        <v>3151</v>
      </c>
      <c r="I6" s="3067">
        <v>0</v>
      </c>
      <c r="J6" s="3067" t="s">
        <v>3188</v>
      </c>
      <c r="K6" s="3067" t="s">
        <v>3188</v>
      </c>
      <c r="L6" s="3067">
        <v>2097.46</v>
      </c>
      <c r="M6" s="3067">
        <v>2097.46</v>
      </c>
      <c r="N6" s="3067">
        <v>822.24</v>
      </c>
      <c r="O6" s="3067">
        <v>0</v>
      </c>
      <c r="P6" s="3067" t="s">
        <v>3193</v>
      </c>
      <c r="Q6" s="3067" t="s">
        <v>3152</v>
      </c>
    </row>
    <row r="7" spans="1:17">
      <c r="A7" s="3432" t="s">
        <v>3306</v>
      </c>
      <c r="B7" s="3067" t="s">
        <v>3181</v>
      </c>
      <c r="C7" s="3067" t="s">
        <v>3148</v>
      </c>
      <c r="D7" s="3067">
        <v>13453</v>
      </c>
      <c r="E7" s="3067">
        <v>26906</v>
      </c>
      <c r="F7" s="3067" t="s">
        <v>3157</v>
      </c>
      <c r="G7" s="3067" t="s">
        <v>3150</v>
      </c>
      <c r="H7" s="3067" t="s">
        <v>3158</v>
      </c>
      <c r="I7" s="3067">
        <v>0</v>
      </c>
      <c r="J7" s="3067" t="s">
        <v>3156</v>
      </c>
      <c r="K7" s="3067" t="s">
        <v>3156</v>
      </c>
      <c r="L7" s="3067">
        <v>1768</v>
      </c>
      <c r="M7" s="3067">
        <v>1935</v>
      </c>
      <c r="N7" s="3067">
        <v>719.16</v>
      </c>
      <c r="O7" s="3067">
        <v>9.4499999999999993</v>
      </c>
      <c r="P7" s="3067" t="s">
        <v>3195</v>
      </c>
      <c r="Q7" s="3067" t="s">
        <v>3152</v>
      </c>
    </row>
    <row r="8" spans="1:17">
      <c r="A8" s="3432" t="s">
        <v>3307</v>
      </c>
      <c r="B8" s="3067" t="s">
        <v>3181</v>
      </c>
      <c r="C8" s="3067" t="s">
        <v>3148</v>
      </c>
      <c r="D8" s="3067">
        <v>20028.650000000001</v>
      </c>
      <c r="E8" s="3067">
        <v>90128.93</v>
      </c>
      <c r="F8" s="3067" t="s">
        <v>3197</v>
      </c>
      <c r="G8" s="3067" t="s">
        <v>3150</v>
      </c>
      <c r="H8" s="3067" t="s">
        <v>3191</v>
      </c>
      <c r="I8" s="3067">
        <v>0</v>
      </c>
      <c r="J8" s="3067" t="s">
        <v>3156</v>
      </c>
      <c r="K8" s="3067" t="s">
        <v>3156</v>
      </c>
      <c r="L8" s="3067">
        <v>3325</v>
      </c>
      <c r="M8" s="3067">
        <v>3325</v>
      </c>
      <c r="N8" s="3067">
        <v>368.92</v>
      </c>
      <c r="O8" s="3067">
        <v>0</v>
      </c>
      <c r="P8" s="3067" t="s">
        <v>3198</v>
      </c>
      <c r="Q8" s="3067" t="s">
        <v>3152</v>
      </c>
    </row>
    <row r="9" spans="1:17">
      <c r="A9" s="3432" t="s">
        <v>3305</v>
      </c>
      <c r="B9" s="3067" t="s">
        <v>3181</v>
      </c>
      <c r="C9" s="3067" t="s">
        <v>3148</v>
      </c>
      <c r="D9" s="3067">
        <v>21301.1</v>
      </c>
      <c r="E9" s="3067">
        <v>42602.2</v>
      </c>
      <c r="F9" s="3067" t="s">
        <v>3157</v>
      </c>
      <c r="G9" s="3067" t="s">
        <v>3182</v>
      </c>
      <c r="H9" s="3067" t="s">
        <v>3158</v>
      </c>
      <c r="I9" s="3067">
        <v>0</v>
      </c>
      <c r="J9" s="3067" t="s">
        <v>3199</v>
      </c>
      <c r="K9" s="3067" t="s">
        <v>3199</v>
      </c>
      <c r="L9" s="3067">
        <v>4185.4399999999996</v>
      </c>
      <c r="M9" s="3067">
        <v>4185.4399999999996</v>
      </c>
      <c r="N9" s="3067">
        <v>982.45</v>
      </c>
      <c r="O9" s="3067">
        <v>0</v>
      </c>
      <c r="P9" s="3067" t="s">
        <v>3200</v>
      </c>
      <c r="Q9" s="3067" t="s">
        <v>3160</v>
      </c>
    </row>
    <row r="10" spans="1:17" s="3062" customFormat="1">
      <c r="A10" s="3431" t="s">
        <v>3303</v>
      </c>
      <c r="B10" s="3061" t="s">
        <v>3181</v>
      </c>
      <c r="C10" s="3061" t="s">
        <v>3148</v>
      </c>
      <c r="D10" s="3061">
        <v>10597.97</v>
      </c>
      <c r="E10" s="3061">
        <v>10597.97</v>
      </c>
      <c r="F10" s="3061" t="s">
        <v>3162</v>
      </c>
      <c r="G10" s="3061" t="s">
        <v>3182</v>
      </c>
      <c r="H10" s="3061" t="s">
        <v>3151</v>
      </c>
      <c r="I10" s="3061">
        <v>0</v>
      </c>
      <c r="J10" s="3061" t="s">
        <v>3201</v>
      </c>
      <c r="K10" s="3061" t="s">
        <v>3201</v>
      </c>
      <c r="L10" s="3061">
        <v>1446.9</v>
      </c>
      <c r="M10" s="3061">
        <v>1446.9</v>
      </c>
      <c r="N10" s="3061">
        <v>1365.25</v>
      </c>
      <c r="O10" s="3061">
        <v>0</v>
      </c>
      <c r="P10" s="3061" t="s">
        <v>3185</v>
      </c>
      <c r="Q10" s="3061" t="s">
        <v>3160</v>
      </c>
    </row>
    <row r="11" spans="1:17">
      <c r="A11" s="3067" t="s">
        <v>3196</v>
      </c>
      <c r="B11" s="3067" t="s">
        <v>3181</v>
      </c>
      <c r="C11" s="3067" t="s">
        <v>3148</v>
      </c>
      <c r="D11" s="3067">
        <v>53199</v>
      </c>
      <c r="E11" s="3067">
        <v>79798.5</v>
      </c>
      <c r="F11" s="3067" t="s">
        <v>3202</v>
      </c>
      <c r="G11" s="3067" t="s">
        <v>3150</v>
      </c>
      <c r="H11" s="3067" t="s">
        <v>3154</v>
      </c>
      <c r="I11" s="3067">
        <v>0</v>
      </c>
      <c r="J11" s="3067" t="s">
        <v>3203</v>
      </c>
      <c r="K11" s="3067" t="s">
        <v>3203</v>
      </c>
      <c r="L11" s="3067">
        <v>6065</v>
      </c>
      <c r="M11" s="3067">
        <v>6065</v>
      </c>
      <c r="N11" s="3067">
        <v>760.03</v>
      </c>
      <c r="O11" s="3067">
        <v>0</v>
      </c>
      <c r="P11" s="3067" t="s">
        <v>3204</v>
      </c>
      <c r="Q11" s="3067" t="s">
        <v>3159</v>
      </c>
    </row>
    <row r="12" spans="1:17" s="3062" customFormat="1">
      <c r="A12" s="3431" t="s">
        <v>3305</v>
      </c>
      <c r="B12" s="3061" t="s">
        <v>3181</v>
      </c>
      <c r="C12" s="3061" t="s">
        <v>3148</v>
      </c>
      <c r="D12" s="3061">
        <v>3064.4</v>
      </c>
      <c r="E12" s="3061">
        <v>4596.6000000000004</v>
      </c>
      <c r="F12" s="3061" t="s">
        <v>3202</v>
      </c>
      <c r="G12" s="3061" t="s">
        <v>3182</v>
      </c>
      <c r="H12" s="3061" t="s">
        <v>3151</v>
      </c>
      <c r="I12" s="3061">
        <v>0</v>
      </c>
      <c r="J12" s="3061" t="s">
        <v>3205</v>
      </c>
      <c r="K12" s="3061" t="s">
        <v>3205</v>
      </c>
      <c r="L12" s="3061">
        <v>510.6</v>
      </c>
      <c r="M12" s="3061">
        <v>772.79</v>
      </c>
      <c r="N12" s="3061">
        <v>1681.24</v>
      </c>
      <c r="O12" s="3061">
        <v>51.35</v>
      </c>
      <c r="P12" s="3061" t="s">
        <v>3206</v>
      </c>
      <c r="Q12" s="3061" t="s">
        <v>3160</v>
      </c>
    </row>
    <row r="13" spans="1:17">
      <c r="A13" s="3067" t="s">
        <v>3192</v>
      </c>
      <c r="B13" s="3067" t="s">
        <v>3181</v>
      </c>
      <c r="C13" s="3067" t="s">
        <v>3148</v>
      </c>
      <c r="D13" s="3067">
        <v>3562.1</v>
      </c>
      <c r="E13" s="3067">
        <v>5343.15</v>
      </c>
      <c r="F13" s="3067" t="s">
        <v>3202</v>
      </c>
      <c r="G13" s="3067" t="s">
        <v>3182</v>
      </c>
      <c r="H13" s="3067" t="s">
        <v>3151</v>
      </c>
      <c r="I13" s="3067">
        <v>0</v>
      </c>
      <c r="J13" s="3067" t="s">
        <v>3207</v>
      </c>
      <c r="K13" s="3067" t="s">
        <v>3207</v>
      </c>
      <c r="L13" s="3067">
        <v>592.74</v>
      </c>
      <c r="M13" s="3067">
        <v>662.15</v>
      </c>
      <c r="N13" s="3067">
        <v>1239.26</v>
      </c>
      <c r="O13" s="3067">
        <v>11.71</v>
      </c>
      <c r="P13" s="3067" t="s">
        <v>3206</v>
      </c>
      <c r="Q13" s="3067" t="s">
        <v>3160</v>
      </c>
    </row>
    <row r="14" spans="1:17">
      <c r="A14" s="3067" t="s">
        <v>3194</v>
      </c>
      <c r="B14" s="3067" t="s">
        <v>3181</v>
      </c>
      <c r="C14" s="3067" t="s">
        <v>3148</v>
      </c>
      <c r="D14" s="3067">
        <v>18177.990000000002</v>
      </c>
      <c r="E14" s="3067">
        <v>36355.980000000003</v>
      </c>
      <c r="F14" s="3067" t="s">
        <v>3157</v>
      </c>
      <c r="G14" s="3067" t="s">
        <v>3150</v>
      </c>
      <c r="H14" s="3067" t="s">
        <v>3154</v>
      </c>
      <c r="I14" s="3067">
        <v>0</v>
      </c>
      <c r="J14" s="3067" t="s">
        <v>3208</v>
      </c>
      <c r="K14" s="3067" t="s">
        <v>3208</v>
      </c>
      <c r="L14" s="3067">
        <v>2181.59</v>
      </c>
      <c r="M14" s="3067">
        <v>2181.59</v>
      </c>
      <c r="N14" s="3067">
        <v>600.07000000000005</v>
      </c>
      <c r="O14" s="3067">
        <v>0</v>
      </c>
      <c r="P14" s="3067" t="s">
        <v>3209</v>
      </c>
      <c r="Q14" s="3067" t="s">
        <v>3161</v>
      </c>
    </row>
    <row r="15" spans="1:17">
      <c r="A15" s="3067" t="s">
        <v>3210</v>
      </c>
      <c r="B15" s="3067" t="s">
        <v>3181</v>
      </c>
      <c r="C15" s="3067" t="s">
        <v>3148</v>
      </c>
      <c r="D15" s="3067">
        <v>239984.94</v>
      </c>
      <c r="E15" s="3067">
        <v>119992.47</v>
      </c>
      <c r="F15" s="3067" t="s">
        <v>3163</v>
      </c>
      <c r="G15" s="3067" t="s">
        <v>3150</v>
      </c>
      <c r="H15" s="3067" t="s">
        <v>3151</v>
      </c>
      <c r="I15" s="3067">
        <v>0</v>
      </c>
      <c r="J15" s="3067" t="s">
        <v>3211</v>
      </c>
      <c r="K15" s="3067" t="s">
        <v>3211</v>
      </c>
      <c r="L15" s="3067">
        <v>7100</v>
      </c>
      <c r="M15" s="3067">
        <v>7100</v>
      </c>
      <c r="N15" s="3067">
        <v>591.70000000000005</v>
      </c>
      <c r="O15" s="3067">
        <v>0</v>
      </c>
      <c r="P15" s="3067" t="s">
        <v>3212</v>
      </c>
      <c r="Q15" s="3067" t="s">
        <v>3159</v>
      </c>
    </row>
    <row r="16" spans="1:17">
      <c r="A16" s="3067" t="s">
        <v>3213</v>
      </c>
      <c r="B16" s="3067" t="s">
        <v>3181</v>
      </c>
      <c r="C16" s="3067" t="s">
        <v>3148</v>
      </c>
      <c r="D16" s="3067">
        <v>2041</v>
      </c>
      <c r="E16" s="3067">
        <v>5102.5</v>
      </c>
      <c r="F16" s="3067" t="s">
        <v>3153</v>
      </c>
      <c r="G16" s="3067" t="s">
        <v>3150</v>
      </c>
      <c r="H16" s="3067" t="s">
        <v>3154</v>
      </c>
      <c r="I16" s="3067">
        <v>0</v>
      </c>
      <c r="J16" s="3067" t="s">
        <v>3214</v>
      </c>
      <c r="K16" s="3067" t="s">
        <v>3214</v>
      </c>
      <c r="L16" s="3067">
        <v>257</v>
      </c>
      <c r="M16" s="3067">
        <v>259</v>
      </c>
      <c r="N16" s="3067">
        <v>507.58</v>
      </c>
      <c r="O16" s="3067">
        <v>0.78</v>
      </c>
      <c r="P16" s="3067" t="s">
        <v>3215</v>
      </c>
      <c r="Q16" s="3067" t="s">
        <v>3161</v>
      </c>
    </row>
    <row r="17" spans="1:17">
      <c r="A17" s="3067" t="s">
        <v>3216</v>
      </c>
      <c r="B17" s="3067" t="s">
        <v>3181</v>
      </c>
      <c r="C17" s="3067" t="s">
        <v>3148</v>
      </c>
      <c r="D17" s="3067">
        <v>7290</v>
      </c>
      <c r="E17" s="3067">
        <v>14580</v>
      </c>
      <c r="F17" s="3067" t="s">
        <v>3157</v>
      </c>
      <c r="G17" s="3067" t="s">
        <v>3182</v>
      </c>
      <c r="H17" s="3067" t="s">
        <v>3154</v>
      </c>
      <c r="I17" s="3067">
        <v>0</v>
      </c>
      <c r="J17" s="3067" t="s">
        <v>3217</v>
      </c>
      <c r="K17" s="3067" t="s">
        <v>3217</v>
      </c>
      <c r="L17" s="3067">
        <v>211.4</v>
      </c>
      <c r="M17" s="3067">
        <v>211.4</v>
      </c>
      <c r="N17" s="3067">
        <v>144.99</v>
      </c>
      <c r="O17" s="3067">
        <v>0</v>
      </c>
      <c r="P17" s="3067" t="s">
        <v>3218</v>
      </c>
      <c r="Q17" s="3067" t="s">
        <v>3161</v>
      </c>
    </row>
    <row r="18" spans="1:17">
      <c r="A18" s="3067" t="s">
        <v>3216</v>
      </c>
      <c r="B18" s="3067" t="s">
        <v>3181</v>
      </c>
      <c r="C18" s="3067" t="s">
        <v>3148</v>
      </c>
      <c r="D18" s="3067">
        <v>2623</v>
      </c>
      <c r="E18" s="3067">
        <v>5246</v>
      </c>
      <c r="F18" s="3067" t="s">
        <v>3157</v>
      </c>
      <c r="G18" s="3067" t="s">
        <v>3182</v>
      </c>
      <c r="H18" s="3067" t="s">
        <v>3154</v>
      </c>
      <c r="I18" s="3067">
        <v>0</v>
      </c>
      <c r="J18" s="3067" t="s">
        <v>3217</v>
      </c>
      <c r="K18" s="3067" t="s">
        <v>3217</v>
      </c>
      <c r="L18" s="3067">
        <v>76.09</v>
      </c>
      <c r="M18" s="3067">
        <v>76.09</v>
      </c>
      <c r="N18" s="3067">
        <v>145.06</v>
      </c>
      <c r="O18" s="3067">
        <v>0</v>
      </c>
      <c r="P18" s="3067" t="s">
        <v>3218</v>
      </c>
      <c r="Q18" s="3067" t="s">
        <v>3161</v>
      </c>
    </row>
    <row r="19" spans="1:17">
      <c r="A19" s="3067" t="s">
        <v>3216</v>
      </c>
      <c r="B19" s="3067" t="s">
        <v>3181</v>
      </c>
      <c r="C19" s="3067" t="s">
        <v>3148</v>
      </c>
      <c r="D19" s="3067">
        <v>10797</v>
      </c>
      <c r="E19" s="3067">
        <v>21594</v>
      </c>
      <c r="F19" s="3067" t="s">
        <v>3157</v>
      </c>
      <c r="G19" s="3067" t="s">
        <v>3182</v>
      </c>
      <c r="H19" s="3067" t="s">
        <v>3154</v>
      </c>
      <c r="I19" s="3067">
        <v>0</v>
      </c>
      <c r="J19" s="3067" t="s">
        <v>3217</v>
      </c>
      <c r="K19" s="3067" t="s">
        <v>3217</v>
      </c>
      <c r="L19" s="3067">
        <v>313.10000000000002</v>
      </c>
      <c r="M19" s="3067">
        <v>313.10000000000002</v>
      </c>
      <c r="N19" s="3067">
        <v>144.99</v>
      </c>
      <c r="O19" s="3067">
        <v>0</v>
      </c>
      <c r="P19" s="3067" t="s">
        <v>3218</v>
      </c>
      <c r="Q19" s="3067" t="s">
        <v>3161</v>
      </c>
    </row>
    <row r="20" spans="1:17">
      <c r="A20" s="3067" t="s">
        <v>3216</v>
      </c>
      <c r="B20" s="3067" t="s">
        <v>3181</v>
      </c>
      <c r="C20" s="3067" t="s">
        <v>3148</v>
      </c>
      <c r="D20" s="3067">
        <v>17056</v>
      </c>
      <c r="E20" s="3067">
        <v>51168</v>
      </c>
      <c r="F20" s="3067" t="s">
        <v>3190</v>
      </c>
      <c r="G20" s="3067" t="s">
        <v>3182</v>
      </c>
      <c r="H20" s="3067" t="s">
        <v>3191</v>
      </c>
      <c r="I20" s="3067">
        <v>0</v>
      </c>
      <c r="J20" s="3067" t="s">
        <v>3217</v>
      </c>
      <c r="K20" s="3067" t="s">
        <v>3217</v>
      </c>
      <c r="L20" s="3067">
        <v>511.69</v>
      </c>
      <c r="M20" s="3067">
        <v>511.69</v>
      </c>
      <c r="N20" s="3067">
        <v>100</v>
      </c>
      <c r="O20" s="3067">
        <v>0</v>
      </c>
      <c r="P20" s="3067" t="s">
        <v>3218</v>
      </c>
      <c r="Q20" s="3067" t="s">
        <v>3161</v>
      </c>
    </row>
    <row r="21" spans="1:17">
      <c r="A21" s="3067" t="s">
        <v>3216</v>
      </c>
      <c r="B21" s="3067" t="s">
        <v>3181</v>
      </c>
      <c r="C21" s="3067" t="s">
        <v>3148</v>
      </c>
      <c r="D21" s="3067">
        <v>7065</v>
      </c>
      <c r="E21" s="3067">
        <v>14130</v>
      </c>
      <c r="F21" s="3067" t="s">
        <v>3157</v>
      </c>
      <c r="G21" s="3067" t="s">
        <v>3182</v>
      </c>
      <c r="H21" s="3067" t="s">
        <v>3154</v>
      </c>
      <c r="I21" s="3067">
        <v>0</v>
      </c>
      <c r="J21" s="3067" t="s">
        <v>3217</v>
      </c>
      <c r="K21" s="3067" t="s">
        <v>3217</v>
      </c>
      <c r="L21" s="3067">
        <v>204.9</v>
      </c>
      <c r="M21" s="3067">
        <v>204.9</v>
      </c>
      <c r="N21" s="3067">
        <v>145</v>
      </c>
      <c r="O21" s="3067">
        <v>0</v>
      </c>
      <c r="P21" s="3067" t="s">
        <v>3218</v>
      </c>
      <c r="Q21" s="3067" t="s">
        <v>3161</v>
      </c>
    </row>
    <row r="22" spans="1:17">
      <c r="A22" s="3067" t="s">
        <v>3216</v>
      </c>
      <c r="B22" s="3067" t="s">
        <v>3181</v>
      </c>
      <c r="C22" s="3067" t="s">
        <v>3148</v>
      </c>
      <c r="D22" s="3067">
        <v>5403</v>
      </c>
      <c r="E22" s="3067">
        <v>10806</v>
      </c>
      <c r="F22" s="3067" t="s">
        <v>3157</v>
      </c>
      <c r="G22" s="3067" t="s">
        <v>3182</v>
      </c>
      <c r="H22" s="3067" t="s">
        <v>3154</v>
      </c>
      <c r="I22" s="3067">
        <v>0</v>
      </c>
      <c r="J22" s="3067" t="s">
        <v>3217</v>
      </c>
      <c r="K22" s="3067" t="s">
        <v>3217</v>
      </c>
      <c r="L22" s="3067">
        <v>156.69</v>
      </c>
      <c r="M22" s="3067">
        <v>156.69</v>
      </c>
      <c r="N22" s="3067">
        <v>145</v>
      </c>
      <c r="O22" s="3067">
        <v>0</v>
      </c>
      <c r="P22" s="3067" t="s">
        <v>3218</v>
      </c>
      <c r="Q22" s="3067" t="s">
        <v>3161</v>
      </c>
    </row>
    <row r="23" spans="1:17">
      <c r="A23" s="3067" t="s">
        <v>3216</v>
      </c>
      <c r="B23" s="3067" t="s">
        <v>3181</v>
      </c>
      <c r="C23" s="3067" t="s">
        <v>3148</v>
      </c>
      <c r="D23" s="3067">
        <v>16276</v>
      </c>
      <c r="E23" s="3067">
        <v>32552</v>
      </c>
      <c r="F23" s="3067" t="s">
        <v>3157</v>
      </c>
      <c r="G23" s="3067" t="s">
        <v>3182</v>
      </c>
      <c r="H23" s="3067" t="s">
        <v>3154</v>
      </c>
      <c r="I23" s="3067">
        <v>0</v>
      </c>
      <c r="J23" s="3067" t="s">
        <v>3217</v>
      </c>
      <c r="K23" s="3067" t="s">
        <v>3217</v>
      </c>
      <c r="L23" s="3067">
        <v>472.01</v>
      </c>
      <c r="M23" s="3067">
        <v>472.01</v>
      </c>
      <c r="N23" s="3067">
        <v>145</v>
      </c>
      <c r="O23" s="3067">
        <v>0</v>
      </c>
      <c r="P23" s="3067" t="s">
        <v>3218</v>
      </c>
      <c r="Q23" s="3067" t="s">
        <v>3161</v>
      </c>
    </row>
    <row r="24" spans="1:17">
      <c r="A24" s="3067" t="s">
        <v>3194</v>
      </c>
      <c r="B24" s="3067" t="s">
        <v>3181</v>
      </c>
      <c r="C24" s="3067" t="s">
        <v>3148</v>
      </c>
      <c r="D24" s="3067">
        <v>4466.1499999999996</v>
      </c>
      <c r="E24" s="3067">
        <v>6699.23</v>
      </c>
      <c r="F24" s="3067" t="s">
        <v>3202</v>
      </c>
      <c r="G24" s="3067" t="s">
        <v>3182</v>
      </c>
      <c r="H24" s="3067" t="s">
        <v>3154</v>
      </c>
      <c r="I24" s="3067">
        <v>0</v>
      </c>
      <c r="J24" s="3067" t="s">
        <v>3219</v>
      </c>
      <c r="K24" s="3067" t="s">
        <v>3219</v>
      </c>
      <c r="L24" s="3067">
        <v>517</v>
      </c>
      <c r="M24" s="3067">
        <v>600</v>
      </c>
      <c r="N24" s="3067">
        <v>895.62</v>
      </c>
      <c r="O24" s="3067">
        <v>16.05</v>
      </c>
      <c r="P24" s="3067" t="s">
        <v>3220</v>
      </c>
      <c r="Q24" s="3067" t="s">
        <v>3161</v>
      </c>
    </row>
    <row r="25" spans="1:17">
      <c r="A25" s="3067" t="s">
        <v>3221</v>
      </c>
      <c r="B25" s="3067" t="s">
        <v>3181</v>
      </c>
      <c r="C25" s="3067" t="s">
        <v>3148</v>
      </c>
      <c r="D25" s="3067">
        <v>10497.15</v>
      </c>
      <c r="E25" s="3067">
        <v>20994.3</v>
      </c>
      <c r="F25" s="3067" t="s">
        <v>3155</v>
      </c>
      <c r="G25" s="3067" t="s">
        <v>3182</v>
      </c>
      <c r="H25" s="3067" t="s">
        <v>3191</v>
      </c>
      <c r="I25" s="3067">
        <v>0</v>
      </c>
      <c r="J25" s="3067" t="s">
        <v>3222</v>
      </c>
      <c r="K25" s="3067" t="s">
        <v>3222</v>
      </c>
      <c r="L25" s="3067">
        <v>1606.5</v>
      </c>
      <c r="M25" s="3067">
        <v>1606.5</v>
      </c>
      <c r="N25" s="3067">
        <v>765.21</v>
      </c>
      <c r="O25" s="3067">
        <v>0</v>
      </c>
      <c r="P25" s="3067" t="s">
        <v>3223</v>
      </c>
      <c r="Q25" s="3067" t="s">
        <v>3161</v>
      </c>
    </row>
    <row r="26" spans="1:17">
      <c r="A26" s="3067" t="s">
        <v>3213</v>
      </c>
      <c r="B26" s="3067" t="s">
        <v>3181</v>
      </c>
      <c r="C26" s="3067" t="s">
        <v>3148</v>
      </c>
      <c r="D26" s="3067">
        <v>38016</v>
      </c>
      <c r="E26" s="3067">
        <v>76032</v>
      </c>
      <c r="F26" s="3067" t="s">
        <v>3157</v>
      </c>
      <c r="G26" s="3067" t="s">
        <v>3150</v>
      </c>
      <c r="H26" s="3067" t="s">
        <v>3084</v>
      </c>
      <c r="I26" s="3067">
        <v>0</v>
      </c>
      <c r="J26" s="3067" t="s">
        <v>3224</v>
      </c>
      <c r="K26" s="3067" t="s">
        <v>3224</v>
      </c>
      <c r="L26" s="3067">
        <v>4251</v>
      </c>
      <c r="M26" s="3067">
        <v>4251</v>
      </c>
      <c r="N26" s="3067">
        <v>559.11</v>
      </c>
      <c r="O26" s="3067">
        <v>0</v>
      </c>
      <c r="P26" s="3067" t="s">
        <v>3225</v>
      </c>
      <c r="Q26" s="3067" t="s">
        <v>3161</v>
      </c>
    </row>
    <row r="27" spans="1:17">
      <c r="A27" s="3067" t="s">
        <v>3213</v>
      </c>
      <c r="B27" s="3067" t="s">
        <v>3181</v>
      </c>
      <c r="C27" s="3067" t="s">
        <v>3148</v>
      </c>
      <c r="D27" s="3067">
        <v>6184.69</v>
      </c>
      <c r="E27" s="3067">
        <v>12369.38</v>
      </c>
      <c r="F27" s="3067" t="s">
        <v>3157</v>
      </c>
      <c r="G27" s="3067" t="s">
        <v>3150</v>
      </c>
      <c r="H27" s="3067" t="s">
        <v>3084</v>
      </c>
      <c r="I27" s="3067">
        <v>0</v>
      </c>
      <c r="J27" s="3067" t="s">
        <v>3224</v>
      </c>
      <c r="K27" s="3067" t="s">
        <v>3224</v>
      </c>
      <c r="L27" s="3067">
        <v>680</v>
      </c>
      <c r="M27" s="3067">
        <v>680</v>
      </c>
      <c r="N27" s="3067">
        <v>549.74</v>
      </c>
      <c r="O27" s="3067">
        <v>0</v>
      </c>
      <c r="P27" s="3067" t="s">
        <v>3225</v>
      </c>
      <c r="Q27" s="3067" t="s">
        <v>3161</v>
      </c>
    </row>
    <row r="28" spans="1:17">
      <c r="A28" s="3067" t="s">
        <v>3213</v>
      </c>
      <c r="B28" s="3067" t="s">
        <v>3181</v>
      </c>
      <c r="C28" s="3067" t="s">
        <v>3148</v>
      </c>
      <c r="D28" s="3067">
        <v>20046.86</v>
      </c>
      <c r="E28" s="3067">
        <v>40093.72</v>
      </c>
      <c r="F28" s="3067" t="s">
        <v>3157</v>
      </c>
      <c r="G28" s="3067" t="s">
        <v>3150</v>
      </c>
      <c r="H28" s="3067" t="s">
        <v>3084</v>
      </c>
      <c r="I28" s="3067">
        <v>0</v>
      </c>
      <c r="J28" s="3067" t="s">
        <v>3224</v>
      </c>
      <c r="K28" s="3067" t="s">
        <v>3224</v>
      </c>
      <c r="L28" s="3067">
        <v>2228</v>
      </c>
      <c r="M28" s="3067">
        <v>2228</v>
      </c>
      <c r="N28" s="3067">
        <v>555.70000000000005</v>
      </c>
      <c r="O28" s="3067">
        <v>0</v>
      </c>
      <c r="P28" s="3067" t="s">
        <v>3226</v>
      </c>
      <c r="Q28" s="3067" t="s">
        <v>3161</v>
      </c>
    </row>
    <row r="29" spans="1:17">
      <c r="A29" s="3067" t="s">
        <v>3227</v>
      </c>
      <c r="B29" s="3067" t="s">
        <v>3181</v>
      </c>
      <c r="C29" s="3067" t="s">
        <v>3148</v>
      </c>
      <c r="D29" s="3067">
        <v>617.59</v>
      </c>
      <c r="E29" s="3067">
        <v>1111.6600000000001</v>
      </c>
      <c r="F29" s="3067" t="s">
        <v>3228</v>
      </c>
      <c r="G29" s="3067" t="s">
        <v>3150</v>
      </c>
      <c r="H29" s="3067" t="s">
        <v>3165</v>
      </c>
      <c r="I29" s="3067">
        <v>0</v>
      </c>
      <c r="J29" s="3067" t="s">
        <v>3229</v>
      </c>
      <c r="K29" s="3067" t="s">
        <v>3229</v>
      </c>
      <c r="L29" s="3067">
        <v>78</v>
      </c>
      <c r="M29" s="3067">
        <v>78</v>
      </c>
      <c r="N29" s="3067">
        <v>701.64</v>
      </c>
      <c r="O29" s="3067">
        <v>0</v>
      </c>
      <c r="P29" s="3067" t="s">
        <v>3230</v>
      </c>
      <c r="Q29" s="3067" t="s">
        <v>3160</v>
      </c>
    </row>
    <row r="30" spans="1:17">
      <c r="A30" s="3067" t="s">
        <v>3231</v>
      </c>
      <c r="B30" s="3067" t="s">
        <v>3181</v>
      </c>
      <c r="C30" s="3067" t="s">
        <v>3148</v>
      </c>
      <c r="D30" s="3067">
        <v>3725.65</v>
      </c>
      <c r="E30" s="3067">
        <v>5588.48</v>
      </c>
      <c r="F30" s="3067" t="s">
        <v>3202</v>
      </c>
      <c r="G30" s="3067" t="s">
        <v>3150</v>
      </c>
      <c r="H30" s="3067" t="s">
        <v>3151</v>
      </c>
      <c r="I30" s="3067">
        <v>0</v>
      </c>
      <c r="J30" s="3067" t="s">
        <v>3232</v>
      </c>
      <c r="K30" s="3067" t="s">
        <v>3232</v>
      </c>
      <c r="L30" s="3067">
        <v>111</v>
      </c>
      <c r="M30" s="3067">
        <v>631.66</v>
      </c>
      <c r="N30" s="3067">
        <v>1130.3</v>
      </c>
      <c r="O30" s="3067">
        <v>469.07</v>
      </c>
      <c r="P30" s="3067" t="s">
        <v>3185</v>
      </c>
      <c r="Q30" s="3067" t="s">
        <v>3159</v>
      </c>
    </row>
    <row r="31" spans="1:17">
      <c r="A31" s="3067" t="s">
        <v>3233</v>
      </c>
      <c r="B31" s="3067" t="s">
        <v>3181</v>
      </c>
      <c r="C31" s="3067" t="s">
        <v>3148</v>
      </c>
      <c r="D31" s="3067">
        <v>3312.84</v>
      </c>
      <c r="E31" s="3067">
        <v>4969.26</v>
      </c>
      <c r="F31" s="3067" t="s">
        <v>3202</v>
      </c>
      <c r="G31" s="3067" t="s">
        <v>3150</v>
      </c>
      <c r="H31" s="3067" t="s">
        <v>3084</v>
      </c>
      <c r="I31" s="3067">
        <v>0</v>
      </c>
      <c r="J31" s="3067" t="s">
        <v>3234</v>
      </c>
      <c r="K31" s="3067" t="s">
        <v>3234</v>
      </c>
      <c r="L31" s="3067">
        <v>400</v>
      </c>
      <c r="M31" s="3067">
        <v>4740</v>
      </c>
      <c r="N31" s="3067">
        <v>9538.6299999999992</v>
      </c>
      <c r="O31" s="3067">
        <v>1085</v>
      </c>
      <c r="P31" s="3067" t="s">
        <v>3235</v>
      </c>
      <c r="Q31" s="3067" t="s">
        <v>3161</v>
      </c>
    </row>
    <row r="32" spans="1:17">
      <c r="A32" s="3067" t="s">
        <v>3236</v>
      </c>
      <c r="B32" s="3067" t="s">
        <v>3181</v>
      </c>
      <c r="C32" s="3067" t="s">
        <v>3148</v>
      </c>
      <c r="D32" s="3067">
        <v>2478.17</v>
      </c>
      <c r="E32" s="3067">
        <v>2973.8</v>
      </c>
      <c r="F32" s="3067" t="s">
        <v>3149</v>
      </c>
      <c r="G32" s="3067" t="s">
        <v>3150</v>
      </c>
      <c r="H32" s="3067" t="s">
        <v>3158</v>
      </c>
      <c r="I32" s="3067">
        <v>0</v>
      </c>
      <c r="J32" s="3067" t="s">
        <v>3234</v>
      </c>
      <c r="K32" s="3067" t="s">
        <v>3234</v>
      </c>
      <c r="L32" s="3067">
        <v>207</v>
      </c>
      <c r="M32" s="3067">
        <v>222</v>
      </c>
      <c r="N32" s="3067">
        <v>746.51</v>
      </c>
      <c r="O32" s="3067">
        <v>7.25</v>
      </c>
      <c r="P32" s="3067" t="s">
        <v>3237</v>
      </c>
      <c r="Q32" s="3067" t="s">
        <v>3161</v>
      </c>
    </row>
    <row r="33" spans="1:17">
      <c r="A33" s="3067" t="s">
        <v>3213</v>
      </c>
      <c r="B33" s="3067" t="s">
        <v>3181</v>
      </c>
      <c r="C33" s="3067" t="s">
        <v>3148</v>
      </c>
      <c r="D33" s="3067">
        <v>5227.75</v>
      </c>
      <c r="E33" s="3067">
        <v>8364.4</v>
      </c>
      <c r="F33" s="3067" t="s">
        <v>3238</v>
      </c>
      <c r="G33" s="3067" t="s">
        <v>3150</v>
      </c>
      <c r="H33" s="3067" t="s">
        <v>3084</v>
      </c>
      <c r="I33" s="3067">
        <v>0</v>
      </c>
      <c r="J33" s="3067" t="s">
        <v>3239</v>
      </c>
      <c r="K33" s="3067" t="s">
        <v>3239</v>
      </c>
      <c r="L33" s="3067">
        <v>392</v>
      </c>
      <c r="M33" s="3067">
        <v>817</v>
      </c>
      <c r="N33" s="3067">
        <v>976.75</v>
      </c>
      <c r="O33" s="3067">
        <v>108.42</v>
      </c>
      <c r="P33" s="3067" t="s">
        <v>3240</v>
      </c>
      <c r="Q33" s="3067" t="s">
        <v>3161</v>
      </c>
    </row>
    <row r="34" spans="1:17">
      <c r="A34" s="3067" t="s">
        <v>3180</v>
      </c>
      <c r="B34" s="3067" t="s">
        <v>3181</v>
      </c>
      <c r="C34" s="3067" t="s">
        <v>3148</v>
      </c>
      <c r="D34" s="3067">
        <v>4606.32</v>
      </c>
      <c r="E34" s="3067">
        <v>5988.22</v>
      </c>
      <c r="F34" s="3067" t="s">
        <v>3241</v>
      </c>
      <c r="G34" s="3067" t="s">
        <v>3182</v>
      </c>
      <c r="H34" s="3067" t="s">
        <v>3151</v>
      </c>
      <c r="I34" s="3067">
        <v>0</v>
      </c>
      <c r="J34" s="3067" t="s">
        <v>3242</v>
      </c>
      <c r="K34" s="3067" t="s">
        <v>3242</v>
      </c>
      <c r="L34" s="3067">
        <v>829.2</v>
      </c>
      <c r="M34" s="3067">
        <v>1692.95</v>
      </c>
      <c r="N34" s="3067">
        <v>2827.13</v>
      </c>
      <c r="O34" s="3067">
        <v>104.17</v>
      </c>
      <c r="P34" s="3067" t="s">
        <v>3243</v>
      </c>
      <c r="Q34" s="3067" t="s">
        <v>3159</v>
      </c>
    </row>
    <row r="35" spans="1:17">
      <c r="A35" s="3060" t="s">
        <v>3180</v>
      </c>
      <c r="B35" s="3060" t="s">
        <v>3181</v>
      </c>
      <c r="C35" s="3060" t="s">
        <v>3148</v>
      </c>
      <c r="D35" s="3060">
        <v>47924.04</v>
      </c>
      <c r="E35" s="3060">
        <v>91055.679999999993</v>
      </c>
      <c r="F35" s="3060" t="s">
        <v>3244</v>
      </c>
      <c r="G35" s="3060" t="s">
        <v>3150</v>
      </c>
      <c r="H35" s="3060" t="s">
        <v>3158</v>
      </c>
      <c r="I35" s="3060">
        <v>0</v>
      </c>
      <c r="J35" s="3060" t="s">
        <v>3245</v>
      </c>
      <c r="K35" s="3060" t="s">
        <v>3245</v>
      </c>
      <c r="L35" s="3060">
        <v>12293.19</v>
      </c>
      <c r="M35" s="3060">
        <v>12293.19</v>
      </c>
      <c r="N35" s="3060">
        <v>1350.06</v>
      </c>
      <c r="O35" s="3060">
        <v>0</v>
      </c>
      <c r="P35" s="3060" t="s">
        <v>3164</v>
      </c>
      <c r="Q35" s="3067" t="s">
        <v>3159</v>
      </c>
    </row>
    <row r="36" spans="1:17">
      <c r="A36" s="3067" t="s">
        <v>3246</v>
      </c>
      <c r="B36" s="3067" t="s">
        <v>3181</v>
      </c>
      <c r="C36" s="3067" t="s">
        <v>3148</v>
      </c>
      <c r="D36" s="3067">
        <v>1667.33</v>
      </c>
      <c r="E36" s="3067">
        <v>2000.8</v>
      </c>
      <c r="F36" s="3067" t="s">
        <v>3149</v>
      </c>
      <c r="G36" s="3067" t="s">
        <v>3182</v>
      </c>
      <c r="H36" s="3067" t="s">
        <v>3151</v>
      </c>
      <c r="I36" s="3067">
        <v>0</v>
      </c>
      <c r="J36" s="3067" t="s">
        <v>3247</v>
      </c>
      <c r="K36" s="3067" t="s">
        <v>3247</v>
      </c>
      <c r="L36" s="3067">
        <v>377.5</v>
      </c>
      <c r="M36" s="3067">
        <v>1350</v>
      </c>
      <c r="N36" s="3067">
        <v>6747.3</v>
      </c>
      <c r="O36" s="3067">
        <v>257.62</v>
      </c>
      <c r="P36" s="3067" t="s">
        <v>3248</v>
      </c>
      <c r="Q36" s="3067" t="s">
        <v>3159</v>
      </c>
    </row>
    <row r="37" spans="1:17">
      <c r="A37" s="3067" t="s">
        <v>3196</v>
      </c>
      <c r="B37" s="3067" t="s">
        <v>3181</v>
      </c>
      <c r="C37" s="3067" t="s">
        <v>3148</v>
      </c>
      <c r="D37" s="3067">
        <v>18227.82</v>
      </c>
      <c r="E37" s="3067">
        <v>45569.55</v>
      </c>
      <c r="F37" s="3067" t="s">
        <v>3153</v>
      </c>
      <c r="G37" s="3067" t="s">
        <v>3182</v>
      </c>
      <c r="H37" s="3067" t="s">
        <v>3151</v>
      </c>
      <c r="I37" s="3067">
        <v>0</v>
      </c>
      <c r="J37" s="3067" t="s">
        <v>3249</v>
      </c>
      <c r="K37" s="3067" t="s">
        <v>3249</v>
      </c>
      <c r="L37" s="3067">
        <v>1446</v>
      </c>
      <c r="M37" s="3067">
        <v>1446</v>
      </c>
      <c r="N37" s="3067">
        <v>317.31</v>
      </c>
      <c r="O37" s="3067">
        <v>0</v>
      </c>
      <c r="P37" s="3067" t="s">
        <v>3250</v>
      </c>
      <c r="Q37" s="3067" t="s">
        <v>3159</v>
      </c>
    </row>
    <row r="38" spans="1:17">
      <c r="A38" s="3067" t="s">
        <v>3251</v>
      </c>
      <c r="B38" s="3067" t="s">
        <v>3181</v>
      </c>
      <c r="C38" s="3067" t="s">
        <v>3148</v>
      </c>
      <c r="D38" s="3067">
        <v>62916.639999999999</v>
      </c>
      <c r="E38" s="3067">
        <v>138416.60999999999</v>
      </c>
      <c r="F38" s="3067" t="s">
        <v>3252</v>
      </c>
      <c r="G38" s="3067" t="s">
        <v>3150</v>
      </c>
      <c r="H38" s="3067" t="s">
        <v>3151</v>
      </c>
      <c r="I38" s="3067">
        <v>0</v>
      </c>
      <c r="J38" s="3067" t="s">
        <v>3253</v>
      </c>
      <c r="K38" s="3067" t="s">
        <v>3253</v>
      </c>
      <c r="L38" s="3067">
        <v>4719</v>
      </c>
      <c r="M38" s="3067">
        <v>4719</v>
      </c>
      <c r="N38" s="3067">
        <v>340.93</v>
      </c>
      <c r="O38" s="3067">
        <v>0</v>
      </c>
      <c r="P38" s="3067" t="s">
        <v>3254</v>
      </c>
      <c r="Q38" s="3067" t="s">
        <v>3161</v>
      </c>
    </row>
    <row r="39" spans="1:17">
      <c r="A39" s="3067" t="s">
        <v>3251</v>
      </c>
      <c r="B39" s="3067" t="s">
        <v>3181</v>
      </c>
      <c r="C39" s="3067" t="s">
        <v>3148</v>
      </c>
      <c r="D39" s="3067">
        <v>39665.519999999997</v>
      </c>
      <c r="E39" s="3067">
        <v>99163.8</v>
      </c>
      <c r="F39" s="3067" t="s">
        <v>3153</v>
      </c>
      <c r="G39" s="3067" t="s">
        <v>3150</v>
      </c>
      <c r="H39" s="3067" t="s">
        <v>3151</v>
      </c>
      <c r="I39" s="3067">
        <v>0</v>
      </c>
      <c r="J39" s="3067" t="s">
        <v>3255</v>
      </c>
      <c r="K39" s="3067" t="s">
        <v>3255</v>
      </c>
      <c r="L39" s="3067">
        <v>2975</v>
      </c>
      <c r="M39" s="3067">
        <v>2975</v>
      </c>
      <c r="N39" s="3067">
        <v>300</v>
      </c>
      <c r="O39" s="3067">
        <v>0</v>
      </c>
      <c r="P39" s="3067" t="s">
        <v>3256</v>
      </c>
      <c r="Q39" s="3067" t="s">
        <v>3161</v>
      </c>
    </row>
    <row r="40" spans="1:17">
      <c r="A40" s="3067" t="s">
        <v>3257</v>
      </c>
      <c r="B40" s="3067" t="s">
        <v>3181</v>
      </c>
      <c r="C40" s="3067" t="s">
        <v>3148</v>
      </c>
      <c r="D40" s="3067">
        <v>13553.21</v>
      </c>
      <c r="E40" s="3067">
        <v>40659.629999999997</v>
      </c>
      <c r="F40" s="3067" t="s">
        <v>3190</v>
      </c>
      <c r="G40" s="3067" t="s">
        <v>3150</v>
      </c>
      <c r="H40" s="3067" t="s">
        <v>3158</v>
      </c>
      <c r="I40" s="3067">
        <v>0</v>
      </c>
      <c r="J40" s="3067" t="s">
        <v>3258</v>
      </c>
      <c r="K40" s="3067" t="s">
        <v>3258</v>
      </c>
      <c r="L40" s="3067">
        <v>4675.8900000000003</v>
      </c>
      <c r="M40" s="3067">
        <v>4675.8900000000003</v>
      </c>
      <c r="N40" s="3067">
        <v>1150</v>
      </c>
      <c r="O40" s="3067">
        <v>0</v>
      </c>
      <c r="P40" s="3067" t="s">
        <v>3259</v>
      </c>
      <c r="Q40" s="3067" t="s">
        <v>3159</v>
      </c>
    </row>
    <row r="41" spans="1:17">
      <c r="A41" s="3067" t="s">
        <v>3260</v>
      </c>
      <c r="B41" s="3067" t="s">
        <v>3181</v>
      </c>
      <c r="C41" s="3067" t="s">
        <v>3148</v>
      </c>
      <c r="D41" s="3067">
        <v>2621.68</v>
      </c>
      <c r="E41" s="3067">
        <v>5243.36</v>
      </c>
      <c r="F41" s="3067" t="s">
        <v>3157</v>
      </c>
      <c r="G41" s="3067" t="s">
        <v>3150</v>
      </c>
      <c r="H41" s="3067" t="s">
        <v>3151</v>
      </c>
      <c r="I41" s="3067">
        <v>0</v>
      </c>
      <c r="J41" s="3067" t="s">
        <v>3261</v>
      </c>
      <c r="K41" s="3067" t="s">
        <v>3261</v>
      </c>
      <c r="L41" s="3067">
        <v>75.23</v>
      </c>
      <c r="M41" s="3067">
        <v>180.84</v>
      </c>
      <c r="N41" s="3067">
        <v>344.91</v>
      </c>
      <c r="O41" s="3067">
        <v>140.36000000000001</v>
      </c>
      <c r="P41" s="3067" t="s">
        <v>3262</v>
      </c>
      <c r="Q41" s="3067" t="s">
        <v>3159</v>
      </c>
    </row>
    <row r="42" spans="1:17">
      <c r="A42" s="3067" t="s">
        <v>3263</v>
      </c>
      <c r="B42" s="3067" t="s">
        <v>3181</v>
      </c>
      <c r="C42" s="3067" t="s">
        <v>3148</v>
      </c>
      <c r="D42" s="3067">
        <v>15823.44</v>
      </c>
      <c r="E42" s="3067">
        <v>47470.32</v>
      </c>
      <c r="F42" s="3067" t="s">
        <v>3190</v>
      </c>
      <c r="G42" s="3067" t="s">
        <v>3150</v>
      </c>
      <c r="H42" s="3067" t="s">
        <v>3158</v>
      </c>
      <c r="I42" s="3067">
        <v>0</v>
      </c>
      <c r="J42" s="3067" t="s">
        <v>3264</v>
      </c>
      <c r="K42" s="3067" t="s">
        <v>3264</v>
      </c>
      <c r="L42" s="3067">
        <v>2112.86</v>
      </c>
      <c r="M42" s="3067">
        <v>2112.86</v>
      </c>
      <c r="N42" s="3067">
        <v>445.08</v>
      </c>
      <c r="O42" s="3067">
        <v>0</v>
      </c>
      <c r="P42" s="3067" t="s">
        <v>3265</v>
      </c>
      <c r="Q42" s="3067" t="s">
        <v>3160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0" t="str">
        <f>IF(项目基本情况!B9="房地产市场价值","估价结果一览表","结果表-2")</f>
        <v>估价结果一览表</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建筑物价值</v>
      </c>
      <c r="G2" s="3091"/>
      <c r="H2" s="3091" t="str">
        <f>IF(项目基本情况!B9="房地产市场价值","房地产市场价值","房地产价值")</f>
        <v>房地产市场价值</v>
      </c>
      <c r="I2" s="3091"/>
    </row>
    <row r="3" spans="1:9" ht="15">
      <c r="A3" s="3092"/>
      <c r="B3" s="3092"/>
      <c r="C3" s="3092"/>
      <c r="D3" s="960" t="s">
        <v>1603</v>
      </c>
      <c r="E3" s="960" t="s">
        <v>1609</v>
      </c>
      <c r="F3" s="960" t="s">
        <v>1603</v>
      </c>
      <c r="G3" s="960" t="s">
        <v>1604</v>
      </c>
      <c r="H3" s="960" t="s">
        <v>1603</v>
      </c>
      <c r="I3" s="960" t="s">
        <v>1604</v>
      </c>
    </row>
    <row r="4" spans="1:9" ht="15">
      <c r="A4" s="1688" t="str">
        <f>项目基本情况!S2</f>
        <v>四川省雅安市雨城区熊猫大道66号等6处商业用房房地产</v>
      </c>
      <c r="B4" s="960">
        <f>项目基本情况!C17</f>
        <v>96983.22</v>
      </c>
      <c r="C4" s="960">
        <f>项目基本情况!C18</f>
        <v>47924.04</v>
      </c>
      <c r="D4" s="960">
        <f ca="1">结果表!D118</f>
        <v>24478</v>
      </c>
      <c r="E4" s="960">
        <f ca="1">结果表!E118</f>
        <v>2524</v>
      </c>
      <c r="F4" s="960">
        <f ca="1">结果表!F118</f>
        <v>61109</v>
      </c>
      <c r="G4" s="960">
        <f ca="1">结果表!G118</f>
        <v>6301</v>
      </c>
      <c r="H4" s="960">
        <f ca="1">结果表!H118</f>
        <v>85587</v>
      </c>
      <c r="I4" s="960">
        <f ca="1">结果表!I118</f>
        <v>8825</v>
      </c>
    </row>
    <row r="5" spans="1:9" ht="30" customHeight="1">
      <c r="A5" s="3092" t="s">
        <v>1605</v>
      </c>
      <c r="B5" s="3092"/>
      <c r="C5" s="3092"/>
      <c r="D5" s="3093" t="str">
        <f ca="1">结果表!D119</f>
        <v>贰亿肆仟肆佰柒拾捌万元整</v>
      </c>
      <c r="E5" s="3093"/>
      <c r="F5" s="3093" t="str">
        <f ca="1">结果表!F119</f>
        <v>陆亿壹仟壹佰零玖万元整</v>
      </c>
      <c r="G5" s="3093"/>
      <c r="H5" s="3093" t="str">
        <f ca="1">结果表!H119</f>
        <v>捌亿伍仟伍佰捌拾柒万元整</v>
      </c>
      <c r="I5" s="3093"/>
    </row>
    <row r="6" spans="1:9" ht="15.75">
      <c r="A6" s="3094" t="str">
        <f>结果表!A120</f>
        <v/>
      </c>
      <c r="B6" s="3094"/>
      <c r="C6" s="3094"/>
      <c r="D6" s="3094">
        <f>结果表!D120</f>
        <v>0</v>
      </c>
      <c r="E6" s="3094"/>
      <c r="F6" s="3094"/>
      <c r="G6" s="3094"/>
      <c r="H6" s="3094"/>
      <c r="I6" s="3094"/>
    </row>
    <row r="7" spans="1:9" ht="15">
      <c r="A7" s="3092" t="s">
        <v>1605</v>
      </c>
      <c r="B7" s="3092"/>
      <c r="C7" s="3092"/>
      <c r="D7" s="3095" t="str">
        <f>结果表!D121</f>
        <v>零元整</v>
      </c>
      <c r="E7" s="3096"/>
      <c r="F7" s="3096"/>
      <c r="G7" s="3096"/>
      <c r="H7" s="3096"/>
      <c r="I7" s="3097"/>
    </row>
    <row r="8" spans="1:9" ht="15.75">
      <c r="A8" s="3094" t="str">
        <f>结果表!A122</f>
        <v/>
      </c>
      <c r="B8" s="3094"/>
      <c r="C8" s="3094"/>
      <c r="D8" s="3094">
        <f ca="1">结果表!D122</f>
        <v>85587</v>
      </c>
      <c r="E8" s="3094"/>
      <c r="F8" s="3094"/>
      <c r="G8" s="3094"/>
      <c r="H8" s="3094"/>
      <c r="I8" s="3094"/>
    </row>
    <row r="9" spans="1:9" ht="15">
      <c r="A9" s="3092" t="s">
        <v>1605</v>
      </c>
      <c r="B9" s="3092"/>
      <c r="C9" s="3092"/>
      <c r="D9" s="3093" t="str">
        <f ca="1">结果表!D123</f>
        <v>捌亿伍仟伍佰捌拾柒万元整</v>
      </c>
      <c r="E9" s="3093"/>
      <c r="F9" s="3093"/>
      <c r="G9" s="3093"/>
      <c r="H9" s="3093"/>
      <c r="I9" s="3093"/>
    </row>
    <row r="10" spans="1:9" ht="15.75">
      <c r="A10" s="3094" t="str">
        <f>结果表!A124</f>
        <v/>
      </c>
      <c r="B10" s="3094"/>
      <c r="C10" s="3094"/>
      <c r="D10" s="3094" t="str">
        <f>结果表!D124</f>
        <v>——</v>
      </c>
      <c r="E10" s="3094"/>
      <c r="F10" s="3094"/>
      <c r="G10" s="3094"/>
      <c r="H10" s="3094"/>
      <c r="I10" s="3094"/>
    </row>
    <row r="11" spans="1:9" ht="15">
      <c r="A11" s="3092" t="s">
        <v>1605</v>
      </c>
      <c r="B11" s="3092"/>
      <c r="C11" s="3092"/>
      <c r="D11" s="3093" t="e">
        <f>结果表!D125</f>
        <v>#VALUE!</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1" t="s">
        <v>1627</v>
      </c>
      <c r="B1" s="3101"/>
      <c r="C1" s="3101"/>
      <c r="D1" s="3101"/>
    </row>
    <row r="2" spans="1:4" ht="18">
      <c r="A2" s="3102" t="s">
        <v>1611</v>
      </c>
      <c r="B2" s="3102"/>
      <c r="C2" s="3102"/>
      <c r="D2" s="3102"/>
    </row>
    <row r="3" spans="1:4" ht="18.75">
      <c r="A3" s="1692" t="s">
        <v>1612</v>
      </c>
      <c r="B3" s="1692" t="s">
        <v>1613</v>
      </c>
      <c r="C3" s="1692" t="s">
        <v>1614</v>
      </c>
      <c r="D3" s="1692" t="s">
        <v>1615</v>
      </c>
    </row>
    <row r="4" spans="1:4" ht="56.25" customHeight="1">
      <c r="A4" s="1693" t="str">
        <f>项目基本情况!B4</f>
        <v>吴薇</v>
      </c>
      <c r="B4" s="1694">
        <f ca="1">项目基本情况!C4</f>
        <v>1419970001</v>
      </c>
      <c r="C4" s="1695"/>
      <c r="D4" s="1696" t="s">
        <v>1616</v>
      </c>
    </row>
    <row r="5" spans="1:4" ht="56.25" customHeight="1">
      <c r="A5" s="1693" t="str">
        <f>项目基本情况!D4</f>
        <v>郑燚</v>
      </c>
      <c r="B5" s="1694">
        <f ca="1">项目基本情况!E4</f>
        <v>1120070131</v>
      </c>
      <c r="C5" s="1697"/>
      <c r="D5" s="1696" t="s">
        <v>1616</v>
      </c>
    </row>
    <row r="6" spans="1:4" ht="18">
      <c r="A6" s="3102" t="s">
        <v>1617</v>
      </c>
      <c r="B6" s="3102"/>
      <c r="C6" s="3102"/>
      <c r="D6" s="3102"/>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103"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5"/>
      <c r="C12" s="3105"/>
      <c r="D12" s="3105"/>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5"/>
      <c r="C13" s="3105"/>
      <c r="D13" s="3105"/>
    </row>
    <row r="14" spans="1:4" ht="15.75" customHeight="1">
      <c r="A14" s="3104" t="str">
        <f>IF(项目基本情况!B8="抵押","4.本次评估估价师所知悉的法定优先受偿款情况说明如下：","——")</f>
        <v>4.本次评估估价师所知悉的法定优先受偿款情况说明如下：</v>
      </c>
      <c r="B14" s="3105"/>
      <c r="C14" s="3105"/>
      <c r="D14" s="3105"/>
    </row>
    <row r="15" spans="1:4" ht="42" customHeight="1">
      <c r="A15" s="3104" t="str">
        <f>IF(项目基本情况!B8="抵押","（1）"&amp;CONCATENATE(项目基本情况!L20,项目基本情况!L21,项目基本情况!L22),"——")</f>
        <v>（1）根据估价对象《不动产权证书》复印件、，截至价值时点，估价对象抵押权未见登记。</v>
      </c>
      <c r="B15" s="3104"/>
      <c r="C15" s="3104"/>
      <c r="D15" s="3104"/>
    </row>
    <row r="16" spans="1:4" ht="30" customHeight="1">
      <c r="A16" s="3107" t="s">
        <v>1621</v>
      </c>
      <c r="B16" s="3107"/>
      <c r="C16" s="3107"/>
      <c r="D16" s="3107"/>
    </row>
    <row r="17" spans="1:4" ht="144" customHeight="1">
      <c r="A17" s="3107" t="s">
        <v>1622</v>
      </c>
      <c r="B17" s="3107"/>
      <c r="C17" s="3107"/>
      <c r="D17" s="3107"/>
    </row>
    <row r="18" spans="1:4" ht="15.75" customHeight="1">
      <c r="A18" s="3104" t="str">
        <f>IF(项目基本情况!B8="抵押",结果表!K120,"——")</f>
        <v>故，本次评估不存在</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1623</v>
      </c>
      <c r="B22" s="3109"/>
      <c r="C22" s="3109"/>
      <c r="D22" s="3109"/>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5" t="s">
        <v>1634</v>
      </c>
      <c r="B15" s="3110" t="s">
        <v>136</v>
      </c>
      <c r="C15" s="3111"/>
    </row>
    <row r="16" spans="1:7" ht="13.5">
      <c r="A16" s="3116"/>
      <c r="B16" s="3110" t="s">
        <v>69</v>
      </c>
      <c r="C16" s="3111"/>
    </row>
    <row r="17" spans="1:3" ht="13.5">
      <c r="A17" s="3116"/>
      <c r="B17" s="3113" t="s">
        <v>1635</v>
      </c>
      <c r="C17" s="1715" t="s">
        <v>1634</v>
      </c>
    </row>
    <row r="18" spans="1:3" ht="13.5">
      <c r="A18" s="3116"/>
      <c r="B18" s="3113"/>
      <c r="C18" s="1715" t="s">
        <v>1636</v>
      </c>
    </row>
    <row r="19" spans="1:3" ht="13.5">
      <c r="A19" s="3116"/>
      <c r="B19" s="3113"/>
      <c r="C19" s="1715" t="s">
        <v>1637</v>
      </c>
    </row>
    <row r="20" spans="1:3" ht="13.5">
      <c r="A20" s="3117"/>
      <c r="B20" s="3112" t="s">
        <v>1638</v>
      </c>
      <c r="C20" s="3111"/>
    </row>
    <row r="21" spans="1:3" ht="13.5">
      <c r="A21" s="1716" t="s">
        <v>1639</v>
      </c>
      <c r="B21" s="1717"/>
      <c r="C21" s="1718"/>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5" t="s">
        <v>1645</v>
      </c>
    </row>
    <row r="26" spans="1:3" ht="13.5">
      <c r="A26" s="3114"/>
      <c r="B26" s="3113"/>
      <c r="C26" s="1715" t="s">
        <v>1646</v>
      </c>
    </row>
    <row r="27" spans="1:3" ht="13.5">
      <c r="A27" s="3114"/>
      <c r="B27" s="3113"/>
      <c r="C27" s="1715" t="s">
        <v>1647</v>
      </c>
    </row>
    <row r="28" spans="1:3" ht="13.5">
      <c r="A28" s="3114"/>
      <c r="B28" s="3113"/>
      <c r="C28" s="1715" t="s">
        <v>1648</v>
      </c>
    </row>
    <row r="29" spans="1:3" ht="13.5">
      <c r="A29" s="3114"/>
      <c r="B29" s="3113"/>
      <c r="C29" s="1715" t="s">
        <v>1649</v>
      </c>
    </row>
    <row r="30" spans="1:3" ht="13.5">
      <c r="A30" s="3114"/>
      <c r="B30" s="3113"/>
      <c r="C30" s="1715" t="s">
        <v>1650</v>
      </c>
    </row>
    <row r="31" spans="1:3" ht="13.5">
      <c r="A31" s="3114"/>
      <c r="B31" s="3113"/>
      <c r="C31" s="1715" t="s">
        <v>1651</v>
      </c>
    </row>
    <row r="32" spans="1:3" ht="13.5">
      <c r="A32" s="3114"/>
      <c r="B32" s="3113"/>
      <c r="C32" s="1715" t="s">
        <v>1652</v>
      </c>
    </row>
    <row r="33" spans="1:3" ht="13.5">
      <c r="A33" s="3114"/>
      <c r="B33" s="3113"/>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2872</v>
      </c>
      <c r="B2" s="2558">
        <f ca="1">TODAY()</f>
        <v>44363</v>
      </c>
      <c r="C2" s="2559" t="s">
        <v>2873</v>
      </c>
      <c r="D2" s="2559"/>
      <c r="E2" s="2559"/>
      <c r="F2" s="2555"/>
      <c r="G2" s="2555"/>
      <c r="H2" s="2555"/>
    </row>
    <row r="3" spans="1:8" ht="24" customHeight="1">
      <c r="A3" s="2560" t="s">
        <v>2874</v>
      </c>
      <c r="B3" s="2561" t="s">
        <v>2875</v>
      </c>
      <c r="C3" s="2561" t="s">
        <v>2876</v>
      </c>
      <c r="D3" s="2562" t="s">
        <v>2877</v>
      </c>
      <c r="E3" s="2563" t="s">
        <v>2878</v>
      </c>
      <c r="F3" s="1470" t="s">
        <v>2879</v>
      </c>
      <c r="G3" s="2561" t="s">
        <v>2876</v>
      </c>
      <c r="H3" s="2562" t="s">
        <v>2880</v>
      </c>
    </row>
    <row r="4" spans="1:8" ht="24" customHeight="1">
      <c r="A4" s="1470" t="s">
        <v>2881</v>
      </c>
      <c r="B4" s="1470">
        <f ca="1">IF(C4&lt;B2,"已过期",1119970066)</f>
        <v>1119970066</v>
      </c>
      <c r="C4" s="2564">
        <v>44876</v>
      </c>
      <c r="D4" s="2565" t="str">
        <f ca="1">A4&amp;"（注册号："&amp;B4&amp;"）"</f>
        <v>梁津（注册号：1119970066）</v>
      </c>
      <c r="E4" s="2566" t="s">
        <v>2881</v>
      </c>
      <c r="F4" s="1470">
        <f ca="1">IF(G4&lt;B2,"已过期",96010014)</f>
        <v>96010014</v>
      </c>
      <c r="G4" s="2567">
        <v>47118</v>
      </c>
      <c r="H4" s="2568" t="str">
        <f ca="1">E4&amp;"（注册号："&amp;F4&amp;"）"</f>
        <v>梁津（注册号：96010014）</v>
      </c>
    </row>
    <row r="5" spans="1:8" ht="24" customHeight="1">
      <c r="A5" s="1470" t="s">
        <v>2882</v>
      </c>
      <c r="B5" s="1470">
        <f ca="1">IF(C5&lt;B2,"已过期",1119970111)</f>
        <v>1119970111</v>
      </c>
      <c r="C5" s="2564">
        <v>44876</v>
      </c>
      <c r="D5" s="2565" t="str">
        <f t="shared" ref="D5:D15" ca="1" si="0">A5&amp;"（注册号："&amp;B5&amp;"）"</f>
        <v>叶凌（注册号：1119970111）</v>
      </c>
      <c r="E5" s="2566" t="s">
        <v>2882</v>
      </c>
      <c r="F5" s="1470">
        <f ca="1">IF(G5&lt;B2,"已过期",94010078)</f>
        <v>94010078</v>
      </c>
      <c r="G5" s="2567">
        <v>46387</v>
      </c>
      <c r="H5" s="2568" t="str">
        <f t="shared" ref="H5:H16" ca="1" si="1">E5&amp;"（注册号："&amp;F5&amp;"）"</f>
        <v>叶凌（注册号：94010078）</v>
      </c>
    </row>
    <row r="6" spans="1:8" ht="24" customHeight="1">
      <c r="A6" s="1470" t="s">
        <v>2883</v>
      </c>
      <c r="B6" s="1470">
        <f ca="1">IF(C6&lt;B2,"已过期",1120050019)</f>
        <v>1120050019</v>
      </c>
      <c r="C6" s="2564">
        <v>44395</v>
      </c>
      <c r="D6" s="2565" t="str">
        <f t="shared" ca="1" si="0"/>
        <v>王鹏（注册号：1120050019）</v>
      </c>
      <c r="E6" s="2566" t="s">
        <v>2883</v>
      </c>
      <c r="F6" s="1470">
        <f ca="1">IF(G6&lt;B2,"已过期",2002110030)</f>
        <v>2002110030</v>
      </c>
      <c r="G6" s="2567">
        <v>46387</v>
      </c>
      <c r="H6" s="2568" t="str">
        <f t="shared" ca="1" si="1"/>
        <v>王鹏（注册号：2002110030）</v>
      </c>
    </row>
    <row r="7" spans="1:8" ht="24" customHeight="1">
      <c r="A7" s="1470" t="s">
        <v>2884</v>
      </c>
      <c r="B7" s="1470">
        <f ca="1">IF(C7&lt;B2,"已过期",1120000080)</f>
        <v>1120000080</v>
      </c>
      <c r="C7" s="2564">
        <v>44876</v>
      </c>
      <c r="D7" s="2565" t="str">
        <f t="shared" ca="1" si="0"/>
        <v>欧红伟（注册号：1120000080）</v>
      </c>
      <c r="E7" s="2566" t="s">
        <v>2884</v>
      </c>
      <c r="F7" s="1470">
        <f ca="1">IF(G7&lt;B2,"已过期",2000110082)</f>
        <v>2000110082</v>
      </c>
      <c r="G7" s="2567">
        <v>46387</v>
      </c>
      <c r="H7" s="2568" t="str">
        <f t="shared" ca="1" si="1"/>
        <v>欧红伟（注册号：2000110082）</v>
      </c>
    </row>
    <row r="8" spans="1:8" ht="24" customHeight="1">
      <c r="A8" s="1470" t="s">
        <v>2885</v>
      </c>
      <c r="B8" s="1470">
        <f ca="1">IF(C8&lt;B2,"已过期",1419970001)</f>
        <v>1419970001</v>
      </c>
      <c r="C8" s="2564">
        <v>44899</v>
      </c>
      <c r="D8" s="2565" t="str">
        <f t="shared" ca="1" si="0"/>
        <v>吴薇（注册号：1419970001）</v>
      </c>
      <c r="E8" s="2566" t="s">
        <v>2885</v>
      </c>
      <c r="F8" s="1470">
        <f ca="1">IF(G8&lt;B2,"已过期",2002110125)</f>
        <v>2002110125</v>
      </c>
      <c r="G8" s="2567">
        <v>47118</v>
      </c>
      <c r="H8" s="2568" t="str">
        <f t="shared" ca="1" si="1"/>
        <v>吴薇（注册号：2002110125）</v>
      </c>
    </row>
    <row r="9" spans="1:8" ht="24" customHeight="1">
      <c r="A9" s="1470" t="s">
        <v>2886</v>
      </c>
      <c r="B9" s="1470">
        <f ca="1">IF(C9&lt;B2,"已过期",1120060040)</f>
        <v>1120060040</v>
      </c>
      <c r="C9" s="2569">
        <v>44554</v>
      </c>
      <c r="D9" s="2565" t="str">
        <f t="shared" ca="1" si="0"/>
        <v>陈颖（注册号：1120060040）</v>
      </c>
      <c r="E9" s="2566" t="s">
        <v>2886</v>
      </c>
      <c r="F9" s="1470">
        <f ca="1">IF(G9&lt;B2,"已过期",2004110096)</f>
        <v>2004110096</v>
      </c>
      <c r="G9" s="2567">
        <v>47118</v>
      </c>
      <c r="H9" s="2568" t="str">
        <f t="shared" ca="1" si="1"/>
        <v>陈颖（注册号：2004110096）</v>
      </c>
    </row>
    <row r="10" spans="1:8" ht="24" customHeight="1">
      <c r="A10" s="1470" t="s">
        <v>2887</v>
      </c>
      <c r="B10" s="1470">
        <f ca="1">IF(C10&lt;B2,"已过期",1120100036)</f>
        <v>1120100036</v>
      </c>
      <c r="C10" s="2569">
        <v>44675</v>
      </c>
      <c r="D10" s="2565" t="str">
        <f t="shared" ca="1" si="0"/>
        <v>崔锴（注册号：1120100036）</v>
      </c>
      <c r="E10" s="2566" t="s">
        <v>2887</v>
      </c>
      <c r="F10" s="1470">
        <f ca="1">IF(G10&lt;B2,"已过期",2010110070)</f>
        <v>2010110070</v>
      </c>
      <c r="G10" s="2567">
        <v>47907</v>
      </c>
      <c r="H10" s="2568" t="str">
        <f t="shared" ca="1" si="1"/>
        <v>崔锴（注册号：2010110070）</v>
      </c>
    </row>
    <row r="11" spans="1:8" ht="24" customHeight="1">
      <c r="A11" s="1470" t="s">
        <v>2888</v>
      </c>
      <c r="B11" s="1470">
        <f ca="1">IF(C11&lt;B2,"已过期",1120070131)</f>
        <v>1120070131</v>
      </c>
      <c r="C11" s="2564">
        <v>44849</v>
      </c>
      <c r="D11" s="2565" t="str">
        <f t="shared" ca="1" si="0"/>
        <v>郑燚（注册号：1120070131）</v>
      </c>
      <c r="E11" s="2566" t="s">
        <v>2888</v>
      </c>
      <c r="F11" s="1470">
        <f ca="1">IF(G11&lt;B2,"已过期",2014110011)</f>
        <v>2014110011</v>
      </c>
      <c r="G11" s="2567">
        <v>49302</v>
      </c>
      <c r="H11" s="2568" t="str">
        <f t="shared" ca="1" si="1"/>
        <v>郑燚（注册号：2014110011）</v>
      </c>
    </row>
    <row r="12" spans="1:8" ht="24" customHeight="1">
      <c r="A12" s="1470" t="s">
        <v>2889</v>
      </c>
      <c r="B12" s="1470">
        <f ca="1">IF(C12&lt;B2,"已过期",1120040230)</f>
        <v>1120040230</v>
      </c>
      <c r="C12" s="2569">
        <v>44864</v>
      </c>
      <c r="D12" s="2565" t="str">
        <f t="shared" ca="1" si="0"/>
        <v>苏海（注册号：1120040230）</v>
      </c>
      <c r="E12" s="2566" t="s">
        <v>2889</v>
      </c>
      <c r="F12" s="1470">
        <f ca="1">IF(G12&lt;B2,"已过期",98030020)</f>
        <v>98030020</v>
      </c>
      <c r="G12" s="2567">
        <v>47118</v>
      </c>
      <c r="H12" s="2568" t="str">
        <f t="shared" ca="1" si="1"/>
        <v>苏海（注册号：98030020）</v>
      </c>
    </row>
    <row r="13" spans="1:8" ht="24" customHeight="1">
      <c r="A13" s="1470" t="s">
        <v>2890</v>
      </c>
      <c r="B13" s="1470" t="str">
        <f ca="1">IF(C13&lt;B2,"已过期",1120020033)</f>
        <v>已过期</v>
      </c>
      <c r="C13" s="2564">
        <v>44339</v>
      </c>
      <c r="D13" s="2565" t="str">
        <f t="shared" ca="1" si="0"/>
        <v>刘敬东（注册号：已过期）</v>
      </c>
      <c r="E13" s="2566" t="s">
        <v>2890</v>
      </c>
      <c r="F13" s="1470">
        <f ca="1">IF(G13&lt;B2,"已过期",2000110137)</f>
        <v>2000110137</v>
      </c>
      <c r="G13" s="2567">
        <v>46387</v>
      </c>
      <c r="H13" s="2568" t="str">
        <f t="shared" ca="1" si="1"/>
        <v>刘敬东（注册号：2000110137）</v>
      </c>
    </row>
    <row r="14" spans="1:8" ht="24" customHeight="1">
      <c r="A14" s="1470" t="s">
        <v>2891</v>
      </c>
      <c r="B14" s="1470">
        <f ca="1">IF(C14&lt;B2,"已过期",1119980106)</f>
        <v>1119980106</v>
      </c>
      <c r="C14" s="2569">
        <v>44969</v>
      </c>
      <c r="D14" s="2565" t="str">
        <f t="shared" ca="1" si="0"/>
        <v>刘俊财（注册号：1119980106）</v>
      </c>
      <c r="E14" s="2566" t="s">
        <v>2891</v>
      </c>
      <c r="F14" s="1470">
        <f ca="1">IF(G14&lt;B2,"已过期",96010063)</f>
        <v>96010063</v>
      </c>
      <c r="G14" s="2567">
        <v>47483</v>
      </c>
      <c r="H14" s="2568" t="str">
        <f t="shared" ca="1" si="1"/>
        <v>刘俊财（注册号：96010063）</v>
      </c>
    </row>
    <row r="15" spans="1:8" ht="24" customHeight="1">
      <c r="A15" s="1470"/>
      <c r="B15" s="1470"/>
      <c r="C15" s="2569"/>
      <c r="D15" s="2565" t="str">
        <f t="shared" si="0"/>
        <v>（注册号：）</v>
      </c>
      <c r="E15" s="2566" t="s">
        <v>2892</v>
      </c>
      <c r="F15" s="1470">
        <f ca="1">IF(G15&lt;B2,"已过期",2011110090)</f>
        <v>2011110090</v>
      </c>
      <c r="G15" s="2567">
        <v>48302</v>
      </c>
      <c r="H15" s="2568" t="str">
        <f t="shared" ca="1" si="1"/>
        <v>赵雯（注册号：2011110090）</v>
      </c>
    </row>
    <row r="16" spans="1:8" s="2571" customFormat="1" ht="24" customHeight="1">
      <c r="A16" s="1470"/>
      <c r="B16" s="1470"/>
      <c r="C16" s="1470"/>
      <c r="D16" s="2565" t="str">
        <f>A16&amp;"（注册号："&amp;B16&amp;"）"</f>
        <v>（注册号：）</v>
      </c>
      <c r="E16" s="2566"/>
      <c r="F16" s="1470"/>
      <c r="G16" s="1470"/>
      <c r="H16" s="2570" t="str">
        <f t="shared" si="1"/>
        <v>（注册号：）</v>
      </c>
    </row>
    <row r="17" spans="1:8" ht="24" customHeight="1">
      <c r="A17" s="3118" t="s">
        <v>2893</v>
      </c>
      <c r="B17" s="3118"/>
      <c r="C17" s="3118"/>
      <c r="D17" s="3118"/>
      <c r="E17" s="3118"/>
      <c r="F17" s="3118"/>
      <c r="G17" s="3118"/>
      <c r="H17" s="3118"/>
    </row>
    <row r="18" spans="1:8" ht="24" customHeight="1">
      <c r="A18" s="3119" t="s">
        <v>2894</v>
      </c>
      <c r="B18" s="3119"/>
      <c r="C18" s="3119"/>
      <c r="D18" s="2562"/>
      <c r="E18" s="3120" t="s">
        <v>2895</v>
      </c>
      <c r="F18" s="3119"/>
      <c r="G18" s="3119"/>
    </row>
    <row r="19" spans="1:8" s="2573" customFormat="1" ht="24" customHeight="1">
      <c r="A19" s="2572" t="s">
        <v>2896</v>
      </c>
      <c r="B19" s="2561" t="s">
        <v>2897</v>
      </c>
      <c r="C19" s="2561" t="s">
        <v>2876</v>
      </c>
      <c r="D19" s="2562"/>
      <c r="E19" s="2566" t="s">
        <v>2896</v>
      </c>
      <c r="F19" s="2561" t="s">
        <v>2897</v>
      </c>
      <c r="G19" s="2561" t="s">
        <v>2876</v>
      </c>
    </row>
    <row r="20" spans="1:8" s="2573" customFormat="1" ht="24" customHeight="1">
      <c r="A20" s="2574" t="s">
        <v>2898</v>
      </c>
      <c r="B20" s="2574" t="s">
        <v>2899</v>
      </c>
      <c r="C20" s="2567">
        <v>44820</v>
      </c>
      <c r="D20" s="2575"/>
      <c r="E20" s="2576" t="s">
        <v>2900</v>
      </c>
      <c r="F20" s="2574" t="s">
        <v>2901</v>
      </c>
      <c r="G20" s="2577">
        <v>44377</v>
      </c>
    </row>
    <row r="21" spans="1:8" s="2573" customFormat="1" ht="24" customHeight="1">
      <c r="A21" s="2574"/>
      <c r="B21" s="2574"/>
      <c r="C21" s="2578"/>
      <c r="D21" s="2579"/>
      <c r="E21" s="2576" t="s">
        <v>2902</v>
      </c>
      <c r="F21" s="2580" t="s">
        <v>2903</v>
      </c>
      <c r="G21" s="2581">
        <v>44012</v>
      </c>
    </row>
    <row r="22" spans="1:8" ht="24" customHeight="1">
      <c r="C22" s="2582"/>
      <c r="D22" s="2582"/>
      <c r="E22" s="2583"/>
      <c r="F22" s="2584"/>
      <c r="G22" s="2585" t="s">
        <v>2904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2021-06-16T09:17:58Z</dcterms:modified>
</cp:coreProperties>
</file>