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4C2FDE6C-F292-4BCF-824E-F03E0CF6E2CC}" xr6:coauthVersionLast="47" xr6:coauthVersionMax="47" xr10:uidLastSave="{00000000-0000-0000-0000-000000000000}"/>
  <bookViews>
    <workbookView xWindow="-120" yWindow="-120" windowWidth="21840" windowHeight="13140" tabRatio="899" firstSheet="10"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state="hidden" r:id="rId10"/>
    <sheet name="定义" sheetId="10" r:id="rId11"/>
    <sheet name="项目基本情况" sheetId="4" r:id="rId12"/>
    <sheet name="数据-基础表" sheetId="3" r:id="rId13"/>
    <sheet name="数据-汇总表" sheetId="6" r:id="rId14"/>
    <sheet name="数据-取费表" sheetId="1" r:id="rId15"/>
    <sheet name="估价对象房地状况" sheetId="20" state="hidden" r:id="rId16"/>
    <sheet name="租约" sheetId="80" r:id="rId17"/>
    <sheet name="系统读取表" sheetId="74" r:id="rId18"/>
    <sheet name="结果表" sheetId="9" r:id="rId19"/>
    <sheet name="成本法" sheetId="68" r:id="rId20"/>
    <sheet name="成本法 (元)" sheetId="69" state="hidden" r:id="rId21"/>
    <sheet name="假设开发法" sheetId="12" state="hidden" r:id="rId22"/>
    <sheet name="商业-基准地价修正" sheetId="43" r:id="rId23"/>
    <sheet name="办公-基准地价修正" sheetId="81" r:id="rId24"/>
    <sheet name="收益法（汇总）" sheetId="70" r:id="rId25"/>
    <sheet name="商业收益法" sheetId="15" r:id="rId26"/>
    <sheet name="收益法 (元)" sheetId="67" state="hidden" r:id="rId27"/>
    <sheet name="收益法-酒店模型" sheetId="77" state="hidden" r:id="rId28"/>
    <sheet name="比较法-住宅" sheetId="21" state="hidden" r:id="rId29"/>
    <sheet name="办公收益法 " sheetId="82" r:id="rId30"/>
    <sheet name="比较法-商业" sheetId="33" r:id="rId31"/>
    <sheet name="比较法-办公" sheetId="34" r:id="rId32"/>
    <sheet name="商业案例" sheetId="83" r:id="rId33"/>
    <sheet name="办公案例" sheetId="84"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1"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0"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3">'办公-基准地价修正'!$A$1:$J$44,'办公-基准地价修正'!$A$47:$H$101,'办公-基准地价修正'!$R$1:$V$16</definedName>
    <definedName name="_xlnm.Print_Area" localSheetId="29">'办公收益法 '!$A$1:$F$43,'办公收益法 '!$H$3:$M$29,'办公收益法 '!$A$46:$F$71,'办公收益法 '!$I$46:$N$65</definedName>
    <definedName name="_xlnm.Print_Area" localSheetId="31">'比较法-办公'!$A$1:$K$55,'比较法-办公'!$A$58:$M$132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0">'比较法-商业'!$A$1:$K$54,'比较法-商业'!$A$57:$M$131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1">假设开发法!$A$1:$K$32</definedName>
    <definedName name="_xlnm.Print_Area" localSheetId="18">结果表!$A$1:$I$127</definedName>
    <definedName name="_xlnm.Print_Area" localSheetId="22">'商业-基准地价修正'!$A$1:$J$44,'商业-基准地价修正'!$A$47:$H$101,'商业-基准地价修正'!$R$1:$V$16</definedName>
    <definedName name="_xlnm.Print_Area" localSheetId="25">商业收益法!$A$1:$F$43,商业收益法!$H$3:$M$29,商业收益法!$A$46:$F$71,商业收益法!$I$46:$N$65</definedName>
    <definedName name="_xlnm.Print_Area" localSheetId="26">'收益法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'办公-基准地价修正'!$Q$19:$AD$19</definedName>
    <definedName name="季度">'商业-基准地价修正'!$Q$19:$AD$19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N20" i="1"/>
  <c r="G105" i="34"/>
  <c r="F105" i="34"/>
  <c r="E105" i="34"/>
  <c r="C34" i="34"/>
  <c r="F67" i="34"/>
  <c r="E67" i="34" s="1"/>
  <c r="D67" i="34" s="1"/>
  <c r="C67" i="34" s="1"/>
  <c r="I7" i="34" l="1"/>
  <c r="G7" i="34"/>
  <c r="E7" i="34"/>
  <c r="U6" i="1"/>
  <c r="C33" i="33"/>
  <c r="D66" i="33"/>
  <c r="E66" i="33" s="1"/>
  <c r="F66" i="33" s="1"/>
  <c r="G66" i="33" s="1"/>
  <c r="H66" i="33" s="1"/>
  <c r="I7" i="33" l="1"/>
  <c r="G7" i="33"/>
  <c r="E7" i="33"/>
  <c r="G14" i="80"/>
  <c r="G13" i="80"/>
  <c r="D33" i="81"/>
  <c r="G6" i="80"/>
  <c r="G5" i="80"/>
  <c r="G4" i="80"/>
  <c r="F4" i="80"/>
  <c r="N18" i="1"/>
  <c r="F20" i="6"/>
  <c r="Q72" i="82"/>
  <c r="Q59" i="82"/>
  <c r="K59" i="82"/>
  <c r="P74" i="82" s="1"/>
  <c r="F59" i="82"/>
  <c r="Q58" i="82"/>
  <c r="Q51" i="82"/>
  <c r="J50" i="82"/>
  <c r="J51" i="82" s="1"/>
  <c r="M47" i="82"/>
  <c r="D46" i="82"/>
  <c r="F34" i="82"/>
  <c r="F62" i="82" s="1"/>
  <c r="F33" i="82"/>
  <c r="F61" i="82" s="1"/>
  <c r="F32" i="82"/>
  <c r="F60" i="82" s="1"/>
  <c r="F31" i="82"/>
  <c r="F28" i="82"/>
  <c r="C28" i="82" s="1"/>
  <c r="F23" i="82"/>
  <c r="D24" i="82" s="1"/>
  <c r="F21" i="82"/>
  <c r="M20" i="82"/>
  <c r="F20" i="82"/>
  <c r="M19" i="82"/>
  <c r="M18" i="82"/>
  <c r="F18" i="82"/>
  <c r="M17" i="82"/>
  <c r="F17" i="82"/>
  <c r="F15" i="82"/>
  <c r="G1" i="82"/>
  <c r="L7" i="1"/>
  <c r="F19" i="6"/>
  <c r="G51" i="43"/>
  <c r="G52" i="43"/>
  <c r="G53" i="43"/>
  <c r="G54" i="43"/>
  <c r="G55" i="43"/>
  <c r="G56" i="43"/>
  <c r="G57" i="43"/>
  <c r="G58" i="43"/>
  <c r="G50" i="43"/>
  <c r="G62" i="81"/>
  <c r="G63" i="81"/>
  <c r="G64" i="81"/>
  <c r="M64" i="81" s="1"/>
  <c r="N64" i="81" s="1"/>
  <c r="G65" i="81"/>
  <c r="M65" i="81" s="1"/>
  <c r="N65" i="81" s="1"/>
  <c r="G66" i="81"/>
  <c r="G67" i="81"/>
  <c r="G68" i="81"/>
  <c r="K68" i="81" s="1"/>
  <c r="J68" i="81" s="1"/>
  <c r="D68" i="81" s="1"/>
  <c r="G69" i="81"/>
  <c r="M69" i="81" s="1"/>
  <c r="N69" i="81" s="1"/>
  <c r="G61" i="81"/>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B101" i="81"/>
  <c r="N100" i="81"/>
  <c r="M100" i="81"/>
  <c r="K100" i="81"/>
  <c r="J100" i="81"/>
  <c r="D100" i="81"/>
  <c r="B100" i="81"/>
  <c r="M99" i="81"/>
  <c r="N99" i="81" s="1"/>
  <c r="K99" i="81"/>
  <c r="J99" i="81"/>
  <c r="D99" i="81"/>
  <c r="B99" i="81"/>
  <c r="M98" i="81"/>
  <c r="N98" i="81" s="1"/>
  <c r="K98" i="81"/>
  <c r="J98" i="81" s="1"/>
  <c r="D98" i="81"/>
  <c r="N97" i="81"/>
  <c r="M97" i="81"/>
  <c r="K97" i="81"/>
  <c r="J97" i="81"/>
  <c r="D97" i="81"/>
  <c r="B97" i="81"/>
  <c r="M96" i="81"/>
  <c r="N96" i="81" s="1"/>
  <c r="K96" i="81"/>
  <c r="J96" i="81" s="1"/>
  <c r="D96" i="81"/>
  <c r="N95" i="81"/>
  <c r="M95" i="81"/>
  <c r="K95" i="81"/>
  <c r="J95" i="81"/>
  <c r="D95" i="81"/>
  <c r="B95" i="81"/>
  <c r="N94" i="81"/>
  <c r="M94" i="81"/>
  <c r="K94" i="81"/>
  <c r="J94" i="81"/>
  <c r="D94" i="81"/>
  <c r="B94" i="81"/>
  <c r="M93" i="81"/>
  <c r="N93" i="81" s="1"/>
  <c r="K93" i="81"/>
  <c r="J93" i="81" s="1"/>
  <c r="F93" i="81"/>
  <c r="D93" i="81"/>
  <c r="N90" i="81"/>
  <c r="M90" i="81"/>
  <c r="K90" i="81"/>
  <c r="J90" i="81"/>
  <c r="D90" i="81"/>
  <c r="B90" i="81"/>
  <c r="M89" i="81"/>
  <c r="N89" i="81" s="1"/>
  <c r="K89" i="81"/>
  <c r="J89" i="81" s="1"/>
  <c r="D89" i="81"/>
  <c r="N88" i="81"/>
  <c r="M88" i="81"/>
  <c r="K88" i="81"/>
  <c r="J88" i="81"/>
  <c r="D88" i="81"/>
  <c r="B88" i="81"/>
  <c r="N87" i="81"/>
  <c r="M87" i="81"/>
  <c r="K87" i="81"/>
  <c r="J87" i="81"/>
  <c r="D87" i="81"/>
  <c r="B87" i="81"/>
  <c r="M86" i="81"/>
  <c r="N86" i="81" s="1"/>
  <c r="K86" i="81"/>
  <c r="J86" i="81" s="1"/>
  <c r="D86" i="81"/>
  <c r="B86" i="81"/>
  <c r="M85" i="81"/>
  <c r="N85" i="81" s="1"/>
  <c r="K85" i="81"/>
  <c r="J85" i="81" s="1"/>
  <c r="D85" i="81"/>
  <c r="B85" i="81"/>
  <c r="N84" i="81"/>
  <c r="M84" i="81"/>
  <c r="K84" i="81"/>
  <c r="J84" i="81"/>
  <c r="D84" i="81"/>
  <c r="B84" i="81"/>
  <c r="N83" i="81"/>
  <c r="M83" i="81"/>
  <c r="K83" i="81"/>
  <c r="J83" i="81"/>
  <c r="F83" i="81"/>
  <c r="H88" i="81" s="1"/>
  <c r="D83" i="81"/>
  <c r="B83" i="81"/>
  <c r="M80" i="81"/>
  <c r="N80" i="81" s="1"/>
  <c r="K80" i="81"/>
  <c r="J80" i="81" s="1"/>
  <c r="D80" i="81"/>
  <c r="N79" i="81"/>
  <c r="M79" i="81"/>
  <c r="K79" i="81"/>
  <c r="J79" i="81"/>
  <c r="D79" i="81"/>
  <c r="B79" i="81"/>
  <c r="N78" i="81"/>
  <c r="M78" i="81"/>
  <c r="K78" i="81"/>
  <c r="J78" i="81" s="1"/>
  <c r="D78" i="81"/>
  <c r="N77" i="81"/>
  <c r="M77" i="81"/>
  <c r="K77" i="81"/>
  <c r="J77" i="81" s="1"/>
  <c r="D77" i="81"/>
  <c r="B77" i="81"/>
  <c r="N76" i="81"/>
  <c r="M76" i="81"/>
  <c r="K76" i="81"/>
  <c r="J76" i="81"/>
  <c r="D76" i="81"/>
  <c r="B76" i="81"/>
  <c r="M75" i="81"/>
  <c r="N75" i="81" s="1"/>
  <c r="K75" i="81"/>
  <c r="J75" i="81" s="1"/>
  <c r="D75" i="81"/>
  <c r="B75" i="81"/>
  <c r="M74" i="81"/>
  <c r="N74" i="81" s="1"/>
  <c r="K74" i="81"/>
  <c r="J74" i="81" s="1"/>
  <c r="D74" i="81"/>
  <c r="B74" i="81"/>
  <c r="N73" i="81"/>
  <c r="M73" i="81"/>
  <c r="K73" i="81"/>
  <c r="J73" i="81"/>
  <c r="D73" i="81"/>
  <c r="B73" i="81"/>
  <c r="N72" i="81"/>
  <c r="M72" i="81"/>
  <c r="K72" i="81"/>
  <c r="J72" i="81"/>
  <c r="F72" i="81"/>
  <c r="H77" i="81" s="1"/>
  <c r="D72" i="81"/>
  <c r="E72" i="81" s="1"/>
  <c r="B70" i="81" s="1"/>
  <c r="B72" i="81"/>
  <c r="K69" i="81"/>
  <c r="J69" i="81" s="1"/>
  <c r="B69" i="81"/>
  <c r="M68" i="81"/>
  <c r="N68" i="81" s="1"/>
  <c r="B68" i="81"/>
  <c r="N67" i="81"/>
  <c r="M67" i="81"/>
  <c r="K67" i="81"/>
  <c r="J67" i="81"/>
  <c r="D67" i="81"/>
  <c r="B67" i="81"/>
  <c r="M66" i="81"/>
  <c r="N66" i="81" s="1"/>
  <c r="K66" i="81"/>
  <c r="J66" i="81" s="1"/>
  <c r="K65" i="81"/>
  <c r="J65" i="81" s="1"/>
  <c r="B65" i="81"/>
  <c r="M63" i="81"/>
  <c r="N63" i="81" s="1"/>
  <c r="K63" i="81"/>
  <c r="J63" i="81" s="1"/>
  <c r="D63" i="81"/>
  <c r="B63" i="81"/>
  <c r="M62" i="81"/>
  <c r="N62" i="81" s="1"/>
  <c r="K62" i="81"/>
  <c r="D62" i="81" s="1"/>
  <c r="J62" i="81"/>
  <c r="B62" i="81"/>
  <c r="M61" i="81"/>
  <c r="N61" i="81" s="1"/>
  <c r="K61" i="81"/>
  <c r="J61" i="81" s="1"/>
  <c r="D61" i="81"/>
  <c r="B61" i="81"/>
  <c r="M58" i="81"/>
  <c r="N58" i="81" s="1"/>
  <c r="K58" i="81"/>
  <c r="J58" i="81" s="1"/>
  <c r="D58" i="81"/>
  <c r="B58" i="81"/>
  <c r="M57" i="81"/>
  <c r="N57" i="81" s="1"/>
  <c r="K57" i="81"/>
  <c r="J57" i="81" s="1"/>
  <c r="D57" i="81"/>
  <c r="B57" i="81"/>
  <c r="N56" i="81"/>
  <c r="M56" i="81"/>
  <c r="K56" i="81"/>
  <c r="J56" i="81" s="1"/>
  <c r="D56" i="81"/>
  <c r="B56" i="81"/>
  <c r="M55" i="81"/>
  <c r="N55" i="81" s="1"/>
  <c r="K55" i="81"/>
  <c r="J55" i="81"/>
  <c r="D55" i="81"/>
  <c r="M54" i="81"/>
  <c r="N54" i="81" s="1"/>
  <c r="K54" i="81"/>
  <c r="J54" i="81"/>
  <c r="D54" i="81"/>
  <c r="B54" i="81"/>
  <c r="M53" i="81"/>
  <c r="N53" i="81" s="1"/>
  <c r="K53" i="81"/>
  <c r="J53" i="81"/>
  <c r="D53" i="81"/>
  <c r="M52" i="81"/>
  <c r="N52" i="81" s="1"/>
  <c r="K52" i="81"/>
  <c r="J52" i="81" s="1"/>
  <c r="D52" i="81"/>
  <c r="B52" i="81"/>
  <c r="M51" i="81"/>
  <c r="N51" i="81" s="1"/>
  <c r="K51" i="81"/>
  <c r="J51" i="81" s="1"/>
  <c r="D51" i="81"/>
  <c r="B51" i="81"/>
  <c r="N50" i="81"/>
  <c r="M50" i="81"/>
  <c r="K50" i="81"/>
  <c r="J50" i="81" s="1"/>
  <c r="D50" i="81"/>
  <c r="B50" i="81"/>
  <c r="H42" i="81"/>
  <c r="H41" i="81"/>
  <c r="H40" i="81"/>
  <c r="H39" i="81"/>
  <c r="H38" i="81"/>
  <c r="H37" i="81"/>
  <c r="P32" i="81"/>
  <c r="J24" i="81"/>
  <c r="G24" i="81"/>
  <c r="G18" i="81" s="1"/>
  <c r="E24" i="81"/>
  <c r="M23" i="81"/>
  <c r="I23" i="81"/>
  <c r="G23" i="81"/>
  <c r="C22" i="81"/>
  <c r="C20" i="81"/>
  <c r="G17" i="81"/>
  <c r="C17" i="81"/>
  <c r="C13" i="81"/>
  <c r="E11" i="81"/>
  <c r="C11" i="81"/>
  <c r="E9" i="81" s="1"/>
  <c r="AH10" i="81"/>
  <c r="AG10" i="81"/>
  <c r="AC10" i="81"/>
  <c r="Z10" i="81"/>
  <c r="Y10" i="81"/>
  <c r="C10" i="81"/>
  <c r="AJ9" i="81"/>
  <c r="AJ10" i="81" s="1"/>
  <c r="AI9" i="81"/>
  <c r="AI10" i="81" s="1"/>
  <c r="AH9" i="81"/>
  <c r="AG9" i="81"/>
  <c r="AF9" i="81"/>
  <c r="AF10" i="81" s="1"/>
  <c r="AE9" i="81"/>
  <c r="AE10" i="81" s="1"/>
  <c r="AD9" i="81"/>
  <c r="AD10" i="81" s="1"/>
  <c r="AC9" i="81"/>
  <c r="AB9" i="81"/>
  <c r="AB10" i="81" s="1"/>
  <c r="AA9" i="81"/>
  <c r="AA10" i="81" s="1"/>
  <c r="Z9" i="81"/>
  <c r="C9" i="81"/>
  <c r="C7" i="81"/>
  <c r="U4" i="81"/>
  <c r="U3" i="81"/>
  <c r="G3" i="81"/>
  <c r="J26" i="81" s="1"/>
  <c r="U2" i="81"/>
  <c r="I2" i="81"/>
  <c r="M10" i="81" s="1"/>
  <c r="G2" i="81"/>
  <c r="D1" i="81"/>
  <c r="H14" i="80"/>
  <c r="H13" i="80"/>
  <c r="J12" i="80"/>
  <c r="J13" i="80"/>
  <c r="J14" i="80"/>
  <c r="G12" i="80"/>
  <c r="C11" i="80"/>
  <c r="F26" i="82"/>
  <c r="J15" i="82"/>
  <c r="M9" i="82"/>
  <c r="M23" i="82"/>
  <c r="F37" i="82"/>
  <c r="C76" i="82"/>
  <c r="G15" i="80" l="1"/>
  <c r="Q71" i="82"/>
  <c r="F65" i="82"/>
  <c r="C27" i="82"/>
  <c r="P61" i="82"/>
  <c r="D22" i="82"/>
  <c r="D23" i="82"/>
  <c r="K64" i="81"/>
  <c r="D65" i="81"/>
  <c r="D66" i="81"/>
  <c r="D69" i="81"/>
  <c r="E26" i="81"/>
  <c r="N10" i="81"/>
  <c r="N12" i="81"/>
  <c r="N2" i="81"/>
  <c r="F61" i="81"/>
  <c r="H64" i="81" s="1"/>
  <c r="N6" i="81"/>
  <c r="H86" i="81"/>
  <c r="H79" i="81"/>
  <c r="M1" i="81"/>
  <c r="M4" i="81"/>
  <c r="M9" i="81"/>
  <c r="I18" i="81"/>
  <c r="E17" i="81" s="1"/>
  <c r="H72" i="81"/>
  <c r="H87" i="81"/>
  <c r="H89" i="81"/>
  <c r="M7" i="81"/>
  <c r="N9" i="81"/>
  <c r="H75" i="81"/>
  <c r="H78" i="81"/>
  <c r="H90" i="81"/>
  <c r="N3" i="81"/>
  <c r="M5" i="81"/>
  <c r="M8" i="81"/>
  <c r="E44" i="81"/>
  <c r="H76" i="81"/>
  <c r="H83" i="81"/>
  <c r="H116" i="81"/>
  <c r="F50" i="81"/>
  <c r="C27" i="81"/>
  <c r="M21" i="81"/>
  <c r="I21" i="81"/>
  <c r="D21" i="81"/>
  <c r="F41" i="81"/>
  <c r="F39" i="81"/>
  <c r="S2" i="81"/>
  <c r="S3" i="81"/>
  <c r="S6" i="81"/>
  <c r="E21" i="81"/>
  <c r="K21" i="81"/>
  <c r="H26" i="81"/>
  <c r="F40" i="81"/>
  <c r="M12" i="81"/>
  <c r="M11" i="81"/>
  <c r="N8" i="81"/>
  <c r="N5" i="81"/>
  <c r="N11" i="81"/>
  <c r="L21" i="81"/>
  <c r="P29" i="81"/>
  <c r="P25" i="81"/>
  <c r="O23" i="81"/>
  <c r="C23" i="81"/>
  <c r="P28" i="81"/>
  <c r="P26" i="81"/>
  <c r="M24" i="81"/>
  <c r="F38" i="81"/>
  <c r="X7" i="81"/>
  <c r="G26" i="81"/>
  <c r="F26" i="81"/>
  <c r="N4" i="81"/>
  <c r="N7" i="81"/>
  <c r="Z7" i="81"/>
  <c r="N32" i="81"/>
  <c r="Q32" i="81"/>
  <c r="M32" i="81"/>
  <c r="N1" i="81"/>
  <c r="M2" i="81"/>
  <c r="C6" i="81" s="1"/>
  <c r="M3" i="81"/>
  <c r="S4" i="81"/>
  <c r="S5" i="81"/>
  <c r="M6" i="81"/>
  <c r="E8" i="81"/>
  <c r="E10" i="81"/>
  <c r="H21" i="81"/>
  <c r="N21" i="81"/>
  <c r="P27" i="81"/>
  <c r="O32" i="81"/>
  <c r="F37" i="81"/>
  <c r="E50" i="81"/>
  <c r="B48" i="81" s="1"/>
  <c r="H101" i="81"/>
  <c r="H95" i="81"/>
  <c r="H98" i="81"/>
  <c r="H99" i="81"/>
  <c r="H96" i="81"/>
  <c r="H93" i="81"/>
  <c r="E93" i="81"/>
  <c r="B91" i="81" s="1"/>
  <c r="H100" i="81"/>
  <c r="C21" i="81"/>
  <c r="J21" i="81"/>
  <c r="O21" i="81"/>
  <c r="F42" i="81"/>
  <c r="E83" i="81"/>
  <c r="B81" i="81" s="1"/>
  <c r="H94" i="81"/>
  <c r="H97" i="81"/>
  <c r="B116" i="81"/>
  <c r="H74" i="81"/>
  <c r="H80" i="81"/>
  <c r="H85" i="81"/>
  <c r="H73" i="81"/>
  <c r="H84" i="81"/>
  <c r="J15" i="80"/>
  <c r="I15" i="80" s="1"/>
  <c r="I16" i="80" s="1"/>
  <c r="M24" i="82"/>
  <c r="M6" i="82"/>
  <c r="F9" i="82"/>
  <c r="M22" i="82"/>
  <c r="F40" i="82"/>
  <c r="F38" i="82"/>
  <c r="M26" i="82"/>
  <c r="F42" i="82"/>
  <c r="L47" i="82"/>
  <c r="F8" i="82"/>
  <c r="F36" i="82"/>
  <c r="M28" i="82"/>
  <c r="M8" i="82"/>
  <c r="F16" i="82"/>
  <c r="C14" i="80" l="1"/>
  <c r="C16" i="80" s="1"/>
  <c r="F66" i="82"/>
  <c r="N59" i="82"/>
  <c r="M59" i="82"/>
  <c r="L59" i="82"/>
  <c r="F64" i="82"/>
  <c r="F68" i="82"/>
  <c r="F51" i="82"/>
  <c r="C28" i="81"/>
  <c r="J64" i="81"/>
  <c r="D64" i="81"/>
  <c r="E61" i="81" s="1"/>
  <c r="B59" i="81" s="1"/>
  <c r="H65" i="81"/>
  <c r="H67" i="81"/>
  <c r="H68" i="81"/>
  <c r="H66" i="81"/>
  <c r="H62" i="81"/>
  <c r="H69" i="81"/>
  <c r="H61" i="81"/>
  <c r="H63" i="81"/>
  <c r="D26" i="81"/>
  <c r="C25" i="81" s="1"/>
  <c r="C5" i="81"/>
  <c r="D5" i="81"/>
  <c r="H57" i="81"/>
  <c r="H54" i="81"/>
  <c r="H51" i="81"/>
  <c r="H58" i="81"/>
  <c r="H52" i="81"/>
  <c r="H50" i="81"/>
  <c r="H53" i="81"/>
  <c r="H56" i="81"/>
  <c r="H55" i="8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B120" i="81"/>
  <c r="C120" i="81" s="1"/>
  <c r="B121" i="81"/>
  <c r="C121" i="81" s="1"/>
  <c r="B122" i="81"/>
  <c r="C122" i="81" s="1"/>
  <c r="B118" i="81"/>
  <c r="C118" i="81" s="1"/>
  <c r="B119" i="81"/>
  <c r="C119" i="81" s="1"/>
  <c r="G21" i="81"/>
  <c r="B1" i="80"/>
  <c r="E6" i="80"/>
  <c r="E5" i="80"/>
  <c r="E4" i="80"/>
  <c r="E3" i="80"/>
  <c r="E7" i="80"/>
  <c r="A6" i="80"/>
  <c r="A4" i="80"/>
  <c r="A5" i="80"/>
  <c r="A3" i="80"/>
  <c r="Q61" i="82" l="1"/>
  <c r="Q74" i="82"/>
  <c r="D116" i="81"/>
  <c r="U2" i="43" l="1"/>
  <c r="D33" i="43"/>
  <c r="N6" i="1"/>
  <c r="D3" i="4"/>
  <c r="E27" i="45"/>
  <c r="N7" i="1" l="1"/>
  <c r="Y6" i="1"/>
  <c r="Y7" i="1" s="1"/>
  <c r="C37" i="34" s="1"/>
  <c r="G14" i="73"/>
  <c r="F14" i="73"/>
  <c r="E14" i="73"/>
  <c r="F13" i="82"/>
  <c r="I37" i="34" l="1"/>
  <c r="G37" i="34"/>
  <c r="E37" i="34"/>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5" i="79"/>
  <c r="AD34"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AR18" i="79"/>
  <c r="AR19" i="79" s="1"/>
  <c r="AR20" i="79" s="1"/>
  <c r="AR21" i="79" s="1"/>
  <c r="AR22" i="79" s="1"/>
  <c r="AR23" i="79" s="1"/>
  <c r="AR24" i="79" s="1"/>
  <c r="T33" i="79"/>
  <c r="T34" i="79"/>
  <c r="T35"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G44" i="8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A553" i="3" s="1"/>
  <c r="AZ553" i="3" s="1"/>
  <c r="BC553" i="3"/>
  <c r="BD553" i="3"/>
  <c r="BE553" i="3"/>
  <c r="BF553" i="3"/>
  <c r="BG553" i="3"/>
  <c r="BH553" i="3"/>
  <c r="BI553" i="3"/>
  <c r="BJ553" i="3"/>
  <c r="BK553" i="3"/>
  <c r="BM553" i="3"/>
  <c r="BN553" i="3"/>
  <c r="BO553" i="3"/>
  <c r="BP553" i="3"/>
  <c r="BR553" i="3"/>
  <c r="BS553" i="3"/>
  <c r="BT553" i="3"/>
  <c r="BT5" i="3" s="1"/>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S42" i="34" s="1"/>
  <c r="J38" i="34"/>
  <c r="D114" i="34"/>
  <c r="F38" i="34"/>
  <c r="S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J35" i="35" s="1"/>
  <c r="AC35" i="35" s="1"/>
  <c r="B97" i="35"/>
  <c r="B77" i="35"/>
  <c r="B75" i="35"/>
  <c r="J24" i="35" s="1"/>
  <c r="AC24" i="35"/>
  <c r="B73" i="35"/>
  <c r="J23" i="35" s="1"/>
  <c r="AC23" i="35" s="1"/>
  <c r="H23" i="35"/>
  <c r="U23" i="35" s="1"/>
  <c r="B57" i="35"/>
  <c r="B61" i="35"/>
  <c r="J13" i="35" s="1"/>
  <c r="B59" i="35"/>
  <c r="F12" i="35" s="1"/>
  <c r="B131" i="34"/>
  <c r="B129" i="34"/>
  <c r="B127" i="34"/>
  <c r="B99" i="34"/>
  <c r="B97" i="34"/>
  <c r="B95" i="34"/>
  <c r="B93" i="34"/>
  <c r="H29" i="34" s="1"/>
  <c r="AB29" i="34" s="1"/>
  <c r="B75" i="34"/>
  <c r="B73" i="34"/>
  <c r="B71" i="34"/>
  <c r="J12" i="34" s="1"/>
  <c r="W12" i="34" s="1"/>
  <c r="B130" i="33"/>
  <c r="J46" i="33" s="1"/>
  <c r="B128" i="33"/>
  <c r="B126" i="33"/>
  <c r="B98" i="33"/>
  <c r="B96" i="33"/>
  <c r="H30" i="33" s="1"/>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c r="J8" i="34"/>
  <c r="AC8" i="34" s="1"/>
  <c r="H8" i="34"/>
  <c r="U8" i="34" s="1"/>
  <c r="F8" i="34"/>
  <c r="AA8" i="34" s="1"/>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F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I5" i="3" s="1"/>
  <c r="BJ585" i="3"/>
  <c r="BK585" i="3"/>
  <c r="BM585" i="3"/>
  <c r="BN585" i="3"/>
  <c r="BN5" i="3" s="1"/>
  <c r="BO585" i="3"/>
  <c r="BP585" i="3"/>
  <c r="BQ585" i="3"/>
  <c r="BR585" i="3"/>
  <c r="BR5" i="3" s="1"/>
  <c r="BS585" i="3"/>
  <c r="BT585" i="3"/>
  <c r="BB586" i="3"/>
  <c r="BC586" i="3"/>
  <c r="BD586" i="3"/>
  <c r="BE586" i="3"/>
  <c r="BF586" i="3"/>
  <c r="BG586" i="3"/>
  <c r="BH586" i="3"/>
  <c r="BI586" i="3"/>
  <c r="BJ586" i="3"/>
  <c r="BK586" i="3"/>
  <c r="BK5" i="3" s="1"/>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c r="J35" i="39"/>
  <c r="AC35" i="39" s="1"/>
  <c r="F35" i="39"/>
  <c r="AA35" i="39" s="1"/>
  <c r="J36" i="39"/>
  <c r="AC36" i="39" s="1"/>
  <c r="W40" i="39"/>
  <c r="W25" i="37"/>
  <c r="U30" i="37"/>
  <c r="E103" i="37"/>
  <c r="F103" i="37" s="1"/>
  <c r="G103" i="37" s="1"/>
  <c r="H103" i="37" s="1"/>
  <c r="I103" i="37" s="1"/>
  <c r="J103" i="37" s="1"/>
  <c r="K103" i="37" s="1"/>
  <c r="L103" i="37" s="1"/>
  <c r="M103" i="37" s="1"/>
  <c r="F39" i="37"/>
  <c r="S39" i="37" s="1"/>
  <c r="F29" i="36"/>
  <c r="AA29" i="36" s="1"/>
  <c r="F16" i="36"/>
  <c r="AA16" i="36" s="1"/>
  <c r="W28" i="36"/>
  <c r="U31" i="36"/>
  <c r="H22" i="35"/>
  <c r="AB22" i="35" s="1"/>
  <c r="AC27" i="35"/>
  <c r="W28" i="35"/>
  <c r="W22" i="35"/>
  <c r="S31" i="35"/>
  <c r="U34" i="35"/>
  <c r="F36" i="34"/>
  <c r="AA36" i="34" s="1"/>
  <c r="J35" i="34"/>
  <c r="AC35" i="34" s="1"/>
  <c r="U34" i="34"/>
  <c r="H39" i="33"/>
  <c r="AB39" i="33" s="1"/>
  <c r="F26" i="33"/>
  <c r="AA26" i="33" s="1"/>
  <c r="U33" i="33"/>
  <c r="H39" i="37"/>
  <c r="AB39" i="37"/>
  <c r="F11" i="40"/>
  <c r="AA11" i="40" s="1"/>
  <c r="H11" i="40"/>
  <c r="AB11" i="40" s="1"/>
  <c r="W8" i="40"/>
  <c r="AB39" i="40"/>
  <c r="AA9" i="40"/>
  <c r="S34" i="40"/>
  <c r="U38" i="40"/>
  <c r="W31" i="40"/>
  <c r="U34"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11" i="21"/>
  <c r="U11" i="21" s="1"/>
  <c r="J11" i="21"/>
  <c r="W11" i="21" s="1"/>
  <c r="H37" i="40"/>
  <c r="U37" i="40"/>
  <c r="H36" i="40"/>
  <c r="AB36" i="40" s="1"/>
  <c r="F35" i="40"/>
  <c r="AA35" i="40" s="1"/>
  <c r="H23" i="40"/>
  <c r="AB23" i="40" s="1"/>
  <c r="H17" i="40"/>
  <c r="U17" i="40"/>
  <c r="J15" i="40"/>
  <c r="W15" i="40" s="1"/>
  <c r="J11" i="40"/>
  <c r="W11" i="40" s="1"/>
  <c r="AB8" i="39"/>
  <c r="AB12" i="35"/>
  <c r="W32" i="40"/>
  <c r="F37" i="39"/>
  <c r="AA37" i="39" s="1"/>
  <c r="J34" i="36"/>
  <c r="W34" i="36"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5" i="34"/>
  <c r="S25" i="34" s="1"/>
  <c r="H23" i="34"/>
  <c r="U23" i="34" s="1"/>
  <c r="J23" i="34"/>
  <c r="AC23" i="34" s="1"/>
  <c r="F19" i="34"/>
  <c r="AA19" i="34" s="1"/>
  <c r="H17" i="34"/>
  <c r="AB17" i="34" s="1"/>
  <c r="F15" i="34"/>
  <c r="AA15" i="34" s="1"/>
  <c r="J15" i="34"/>
  <c r="W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c r="H28" i="40"/>
  <c r="AB28" i="40" s="1"/>
  <c r="F23" i="40"/>
  <c r="AA23" i="40"/>
  <c r="F17" i="40"/>
  <c r="AA17" i="40" s="1"/>
  <c r="J17" i="40"/>
  <c r="W17" i="40" s="1"/>
  <c r="F15" i="40"/>
  <c r="S15" i="40" s="1"/>
  <c r="H15" i="40"/>
  <c r="AB15" i="40"/>
  <c r="S12" i="36"/>
  <c r="AA12" i="36"/>
  <c r="AB30" i="36"/>
  <c r="F29" i="35"/>
  <c r="S29" i="35" s="1"/>
  <c r="H29" i="35"/>
  <c r="AB29" i="35" s="1"/>
  <c r="H33" i="37"/>
  <c r="F33" i="37"/>
  <c r="AA33" i="37" s="1"/>
  <c r="S34" i="37"/>
  <c r="AA34" i="37"/>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H37" i="33"/>
  <c r="AB37" i="33" s="1"/>
  <c r="H11" i="33"/>
  <c r="AB11" i="33" s="1"/>
  <c r="F28" i="40"/>
  <c r="AA28" i="40" s="1"/>
  <c r="AA29" i="35"/>
  <c r="AA42" i="34"/>
  <c r="J37" i="34"/>
  <c r="AC37" i="34" s="1"/>
  <c r="J11" i="33"/>
  <c r="W11" i="33" s="1"/>
  <c r="J42" i="21"/>
  <c r="AC42" i="21" s="1"/>
  <c r="H42" i="21"/>
  <c r="AB42" i="21" s="1"/>
  <c r="J44" i="34"/>
  <c r="W44" i="34" s="1"/>
  <c r="F44" i="34"/>
  <c r="AA44" i="34" s="1"/>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c r="F44" i="21"/>
  <c r="AA44" i="21" s="1"/>
  <c r="H46" i="21"/>
  <c r="U46" i="21" s="1"/>
  <c r="J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s="1"/>
  <c r="J13" i="33"/>
  <c r="H13" i="33"/>
  <c r="U13" i="33" s="1"/>
  <c r="F13" i="33"/>
  <c r="S13" i="33" s="1"/>
  <c r="J29" i="33"/>
  <c r="H29" i="33"/>
  <c r="U29" i="33" s="1"/>
  <c r="F29" i="33"/>
  <c r="S29" i="33" s="1"/>
  <c r="J31" i="33"/>
  <c r="W31" i="33"/>
  <c r="H31" i="33"/>
  <c r="F31" i="33"/>
  <c r="H45" i="33"/>
  <c r="U45" i="33" s="1"/>
  <c r="J45" i="33"/>
  <c r="W45" i="33" s="1"/>
  <c r="F45" i="33"/>
  <c r="J14" i="34"/>
  <c r="W14" i="34" s="1"/>
  <c r="F14" i="34"/>
  <c r="S14" i="34" s="1"/>
  <c r="H14" i="34"/>
  <c r="H30" i="34"/>
  <c r="F30" i="34"/>
  <c r="S30" i="34" s="1"/>
  <c r="J30" i="34"/>
  <c r="H32" i="34"/>
  <c r="F32" i="34"/>
  <c r="AA32" i="34" s="1"/>
  <c r="J32" i="34"/>
  <c r="W32" i="34" s="1"/>
  <c r="H46" i="34"/>
  <c r="U46" i="34" s="1"/>
  <c r="F46" i="34"/>
  <c r="AA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AA14" i="33" s="1"/>
  <c r="S14" i="33"/>
  <c r="J14" i="33"/>
  <c r="AB30" i="33"/>
  <c r="F30" i="33"/>
  <c r="J30" i="33"/>
  <c r="H44" i="33"/>
  <c r="J44" i="33"/>
  <c r="AC44" i="33" s="1"/>
  <c r="F44" i="33"/>
  <c r="S44" i="33" s="1"/>
  <c r="AC46" i="33"/>
  <c r="F46" i="33"/>
  <c r="AA46" i="33" s="1"/>
  <c r="H46" i="33"/>
  <c r="H13" i="34"/>
  <c r="U13" i="34" s="1"/>
  <c r="J13" i="34"/>
  <c r="W13" i="34" s="1"/>
  <c r="F13" i="34"/>
  <c r="AA13" i="34" s="1"/>
  <c r="J29" i="34"/>
  <c r="W29" i="34" s="1"/>
  <c r="F29" i="34"/>
  <c r="S29" i="34" s="1"/>
  <c r="J31" i="34"/>
  <c r="W31" i="34" s="1"/>
  <c r="AC31" i="34"/>
  <c r="H31" i="34"/>
  <c r="F31" i="34"/>
  <c r="S31" i="34"/>
  <c r="H45" i="34"/>
  <c r="U45" i="34" s="1"/>
  <c r="J45" i="34"/>
  <c r="W45" i="34" s="1"/>
  <c r="F45" i="34"/>
  <c r="S45" i="34" s="1"/>
  <c r="H47" i="34"/>
  <c r="U47" i="34" s="1"/>
  <c r="F47" i="34"/>
  <c r="S47" i="34" s="1"/>
  <c r="J47" i="34"/>
  <c r="W47" i="34" s="1"/>
  <c r="F13" i="35"/>
  <c r="AC13" i="35"/>
  <c r="H13" i="35"/>
  <c r="U13" i="35" s="1"/>
  <c r="J25" i="35"/>
  <c r="W25" i="35" s="1"/>
  <c r="F25" i="35"/>
  <c r="S25" i="35" s="1"/>
  <c r="H25" i="35"/>
  <c r="AB25" i="35"/>
  <c r="F35" i="35"/>
  <c r="AA35" i="35"/>
  <c r="H35" i="35"/>
  <c r="J25" i="36"/>
  <c r="W25" i="36"/>
  <c r="F25" i="36"/>
  <c r="S25" i="36" s="1"/>
  <c r="H25" i="36"/>
  <c r="AB25" i="36" s="1"/>
  <c r="H13" i="37"/>
  <c r="AB13" i="37" s="1"/>
  <c r="F13" i="37"/>
  <c r="S13" i="37"/>
  <c r="F28" i="37"/>
  <c r="AA28" i="37" s="1"/>
  <c r="J28" i="37"/>
  <c r="AC28" i="37" s="1"/>
  <c r="H28" i="37"/>
  <c r="H38" i="37"/>
  <c r="AB38" i="37"/>
  <c r="J38" i="37"/>
  <c r="AC38" i="37" s="1"/>
  <c r="F38" i="37"/>
  <c r="S38" i="37"/>
  <c r="F43" i="39"/>
  <c r="AA43" i="39" s="1"/>
  <c r="H43"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13" i="39"/>
  <c r="J13" i="39"/>
  <c r="W13" i="39" s="1"/>
  <c r="H13" i="39"/>
  <c r="H14" i="40"/>
  <c r="AB14" i="40" s="1"/>
  <c r="J14" i="40"/>
  <c r="W14" i="40" s="1"/>
  <c r="F14" i="40"/>
  <c r="AA14" i="40" s="1"/>
  <c r="J14" i="37"/>
  <c r="J36" i="37"/>
  <c r="AC36" i="37"/>
  <c r="J10" i="36"/>
  <c r="AC10" i="36" s="1"/>
  <c r="AB30" i="21"/>
  <c r="AA14" i="37"/>
  <c r="S11" i="36"/>
  <c r="AB45" i="33"/>
  <c r="AC28" i="2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2" i="3"/>
  <c r="BL568" i="3"/>
  <c r="BL564" i="3"/>
  <c r="BL546" i="3"/>
  <c r="BL542" i="3"/>
  <c r="BL538" i="3"/>
  <c r="BL534" i="3"/>
  <c r="BL530" i="3"/>
  <c r="BL526" i="3"/>
  <c r="BL522" i="3"/>
  <c r="BL516" i="3"/>
  <c r="BL512" i="3"/>
  <c r="AZ512" i="3" s="1"/>
  <c r="BL506" i="3"/>
  <c r="BL502" i="3"/>
  <c r="BL498" i="3"/>
  <c r="BL494" i="3"/>
  <c r="BL582" i="3"/>
  <c r="BL574" i="3"/>
  <c r="BL570" i="3"/>
  <c r="BL566" i="3"/>
  <c r="BL556" i="3"/>
  <c r="BL544" i="3"/>
  <c r="BL540" i="3"/>
  <c r="BL536" i="3"/>
  <c r="G533" i="3"/>
  <c r="BL532" i="3"/>
  <c r="G529" i="3"/>
  <c r="BL528" i="3"/>
  <c r="G525" i="3"/>
  <c r="BL524" i="3"/>
  <c r="BL518" i="3"/>
  <c r="BL514" i="3"/>
  <c r="BL510" i="3"/>
  <c r="BL504" i="3"/>
  <c r="BL500" i="3"/>
  <c r="BL496" i="3"/>
  <c r="G493" i="3"/>
  <c r="BA584" i="3"/>
  <c r="BA580" i="3"/>
  <c r="AZ580" i="3" s="1"/>
  <c r="BA578" i="3"/>
  <c r="BA576" i="3"/>
  <c r="BA572" i="3"/>
  <c r="BA570" i="3"/>
  <c r="AZ570" i="3" s="1"/>
  <c r="BA568" i="3"/>
  <c r="AZ568" i="3" s="1"/>
  <c r="BA564" i="3"/>
  <c r="AZ564" i="3" s="1"/>
  <c r="BA562" i="3"/>
  <c r="BA560" i="3"/>
  <c r="BA556" i="3"/>
  <c r="AZ556" i="3" s="1"/>
  <c r="BA548" i="3"/>
  <c r="BA546" i="3"/>
  <c r="AZ546" i="3" s="1"/>
  <c r="BA544" i="3"/>
  <c r="AZ544" i="3"/>
  <c r="BA542" i="3"/>
  <c r="AZ542" i="3"/>
  <c r="BA540" i="3"/>
  <c r="BA538" i="3"/>
  <c r="AZ538" i="3" s="1"/>
  <c r="BA536" i="3"/>
  <c r="AZ536" i="3"/>
  <c r="BA534" i="3"/>
  <c r="BA532" i="3"/>
  <c r="AZ532" i="3" s="1"/>
  <c r="BA530" i="3"/>
  <c r="AZ530" i="3" s="1"/>
  <c r="BA528" i="3"/>
  <c r="BA526" i="3"/>
  <c r="AZ526" i="3" s="1"/>
  <c r="BA524" i="3"/>
  <c r="AZ524" i="3" s="1"/>
  <c r="BA522" i="3"/>
  <c r="AZ522" i="3" s="1"/>
  <c r="BA520" i="3"/>
  <c r="BA518" i="3"/>
  <c r="AZ518" i="3" s="1"/>
  <c r="BA516" i="3"/>
  <c r="AZ516" i="3" s="1"/>
  <c r="BA514" i="3"/>
  <c r="AZ514" i="3" s="1"/>
  <c r="BA512" i="3"/>
  <c r="BA510" i="3"/>
  <c r="AZ510" i="3"/>
  <c r="BA508" i="3"/>
  <c r="BA506" i="3"/>
  <c r="BA504" i="3"/>
  <c r="AZ504" i="3"/>
  <c r="BA502" i="3"/>
  <c r="BA500" i="3"/>
  <c r="BA498" i="3"/>
  <c r="AZ498" i="3"/>
  <c r="BA496" i="3"/>
  <c r="BA494" i="3"/>
  <c r="BA581" i="3"/>
  <c r="BA579" i="3"/>
  <c r="BA577" i="3"/>
  <c r="BA573" i="3"/>
  <c r="BA571" i="3"/>
  <c r="BA569" i="3"/>
  <c r="BA565" i="3"/>
  <c r="BA563" i="3"/>
  <c r="BA561"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3" i="3"/>
  <c r="G561" i="3"/>
  <c r="BL558" i="3"/>
  <c r="AC557" i="3"/>
  <c r="G557" i="3" s="1"/>
  <c r="BQ557" i="3"/>
  <c r="BL557" i="3" s="1"/>
  <c r="BQ583" i="3"/>
  <c r="BL583" i="3" s="1"/>
  <c r="BQ581" i="3"/>
  <c r="BL581" i="3"/>
  <c r="BQ579" i="3"/>
  <c r="BL579" i="3"/>
  <c r="BQ577" i="3"/>
  <c r="BQ575" i="3"/>
  <c r="BL575" i="3" s="1"/>
  <c r="BQ573" i="3"/>
  <c r="BL573" i="3" s="1"/>
  <c r="BQ571" i="3"/>
  <c r="BL571" i="3"/>
  <c r="BQ569" i="3"/>
  <c r="BL569" i="3" s="1"/>
  <c r="BQ567" i="3"/>
  <c r="BQ565" i="3"/>
  <c r="BL565" i="3" s="1"/>
  <c r="AZ565" i="3"/>
  <c r="BQ563" i="3"/>
  <c r="BQ561" i="3"/>
  <c r="BL561" i="3" s="1"/>
  <c r="AZ561" i="3" s="1"/>
  <c r="BQ559" i="3"/>
  <c r="BL559" i="3" s="1"/>
  <c r="G559" i="3"/>
  <c r="G555" i="3"/>
  <c r="G553" i="3"/>
  <c r="G549" i="3"/>
  <c r="G547" i="3"/>
  <c r="G545" i="3"/>
  <c r="G543" i="3"/>
  <c r="G541" i="3"/>
  <c r="G539" i="3"/>
  <c r="G537" i="3"/>
  <c r="BQ555" i="3"/>
  <c r="BQ553" i="3"/>
  <c r="BL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U26" i="37"/>
  <c r="AA13" i="33"/>
  <c r="AC31" i="33"/>
  <c r="AC45" i="33"/>
  <c r="W44" i="33"/>
  <c r="U19" i="21"/>
  <c r="W44"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494"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AZ127" i="3" s="1"/>
  <c r="BL128" i="3"/>
  <c r="G129" i="3"/>
  <c r="BA131" i="3"/>
  <c r="BL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AZ310" i="3" s="1"/>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BA379" i="3"/>
  <c r="AZ379" i="3" s="1"/>
  <c r="BL380" i="3"/>
  <c r="G381" i="3"/>
  <c r="BA383" i="3"/>
  <c r="AZ383" i="3" s="1"/>
  <c r="BL384" i="3"/>
  <c r="G385" i="3"/>
  <c r="BA387" i="3"/>
  <c r="AZ387" i="3" s="1"/>
  <c r="BL388" i="3"/>
  <c r="AZ388" i="3" s="1"/>
  <c r="G389" i="3"/>
  <c r="BA391" i="3"/>
  <c r="BL392" i="3"/>
  <c r="AZ392" i="3" s="1"/>
  <c r="G393" i="3"/>
  <c r="BO5" i="3"/>
  <c r="BM5" i="3"/>
  <c r="BJ5" i="3"/>
  <c r="BH5" i="3"/>
  <c r="BF5" i="3"/>
  <c r="BD5" i="3"/>
  <c r="AC5" i="3"/>
  <c r="AZ506" i="3"/>
  <c r="AZ496" i="3"/>
  <c r="G548" i="3"/>
  <c r="G538" i="3"/>
  <c r="G520" i="3"/>
  <c r="G502" i="3"/>
  <c r="BS5" i="3"/>
  <c r="BP5" i="3"/>
  <c r="BG5" i="3"/>
  <c r="G17" i="3"/>
  <c r="BA17" i="3"/>
  <c r="AZ17" i="3" s="1"/>
  <c r="AZ368" i="3"/>
  <c r="BA15" i="3"/>
  <c r="AZ15" i="3" s="1"/>
  <c r="AZ380" i="3"/>
  <c r="AZ509" i="3"/>
  <c r="G509" i="3"/>
  <c r="BL493" i="3"/>
  <c r="AZ493" i="3"/>
  <c r="U36" i="40"/>
  <c r="F83" i="43"/>
  <c r="H85" i="43" s="1"/>
  <c r="F50" i="43"/>
  <c r="H54" i="43" s="1"/>
  <c r="F72" i="43"/>
  <c r="H75" i="43" s="1"/>
  <c r="U17" i="39"/>
  <c r="S14" i="35"/>
  <c r="U43" i="21"/>
  <c r="U35" i="21"/>
  <c r="AC35" i="21"/>
  <c r="AZ501" i="3"/>
  <c r="W37"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C40" i="11"/>
  <c r="AZ248" i="3"/>
  <c r="AZ259" i="3"/>
  <c r="AZ130" i="3"/>
  <c r="AZ77" i="3"/>
  <c r="F23" i="39"/>
  <c r="AA23" i="39"/>
  <c r="H27" i="36"/>
  <c r="U27" i="36" s="1"/>
  <c r="F27" i="36"/>
  <c r="AA27" i="36" s="1"/>
  <c r="H33" i="34"/>
  <c r="U33" i="34" s="1"/>
  <c r="F32" i="37"/>
  <c r="AA32" i="37"/>
  <c r="F20" i="36"/>
  <c r="AA20" i="36" s="1"/>
  <c r="J33" i="34"/>
  <c r="AC33" i="34" s="1"/>
  <c r="H23" i="39"/>
  <c r="U23" i="39" s="1"/>
  <c r="D48" i="9"/>
  <c r="M52" i="9" s="1"/>
  <c r="K9" i="1"/>
  <c r="M9" i="1" s="1"/>
  <c r="AB34" i="36"/>
  <c r="U34" i="36"/>
  <c r="AB33" i="36"/>
  <c r="U33" i="36"/>
  <c r="AC12" i="39"/>
  <c r="W12" i="39"/>
  <c r="AC39" i="40"/>
  <c r="W39" i="40"/>
  <c r="AZ433" i="3"/>
  <c r="AA32" i="36"/>
  <c r="S32" i="36"/>
  <c r="AZ437" i="3"/>
  <c r="BL14" i="3"/>
  <c r="U30" i="33"/>
  <c r="AA47" i="34"/>
  <c r="S19" i="39"/>
  <c r="F12" i="33"/>
  <c r="H12" i="39"/>
  <c r="AB12" i="39" s="1"/>
  <c r="F39" i="40"/>
  <c r="AZ250" i="3"/>
  <c r="AZ286" i="3"/>
  <c r="AZ297" i="3"/>
  <c r="AZ149" i="3"/>
  <c r="AZ173" i="3"/>
  <c r="AZ181" i="3"/>
  <c r="B12" i="1"/>
  <c r="E12" i="1" s="1"/>
  <c r="B10" i="1"/>
  <c r="E10" i="1" s="1"/>
  <c r="K12" i="1"/>
  <c r="M12" i="1" s="1"/>
  <c r="S13" i="1"/>
  <c r="AR13" i="1" s="1"/>
  <c r="R13" i="1"/>
  <c r="J51" i="67"/>
  <c r="C42" i="1"/>
  <c r="C24" i="12" s="1"/>
  <c r="AB37" i="40"/>
  <c r="S35" i="40"/>
  <c r="U35" i="40"/>
  <c r="AC36" i="40"/>
  <c r="AA32" i="40"/>
  <c r="S23" i="40"/>
  <c r="AC17" i="40"/>
  <c r="AC15" i="40"/>
  <c r="AA19" i="40"/>
  <c r="S28"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S23" i="36"/>
  <c r="U13" i="36"/>
  <c r="U26" i="36"/>
  <c r="S33" i="36"/>
  <c r="AA26" i="36"/>
  <c r="AA34" i="36"/>
  <c r="AC26" i="36"/>
  <c r="AA22" i="36"/>
  <c r="W14" i="36"/>
  <c r="AB14" i="36"/>
  <c r="U22" i="36"/>
  <c r="S16" i="36"/>
  <c r="AA25" i="36"/>
  <c r="S24" i="36"/>
  <c r="U24" i="36"/>
  <c r="AB20" i="36"/>
  <c r="U16" i="36"/>
  <c r="AA25" i="35"/>
  <c r="S23" i="35"/>
  <c r="W24" i="35"/>
  <c r="U29" i="35"/>
  <c r="U28" i="35"/>
  <c r="AB27" i="35"/>
  <c r="U36" i="35"/>
  <c r="U32" i="35"/>
  <c r="AA33" i="35"/>
  <c r="AC30" i="35"/>
  <c r="S32" i="35"/>
  <c r="S28" i="35"/>
  <c r="AB16" i="35"/>
  <c r="U22" i="35"/>
  <c r="S20" i="35"/>
  <c r="AC20" i="35"/>
  <c r="S22" i="35"/>
  <c r="U14" i="35"/>
  <c r="AA11" i="35"/>
  <c r="AC9" i="35"/>
  <c r="W9" i="35"/>
  <c r="AC12" i="35"/>
  <c r="W13" i="35"/>
  <c r="F9" i="35"/>
  <c r="S9" i="35" s="1"/>
  <c r="H9" i="35"/>
  <c r="U9" i="35" s="1"/>
  <c r="AB40" i="37"/>
  <c r="S25" i="37"/>
  <c r="AC29" i="37"/>
  <c r="U29" i="37"/>
  <c r="S32" i="37"/>
  <c r="AB31" i="37"/>
  <c r="W30" i="37"/>
  <c r="S36" i="37"/>
  <c r="AA38" i="37"/>
  <c r="U32" i="37"/>
  <c r="W38" i="37"/>
  <c r="AC35" i="37"/>
  <c r="W39" i="37"/>
  <c r="S30" i="37"/>
  <c r="S37"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B41" i="34"/>
  <c r="U28" i="34"/>
  <c r="AA29" i="34"/>
  <c r="S13" i="34"/>
  <c r="H10" i="34"/>
  <c r="AB10" i="34" s="1"/>
  <c r="F11" i="34"/>
  <c r="S11" i="34" s="1"/>
  <c r="F70" i="34"/>
  <c r="G70" i="34" s="1"/>
  <c r="H70" i="34" s="1"/>
  <c r="I70" i="34" s="1"/>
  <c r="J70" i="34" s="1"/>
  <c r="K70" i="34" s="1"/>
  <c r="L70" i="34" s="1"/>
  <c r="M70" i="34" s="1"/>
  <c r="AA29" i="33"/>
  <c r="H41" i="33"/>
  <c r="U41" i="33" s="1"/>
  <c r="F121" i="33"/>
  <c r="G121" i="33" s="1"/>
  <c r="H121" i="33" s="1"/>
  <c r="I121" i="33" s="1"/>
  <c r="J121" i="33" s="1"/>
  <c r="K121" i="33" s="1"/>
  <c r="L121" i="33" s="1"/>
  <c r="M121" i="33" s="1"/>
  <c r="G108" i="33"/>
  <c r="H108" i="33" s="1"/>
  <c r="I108" i="33" s="1"/>
  <c r="J108" i="33" s="1"/>
  <c r="K108" i="33" s="1"/>
  <c r="L108" i="33" s="1"/>
  <c r="M108" i="33" s="1"/>
  <c r="J35" i="33"/>
  <c r="W35" i="33" s="1"/>
  <c r="S37" i="33"/>
  <c r="F101" i="33"/>
  <c r="H32" i="33" s="1"/>
  <c r="AB32" i="33" s="1"/>
  <c r="G101" i="33"/>
  <c r="H101" i="33" s="1"/>
  <c r="I101" i="33" s="1"/>
  <c r="J101" i="33" s="1"/>
  <c r="K101" i="33" s="1"/>
  <c r="L101" i="33" s="1"/>
  <c r="M101" i="33" s="1"/>
  <c r="J32" i="33"/>
  <c r="W32" i="33" s="1"/>
  <c r="F91" i="33"/>
  <c r="H27" i="33"/>
  <c r="AB27" i="33" s="1"/>
  <c r="F87" i="33"/>
  <c r="H25" i="33"/>
  <c r="U25" i="33" s="1"/>
  <c r="F25" i="33"/>
  <c r="AA25" i="33" s="1"/>
  <c r="J23" i="33"/>
  <c r="AC23" i="33" s="1"/>
  <c r="H23" i="33"/>
  <c r="AB23" i="33" s="1"/>
  <c r="F81" i="33"/>
  <c r="G81" i="33" s="1"/>
  <c r="F19" i="33"/>
  <c r="S19" i="33" s="1"/>
  <c r="J10" i="33"/>
  <c r="W10" i="33" s="1"/>
  <c r="H10" i="33"/>
  <c r="U10" i="33" s="1"/>
  <c r="AB14" i="33"/>
  <c r="W43" i="21"/>
  <c r="W36" i="21"/>
  <c r="W41" i="21"/>
  <c r="AB39" i="21"/>
  <c r="AA43" i="21"/>
  <c r="S39" i="21"/>
  <c r="AA38" i="21"/>
  <c r="AA36" i="21"/>
  <c r="AC40" i="21"/>
  <c r="J15" i="21"/>
  <c r="W15" i="21" s="1"/>
  <c r="F77" i="21"/>
  <c r="G77" i="21" s="1"/>
  <c r="F23" i="21"/>
  <c r="S23" i="21" s="1"/>
  <c r="E85" i="21"/>
  <c r="AA14" i="21"/>
  <c r="C18" i="9"/>
  <c r="D18" i="9" s="1"/>
  <c r="G13" i="3"/>
  <c r="BA13" i="3"/>
  <c r="BL17" i="3"/>
  <c r="BL13" i="3"/>
  <c r="J56" i="9"/>
  <c r="J57" i="9" s="1"/>
  <c r="J59" i="9" s="1"/>
  <c r="J61" i="9" s="1"/>
  <c r="U29" i="34"/>
  <c r="E5" i="6"/>
  <c r="E32" i="6"/>
  <c r="G1" i="68"/>
  <c r="E19" i="69"/>
  <c r="E19" i="68"/>
  <c r="E19" i="11"/>
  <c r="E1" i="73"/>
  <c r="G22" i="69"/>
  <c r="G22" i="68"/>
  <c r="G26" i="12"/>
  <c r="G22" i="11"/>
  <c r="C6" i="43"/>
  <c r="B19" i="53"/>
  <c r="B37" i="72" s="1"/>
  <c r="C7" i="39"/>
  <c r="C67" i="39" s="1"/>
  <c r="C7" i="35"/>
  <c r="C7" i="33"/>
  <c r="C7" i="21"/>
  <c r="C7" i="40"/>
  <c r="C63" i="40" s="1"/>
  <c r="M47" i="9"/>
  <c r="G23" i="43"/>
  <c r="C23" i="43" s="1"/>
  <c r="C48" i="35"/>
  <c r="D48" i="35" s="1"/>
  <c r="L20" i="6"/>
  <c r="K11" i="1"/>
  <c r="M11" i="1" s="1"/>
  <c r="O11" i="1" s="1"/>
  <c r="B9" i="1"/>
  <c r="E9" i="1" s="1"/>
  <c r="G1" i="67"/>
  <c r="W23" i="40"/>
  <c r="U32" i="40"/>
  <c r="AB31"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U38" i="39"/>
  <c r="S8" i="39"/>
  <c r="S20" i="36"/>
  <c r="AC25" i="36"/>
  <c r="U32" i="36"/>
  <c r="W29" i="36"/>
  <c r="U25" i="36"/>
  <c r="AA13" i="36"/>
  <c r="W9" i="36"/>
  <c r="W22" i="36"/>
  <c r="AB20" i="35"/>
  <c r="AC25" i="35"/>
  <c r="U25" i="35"/>
  <c r="S24" i="35"/>
  <c r="U24" i="35"/>
  <c r="S35" i="35"/>
  <c r="W35" i="35"/>
  <c r="AA16" i="35"/>
  <c r="AA35" i="37"/>
  <c r="W36" i="37"/>
  <c r="S28" i="37"/>
  <c r="W32" i="37"/>
  <c r="U36" i="37"/>
  <c r="S40" i="37"/>
  <c r="U38" i="37"/>
  <c r="AB37" i="37"/>
  <c r="AC34" i="37"/>
  <c r="AB35" i="37"/>
  <c r="AA31" i="37"/>
  <c r="U19" i="37"/>
  <c r="AA29" i="37"/>
  <c r="U8" i="37"/>
  <c r="AB40" i="34"/>
  <c r="AC45" i="34"/>
  <c r="AA31" i="34"/>
  <c r="AB45" i="34"/>
  <c r="AB47" i="34"/>
  <c r="AC14" i="34"/>
  <c r="AC32" i="34"/>
  <c r="AC29" i="34"/>
  <c r="W46" i="34"/>
  <c r="AC46" i="34"/>
  <c r="U30" i="34"/>
  <c r="AB30" i="34"/>
  <c r="S37" i="34"/>
  <c r="AC40" i="34"/>
  <c r="W40" i="34"/>
  <c r="U32" i="34"/>
  <c r="AB32" i="34"/>
  <c r="U14" i="34"/>
  <c r="AB14" i="34"/>
  <c r="AB28" i="33"/>
  <c r="W46" i="33"/>
  <c r="U44" i="33"/>
  <c r="AB44" i="33"/>
  <c r="S30" i="33"/>
  <c r="AA30" i="33"/>
  <c r="AC14" i="33"/>
  <c r="W14" i="33"/>
  <c r="AC30" i="33"/>
  <c r="W30" i="33"/>
  <c r="S31" i="33"/>
  <c r="AA31" i="33"/>
  <c r="W13" i="33"/>
  <c r="AC13" i="33"/>
  <c r="W8" i="33"/>
  <c r="S44"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31" i="21"/>
  <c r="S27" i="21"/>
  <c r="S17" i="21"/>
  <c r="AA15" i="21"/>
  <c r="AC27" i="21"/>
  <c r="AC26" i="21"/>
  <c r="AB29" i="21"/>
  <c r="S28" i="21"/>
  <c r="AC34" i="21"/>
  <c r="AB36" i="21"/>
  <c r="W30" i="40"/>
  <c r="C19" i="39"/>
  <c r="C15" i="40"/>
  <c r="C17" i="40"/>
  <c r="C23" i="40"/>
  <c r="C21" i="40"/>
  <c r="U30" i="40"/>
  <c r="B56" i="43"/>
  <c r="B67" i="43"/>
  <c r="B51" i="43"/>
  <c r="B54" i="43"/>
  <c r="B62" i="43"/>
  <c r="B65"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J23" i="37"/>
  <c r="AC23" i="37" s="1"/>
  <c r="G79" i="37"/>
  <c r="J10" i="37"/>
  <c r="W10" i="37" s="1"/>
  <c r="H11" i="37"/>
  <c r="AB11" i="37" s="1"/>
  <c r="H11" i="34"/>
  <c r="U11" i="34" s="1"/>
  <c r="J10" i="34"/>
  <c r="AC10" i="34" s="1"/>
  <c r="G91" i="33"/>
  <c r="H91" i="33" s="1"/>
  <c r="I91" i="33" s="1"/>
  <c r="J91" i="33" s="1"/>
  <c r="K91" i="33" s="1"/>
  <c r="L91" i="33" s="1"/>
  <c r="M91" i="33" s="1"/>
  <c r="J27" i="33"/>
  <c r="AC27" i="33" s="1"/>
  <c r="G87" i="33"/>
  <c r="H87" i="33" s="1"/>
  <c r="I87" i="33" s="1"/>
  <c r="J87" i="33" s="1"/>
  <c r="K87" i="33" s="1"/>
  <c r="L87" i="33" s="1"/>
  <c r="M87" i="33" s="1"/>
  <c r="J25" i="33"/>
  <c r="AC25" i="33" s="1"/>
  <c r="F23" i="33"/>
  <c r="H19" i="33"/>
  <c r="U19" i="33" s="1"/>
  <c r="S37" i="21"/>
  <c r="AB15" i="21"/>
  <c r="J23" i="21"/>
  <c r="F85" i="21"/>
  <c r="G85" i="21" s="1"/>
  <c r="H23" i="21"/>
  <c r="S13" i="21"/>
  <c r="AP7" i="1"/>
  <c r="AB45" i="21"/>
  <c r="AA32" i="21"/>
  <c r="S32" i="21"/>
  <c r="W9" i="21"/>
  <c r="AC9" i="21"/>
  <c r="AB32" i="21"/>
  <c r="U32" i="21"/>
  <c r="U32" i="39"/>
  <c r="AC32" i="39"/>
  <c r="J11" i="37"/>
  <c r="AC11" i="37" s="1"/>
  <c r="J11" i="34"/>
  <c r="W11" i="34" s="1"/>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3" i="82"/>
  <c r="B13" i="76"/>
  <c r="AO13" i="1"/>
  <c r="E8" i="76"/>
  <c r="F7" i="67"/>
  <c r="M29" i="67"/>
  <c r="F4" i="73"/>
  <c r="B12" i="76"/>
  <c r="B9" i="76"/>
  <c r="F16" i="67"/>
  <c r="F13" i="67"/>
  <c r="F26" i="67"/>
  <c r="F7" i="82"/>
  <c r="E9" i="76"/>
  <c r="E2" i="68"/>
  <c r="C76" i="67"/>
  <c r="M26" i="67"/>
  <c r="E12" i="76"/>
  <c r="F3" i="73"/>
  <c r="B11" i="76"/>
  <c r="B10" i="76"/>
  <c r="J15" i="67"/>
  <c r="E13" i="76"/>
  <c r="M6" i="67"/>
  <c r="E2" i="69"/>
  <c r="M23" i="67"/>
  <c r="E7" i="76"/>
  <c r="F5" i="73"/>
  <c r="E11" i="76"/>
  <c r="F36" i="67"/>
  <c r="F6" i="73"/>
  <c r="F6" i="67"/>
  <c r="E10" i="76"/>
  <c r="F9" i="67"/>
  <c r="B7" i="76"/>
  <c r="F42" i="67"/>
  <c r="B8" i="76"/>
  <c r="M9" i="67"/>
  <c r="M29" i="82"/>
  <c r="M8" i="67"/>
  <c r="F20" i="31"/>
  <c r="F40" i="67"/>
  <c r="F7" i="73"/>
  <c r="D6" i="73"/>
  <c r="C40" i="68" l="1"/>
  <c r="AC13" i="34"/>
  <c r="AC44" i="34"/>
  <c r="AB46" i="34"/>
  <c r="S44" i="34"/>
  <c r="G124" i="34"/>
  <c r="H124" i="34" s="1"/>
  <c r="I124" i="34" s="1"/>
  <c r="J124" i="34" s="1"/>
  <c r="K124" i="34" s="1"/>
  <c r="L124" i="34" s="1"/>
  <c r="M124" i="34" s="1"/>
  <c r="H43" i="34"/>
  <c r="AB43" i="34" s="1"/>
  <c r="J43" i="34"/>
  <c r="AC43" i="34" s="1"/>
  <c r="F43" i="34"/>
  <c r="AA43" i="34" s="1"/>
  <c r="AA33" i="34"/>
  <c r="W41" i="34"/>
  <c r="U39" i="34"/>
  <c r="U38" i="34"/>
  <c r="S36" i="34"/>
  <c r="AC36" i="34"/>
  <c r="W35" i="34"/>
  <c r="S19" i="34"/>
  <c r="AC27" i="34"/>
  <c r="U27" i="34"/>
  <c r="AA25" i="34"/>
  <c r="AB23" i="34"/>
  <c r="W23" i="34"/>
  <c r="S23" i="34"/>
  <c r="U21" i="34"/>
  <c r="U19" i="34"/>
  <c r="W19" i="34"/>
  <c r="U17" i="34"/>
  <c r="AC17" i="34"/>
  <c r="S17" i="34"/>
  <c r="U15" i="34"/>
  <c r="AC15" i="34"/>
  <c r="H9" i="34"/>
  <c r="S8" i="34"/>
  <c r="W8" i="34"/>
  <c r="AB8" i="34"/>
  <c r="AC39" i="34"/>
  <c r="AA38" i="34"/>
  <c r="AB33" i="34"/>
  <c r="U25" i="34"/>
  <c r="W25" i="34"/>
  <c r="W9" i="33"/>
  <c r="U9" i="33"/>
  <c r="S42" i="33"/>
  <c r="S38" i="33"/>
  <c r="U38" i="33"/>
  <c r="F36" i="33"/>
  <c r="AA36" i="33" s="1"/>
  <c r="H36" i="33"/>
  <c r="U36" i="33" s="1"/>
  <c r="H111" i="33"/>
  <c r="I111" i="33" s="1"/>
  <c r="J111" i="33" s="1"/>
  <c r="K111" i="33" s="1"/>
  <c r="L111" i="33" s="1"/>
  <c r="M111" i="33" s="1"/>
  <c r="J36" i="33"/>
  <c r="W36" i="33" s="1"/>
  <c r="S39" i="33"/>
  <c r="W38" i="33"/>
  <c r="W42" i="33"/>
  <c r="W43" i="33"/>
  <c r="S43" i="33"/>
  <c r="AB41" i="33"/>
  <c r="U37" i="33"/>
  <c r="U35" i="33"/>
  <c r="AA35" i="33"/>
  <c r="AA34" i="33"/>
  <c r="F32" i="33"/>
  <c r="S32" i="33" s="1"/>
  <c r="AC28" i="33"/>
  <c r="S28" i="33"/>
  <c r="S27" i="33"/>
  <c r="AB26" i="33"/>
  <c r="W26" i="33"/>
  <c r="W19" i="33"/>
  <c r="F17" i="33"/>
  <c r="S17" i="33" s="1"/>
  <c r="H17" i="33"/>
  <c r="U17" i="33" s="1"/>
  <c r="J17" i="33"/>
  <c r="AC17" i="33" s="1"/>
  <c r="H15" i="33"/>
  <c r="AB15" i="33" s="1"/>
  <c r="F15" i="33"/>
  <c r="W15" i="33"/>
  <c r="U42" i="33"/>
  <c r="W41" i="33"/>
  <c r="S41" i="33"/>
  <c r="U39" i="33"/>
  <c r="W39" i="33"/>
  <c r="AC37" i="33"/>
  <c r="AC35" i="33"/>
  <c r="AC34" i="33"/>
  <c r="S33" i="33"/>
  <c r="AC32" i="33"/>
  <c r="U32" i="33"/>
  <c r="U27" i="33"/>
  <c r="S25" i="33"/>
  <c r="W25" i="33"/>
  <c r="U11" i="33"/>
  <c r="S11" i="33"/>
  <c r="BC5" i="3"/>
  <c r="F50" i="82"/>
  <c r="C49" i="82" s="1"/>
  <c r="C61" i="82" s="1"/>
  <c r="M7" i="82"/>
  <c r="J6" i="82" s="1"/>
  <c r="F71" i="82"/>
  <c r="M7" i="1"/>
  <c r="F7" i="1"/>
  <c r="I24" i="81" s="1"/>
  <c r="C24" i="81" s="1"/>
  <c r="C44" i="81"/>
  <c r="G44" i="43"/>
  <c r="F6" i="1"/>
  <c r="I24" i="43" s="1"/>
  <c r="C24" i="43" s="1"/>
  <c r="D52" i="43"/>
  <c r="B68" i="43"/>
  <c r="B58" i="43"/>
  <c r="B69" i="43"/>
  <c r="B79" i="43"/>
  <c r="BA14" i="3"/>
  <c r="AZ14" i="3" s="1"/>
  <c r="BB5" i="3"/>
  <c r="K6" i="1"/>
  <c r="AP6" i="1" s="1"/>
  <c r="C36" i="69" s="1"/>
  <c r="F34" i="15"/>
  <c r="F62" i="15" s="1"/>
  <c r="M20" i="67"/>
  <c r="F34" i="67"/>
  <c r="F62" i="67" s="1"/>
  <c r="B41" i="1"/>
  <c r="D93" i="9"/>
  <c r="C40" i="69"/>
  <c r="C21" i="68"/>
  <c r="G1" i="69"/>
  <c r="G1" i="15"/>
  <c r="B6" i="1"/>
  <c r="E6" i="1" s="1"/>
  <c r="K1" i="12"/>
  <c r="G29" i="6"/>
  <c r="E29" i="6" s="1"/>
  <c r="K15" i="1" s="1"/>
  <c r="AZ171" i="3"/>
  <c r="AZ563" i="3"/>
  <c r="AZ587" i="3"/>
  <c r="AZ552" i="3"/>
  <c r="AB19" i="33"/>
  <c r="W27" i="33"/>
  <c r="W23" i="37"/>
  <c r="AB9" i="21"/>
  <c r="W17" i="33"/>
  <c r="AA19" i="37"/>
  <c r="W17" i="21"/>
  <c r="AB34" i="33"/>
  <c r="S46" i="34"/>
  <c r="AB36" i="34"/>
  <c r="W34" i="39"/>
  <c r="S37" i="40"/>
  <c r="AA36" i="35"/>
  <c r="U12" i="39"/>
  <c r="AA12" i="39"/>
  <c r="S43" i="39"/>
  <c r="AA27" i="40"/>
  <c r="AB27" i="40"/>
  <c r="S17" i="40"/>
  <c r="AZ366" i="3"/>
  <c r="AZ307" i="3"/>
  <c r="AZ155" i="3"/>
  <c r="W40" i="37"/>
  <c r="AZ505" i="3"/>
  <c r="AZ525" i="3"/>
  <c r="AZ573" i="3"/>
  <c r="AZ583" i="3"/>
  <c r="AZ529" i="3"/>
  <c r="AZ537" i="3"/>
  <c r="AZ579" i="3"/>
  <c r="AA45" i="33"/>
  <c r="S45" i="33"/>
  <c r="S26" i="33"/>
  <c r="G586" i="3"/>
  <c r="AC33" i="33"/>
  <c r="W33" i="33"/>
  <c r="AC40" i="33"/>
  <c r="W40" i="33"/>
  <c r="F28" i="34"/>
  <c r="J28" i="34"/>
  <c r="H12" i="33"/>
  <c r="U12" i="33" s="1"/>
  <c r="J12" i="33"/>
  <c r="AA27" i="35"/>
  <c r="S27" i="35"/>
  <c r="W38" i="34"/>
  <c r="AC38" i="34"/>
  <c r="U34" i="37"/>
  <c r="AB34" i="37"/>
  <c r="BA583" i="3"/>
  <c r="BA582" i="3"/>
  <c r="AZ582" i="3" s="1"/>
  <c r="BL578" i="3"/>
  <c r="BL576" i="3"/>
  <c r="AZ576" i="3" s="1"/>
  <c r="BA575" i="3"/>
  <c r="AZ575" i="3" s="1"/>
  <c r="BA574" i="3"/>
  <c r="AZ574" i="3" s="1"/>
  <c r="BL567" i="3"/>
  <c r="BA567" i="3"/>
  <c r="AZ567" i="3" s="1"/>
  <c r="BA566" i="3"/>
  <c r="AZ566" i="3" s="1"/>
  <c r="AZ143" i="3"/>
  <c r="U23" i="33"/>
  <c r="AB25" i="33"/>
  <c r="S32" i="34"/>
  <c r="AA30" i="34"/>
  <c r="D120" i="9"/>
  <c r="S46" i="33"/>
  <c r="AB29" i="33"/>
  <c r="AB36" i="33"/>
  <c r="AA23" i="21"/>
  <c r="AA19" i="33"/>
  <c r="AC15" i="21"/>
  <c r="S45" i="21"/>
  <c r="AC20" i="36"/>
  <c r="AA39" i="39"/>
  <c r="AA45" i="34"/>
  <c r="AB35" i="34"/>
  <c r="AC15" i="37"/>
  <c r="AB13" i="35"/>
  <c r="S14" i="36"/>
  <c r="W28" i="37"/>
  <c r="AA30" i="40"/>
  <c r="AC11" i="39"/>
  <c r="BE5" i="3"/>
  <c r="F29" i="6"/>
  <c r="AZ391" i="3"/>
  <c r="AZ318" i="3"/>
  <c r="AZ364" i="3"/>
  <c r="AZ346" i="3"/>
  <c r="AZ329" i="3"/>
  <c r="AZ304" i="3"/>
  <c r="AZ306" i="3"/>
  <c r="AA15" i="37"/>
  <c r="AZ535" i="3"/>
  <c r="AZ569" i="3"/>
  <c r="AZ571" i="3"/>
  <c r="AZ534" i="3"/>
  <c r="AA14" i="34"/>
  <c r="J27" i="37"/>
  <c r="AC47" i="34"/>
  <c r="AB46" i="33"/>
  <c r="U46" i="33"/>
  <c r="U42" i="21"/>
  <c r="U28" i="40"/>
  <c r="AA38" i="40"/>
  <c r="S38" i="40"/>
  <c r="BA586" i="3"/>
  <c r="AZ586" i="3" s="1"/>
  <c r="AB12" i="36"/>
  <c r="U12" i="36"/>
  <c r="H23" i="36"/>
  <c r="J23" i="36"/>
  <c r="BA554" i="3"/>
  <c r="AZ554" i="3" s="1"/>
  <c r="AA23" i="37"/>
  <c r="W25" i="21"/>
  <c r="W33" i="34"/>
  <c r="AA40" i="34"/>
  <c r="AB28" i="36"/>
  <c r="AC11" i="33"/>
  <c r="AZ345" i="3"/>
  <c r="AZ303" i="3"/>
  <c r="AZ372" i="3"/>
  <c r="AZ347" i="3"/>
  <c r="AZ337" i="3"/>
  <c r="AZ192" i="3"/>
  <c r="AZ183" i="3"/>
  <c r="AZ376" i="3"/>
  <c r="AZ309" i="3"/>
  <c r="AZ549" i="3"/>
  <c r="AA11" i="39"/>
  <c r="H5" i="3"/>
  <c r="AC12" i="37"/>
  <c r="U14" i="40"/>
  <c r="AZ515" i="3"/>
  <c r="AZ572" i="3"/>
  <c r="AA44" i="33"/>
  <c r="F27" i="37"/>
  <c r="BL563" i="3"/>
  <c r="BL562" i="3"/>
  <c r="BL560" i="3"/>
  <c r="AZ560" i="3" s="1"/>
  <c r="BA559" i="3"/>
  <c r="AZ559" i="3" s="1"/>
  <c r="BA558" i="3"/>
  <c r="AZ558" i="3" s="1"/>
  <c r="BA557" i="3"/>
  <c r="AZ557" i="3" s="1"/>
  <c r="G552" i="3"/>
  <c r="AZ419" i="3"/>
  <c r="BL577" i="3"/>
  <c r="AZ577" i="3" s="1"/>
  <c r="AZ513" i="3"/>
  <c r="AZ528" i="3"/>
  <c r="AZ548" i="3"/>
  <c r="AZ540" i="3"/>
  <c r="AZ502" i="3"/>
  <c r="AC11" i="40"/>
  <c r="AC12" i="34"/>
  <c r="U9" i="40"/>
  <c r="W31" i="37"/>
  <c r="U9" i="39"/>
  <c r="G585" i="3"/>
  <c r="BL587" i="3"/>
  <c r="BL586" i="3"/>
  <c r="J9" i="34"/>
  <c r="H12" i="34"/>
  <c r="F44" i="39"/>
  <c r="J38" i="40"/>
  <c r="G582" i="3"/>
  <c r="G574" i="3"/>
  <c r="BA551" i="3"/>
  <c r="AZ551" i="3" s="1"/>
  <c r="BA550" i="3"/>
  <c r="BL548" i="3"/>
  <c r="AZ443" i="3"/>
  <c r="BL585" i="3"/>
  <c r="AZ585" i="3" s="1"/>
  <c r="B75" i="43"/>
  <c r="BL550" i="3"/>
  <c r="BL418" i="3"/>
  <c r="BL420" i="3"/>
  <c r="BL424" i="3"/>
  <c r="AZ424" i="3" s="1"/>
  <c r="BL428" i="3"/>
  <c r="BL429" i="3"/>
  <c r="BL432" i="3"/>
  <c r="BL435" i="3"/>
  <c r="BL436" i="3"/>
  <c r="BA439" i="3"/>
  <c r="BA440" i="3"/>
  <c r="AZ440" i="3" s="1"/>
  <c r="BA442" i="3"/>
  <c r="AZ442" i="3" s="1"/>
  <c r="BA445" i="3"/>
  <c r="AZ445" i="3" s="1"/>
  <c r="BA447" i="3"/>
  <c r="AZ447" i="3" s="1"/>
  <c r="BA449" i="3"/>
  <c r="BL453" i="3"/>
  <c r="BL454" i="3"/>
  <c r="AZ454" i="3" s="1"/>
  <c r="BL459" i="3"/>
  <c r="BA465" i="3"/>
  <c r="AZ465" i="3" s="1"/>
  <c r="BA467" i="3"/>
  <c r="BA468" i="3"/>
  <c r="BL471" i="3"/>
  <c r="BL475" i="3"/>
  <c r="BA477" i="3"/>
  <c r="AZ477" i="3" s="1"/>
  <c r="BA478" i="3"/>
  <c r="AZ478" i="3" s="1"/>
  <c r="BA481" i="3"/>
  <c r="G484" i="3"/>
  <c r="BA488" i="3"/>
  <c r="AZ488" i="3" s="1"/>
  <c r="BA491" i="3"/>
  <c r="AZ491" i="3" s="1"/>
  <c r="BL359" i="3"/>
  <c r="AZ359" i="3" s="1"/>
  <c r="BL367" i="3"/>
  <c r="G558" i="3"/>
  <c r="BL398" i="3"/>
  <c r="G402" i="3"/>
  <c r="BL403" i="3"/>
  <c r="G405"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2" i="3"/>
  <c r="G443" i="3"/>
  <c r="BA446" i="3"/>
  <c r="AZ446" i="3" s="1"/>
  <c r="BA450" i="3"/>
  <c r="BA453" i="3"/>
  <c r="BA455" i="3"/>
  <c r="AZ455" i="3" s="1"/>
  <c r="BL457" i="3"/>
  <c r="AZ457" i="3" s="1"/>
  <c r="BL460" i="3"/>
  <c r="BL461" i="3"/>
  <c r="BL463" i="3"/>
  <c r="AZ463" i="3" s="1"/>
  <c r="G465" i="3"/>
  <c r="BA471" i="3"/>
  <c r="AZ471" i="3" s="1"/>
  <c r="G486" i="3"/>
  <c r="G488" i="3"/>
  <c r="BL317" i="3"/>
  <c r="G318" i="3"/>
  <c r="BA398" i="3"/>
  <c r="BA399" i="3"/>
  <c r="AZ399" i="3" s="1"/>
  <c r="BL401" i="3"/>
  <c r="BL404" i="3"/>
  <c r="BL405" i="3"/>
  <c r="BL407" i="3"/>
  <c r="AZ407" i="3" s="1"/>
  <c r="BA412" i="3"/>
  <c r="AZ412" i="3" s="1"/>
  <c r="BA414" i="3"/>
  <c r="BA415" i="3"/>
  <c r="AZ415" i="3" s="1"/>
  <c r="BA416" i="3"/>
  <c r="AZ416" i="3" s="1"/>
  <c r="AZ418" i="3"/>
  <c r="BA421" i="3"/>
  <c r="AZ425" i="3"/>
  <c r="AZ435" i="3"/>
  <c r="AZ451" i="3"/>
  <c r="AZ459" i="3"/>
  <c r="AZ460" i="3"/>
  <c r="AZ461" i="3"/>
  <c r="AZ469" i="3"/>
  <c r="AZ483" i="3"/>
  <c r="AZ301" i="3"/>
  <c r="BL16" i="3"/>
  <c r="AZ16" i="3" s="1"/>
  <c r="BA401" i="3"/>
  <c r="BA403" i="3"/>
  <c r="AZ403" i="3" s="1"/>
  <c r="BA404" i="3"/>
  <c r="AZ404" i="3" s="1"/>
  <c r="BA405" i="3"/>
  <c r="AZ405" i="3" s="1"/>
  <c r="G409" i="3"/>
  <c r="BL410" i="3"/>
  <c r="G412" i="3"/>
  <c r="G418" i="3"/>
  <c r="G419" i="3"/>
  <c r="BA422" i="3"/>
  <c r="G429" i="3"/>
  <c r="G430" i="3"/>
  <c r="BL431" i="3"/>
  <c r="G433" i="3"/>
  <c r="BL434" i="3"/>
  <c r="G436" i="3"/>
  <c r="G437" i="3"/>
  <c r="BL438" i="3"/>
  <c r="BL439" i="3"/>
  <c r="AZ439" i="3" s="1"/>
  <c r="BA441" i="3"/>
  <c r="AZ441" i="3" s="1"/>
  <c r="BL445" i="3"/>
  <c r="BL446" i="3"/>
  <c r="BL449" i="3"/>
  <c r="BL450" i="3"/>
  <c r="AZ450" i="3" s="1"/>
  <c r="BL452" i="3"/>
  <c r="G454" i="3"/>
  <c r="G455" i="3"/>
  <c r="BL456" i="3"/>
  <c r="AZ456" i="3" s="1"/>
  <c r="BA464" i="3"/>
  <c r="AZ464" i="3" s="1"/>
  <c r="BL467" i="3"/>
  <c r="BL468" i="3"/>
  <c r="BL470" i="3"/>
  <c r="AZ470" i="3" s="1"/>
  <c r="G472" i="3"/>
  <c r="G473" i="3"/>
  <c r="BL473" i="3"/>
  <c r="AZ473" i="3" s="1"/>
  <c r="BL474" i="3"/>
  <c r="G475" i="3"/>
  <c r="BA482" i="3"/>
  <c r="BA484" i="3"/>
  <c r="AZ484" i="3" s="1"/>
  <c r="G491" i="3"/>
  <c r="BA303" i="3"/>
  <c r="BA307" i="3"/>
  <c r="G311" i="3"/>
  <c r="BL314" i="3"/>
  <c r="AZ314" i="3" s="1"/>
  <c r="G315" i="3"/>
  <c r="BA348" i="3"/>
  <c r="BA350" i="3"/>
  <c r="AZ350" i="3" s="1"/>
  <c r="BA354" i="3"/>
  <c r="BA366" i="3"/>
  <c r="BL375" i="3"/>
  <c r="AZ375" i="3" s="1"/>
  <c r="BL385" i="3"/>
  <c r="AZ385" i="3" s="1"/>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AZ258" i="3" s="1"/>
  <c r="AZ270" i="3"/>
  <c r="BA277" i="3"/>
  <c r="BL277" i="3"/>
  <c r="BA282" i="3"/>
  <c r="BL282" i="3"/>
  <c r="BA284" i="3"/>
  <c r="BL290" i="3"/>
  <c r="BL291" i="3"/>
  <c r="AZ291" i="3" s="1"/>
  <c r="AZ137" i="3"/>
  <c r="BL261" i="3"/>
  <c r="BA263" i="3"/>
  <c r="BA267" i="3"/>
  <c r="AZ267" i="3" s="1"/>
  <c r="BA269" i="3"/>
  <c r="AZ269" i="3" s="1"/>
  <c r="BA271" i="3"/>
  <c r="BL271" i="3"/>
  <c r="BA274" i="3"/>
  <c r="BL274" i="3"/>
  <c r="BA296" i="3"/>
  <c r="BA132" i="3"/>
  <c r="AZ132" i="3" s="1"/>
  <c r="G135" i="3"/>
  <c r="AZ65" i="3"/>
  <c r="BA333" i="3"/>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8" i="3"/>
  <c r="BL298" i="3"/>
  <c r="BL299" i="3"/>
  <c r="BA302" i="3"/>
  <c r="BA117" i="3"/>
  <c r="G138" i="3"/>
  <c r="BA332" i="3"/>
  <c r="BL332" i="3"/>
  <c r="G339" i="3"/>
  <c r="G364" i="3"/>
  <c r="BA367" i="3"/>
  <c r="BA370" i="3"/>
  <c r="AZ370" i="3" s="1"/>
  <c r="BA386" i="3"/>
  <c r="AZ386" i="3" s="1"/>
  <c r="G397" i="3"/>
  <c r="G210" i="3"/>
  <c r="BA216" i="3"/>
  <c r="AZ216" i="3" s="1"/>
  <c r="BA218" i="3"/>
  <c r="BL218" i="3"/>
  <c r="BL220" i="3"/>
  <c r="BL221" i="3"/>
  <c r="G222" i="3"/>
  <c r="BL223" i="3"/>
  <c r="AZ223" i="3" s="1"/>
  <c r="G224" i="3"/>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G262" i="3"/>
  <c r="BL263" i="3"/>
  <c r="G264" i="3"/>
  <c r="BL270" i="3"/>
  <c r="BA272" i="3"/>
  <c r="AZ272" i="3" s="1"/>
  <c r="BL275" i="3"/>
  <c r="AZ275" i="3" s="1"/>
  <c r="G277" i="3"/>
  <c r="G280" i="3"/>
  <c r="G282" i="3"/>
  <c r="BL285" i="3"/>
  <c r="BL287" i="3"/>
  <c r="BA290" i="3"/>
  <c r="G297" i="3"/>
  <c r="BL300" i="3"/>
  <c r="BA116" i="3"/>
  <c r="AZ116" i="3" s="1"/>
  <c r="BA121" i="3"/>
  <c r="BL121" i="3"/>
  <c r="BA124" i="3"/>
  <c r="AZ124" i="3" s="1"/>
  <c r="BA126" i="3"/>
  <c r="BA129" i="3"/>
  <c r="BL133" i="3"/>
  <c r="AZ133" i="3" s="1"/>
  <c r="BL139" i="3"/>
  <c r="AZ139" i="3" s="1"/>
  <c r="BL141" i="3"/>
  <c r="BL143" i="3"/>
  <c r="BL157" i="3"/>
  <c r="AZ157" i="3" s="1"/>
  <c r="BL159" i="3"/>
  <c r="AZ159" i="3" s="1"/>
  <c r="BL177" i="3"/>
  <c r="AZ177" i="3" s="1"/>
  <c r="BL183" i="3"/>
  <c r="BA186" i="3"/>
  <c r="AZ186" i="3" s="1"/>
  <c r="BA190" i="3"/>
  <c r="AZ190" i="3" s="1"/>
  <c r="BA197" i="3"/>
  <c r="BL201" i="3"/>
  <c r="AZ201" i="3" s="1"/>
  <c r="BL203" i="3"/>
  <c r="AZ203" i="3" s="1"/>
  <c r="BA204" i="3"/>
  <c r="AZ204" i="3" s="1"/>
  <c r="BA18" i="3"/>
  <c r="BL21" i="3"/>
  <c r="G23" i="3"/>
  <c r="G29" i="3"/>
  <c r="BL29" i="3"/>
  <c r="G33" i="3"/>
  <c r="G34" i="3"/>
  <c r="BA37" i="3"/>
  <c r="G39" i="3"/>
  <c r="BL39" i="3"/>
  <c r="G43" i="3"/>
  <c r="G44" i="3"/>
  <c r="BA45" i="3"/>
  <c r="AZ45" i="3" s="1"/>
  <c r="BA46" i="3"/>
  <c r="BL49" i="3"/>
  <c r="AZ49" i="3" s="1"/>
  <c r="BL50" i="3"/>
  <c r="AZ50" i="3" s="1"/>
  <c r="BL51" i="3"/>
  <c r="AZ51" i="3" s="1"/>
  <c r="G53" i="3"/>
  <c r="BL53" i="3"/>
  <c r="BA56" i="3"/>
  <c r="BA57" i="3"/>
  <c r="BL58" i="3"/>
  <c r="AZ58" i="3" s="1"/>
  <c r="G60" i="3"/>
  <c r="BA60" i="3"/>
  <c r="AZ60" i="3" s="1"/>
  <c r="BA63" i="3"/>
  <c r="BA66" i="3"/>
  <c r="BA71" i="3"/>
  <c r="AZ71" i="3" s="1"/>
  <c r="BL72" i="3"/>
  <c r="BL75" i="3"/>
  <c r="BL91" i="3"/>
  <c r="G98" i="3"/>
  <c r="G99" i="3"/>
  <c r="C47" i="71"/>
  <c r="D47" i="71" s="1"/>
  <c r="D46" i="71"/>
  <c r="V24" i="71"/>
  <c r="E23" i="71"/>
  <c r="E22" i="71" s="1"/>
  <c r="E21" i="71" s="1"/>
  <c r="E20" i="71" s="1"/>
  <c r="E19" i="71" s="1"/>
  <c r="E18" i="71" s="1"/>
  <c r="E17" i="71" s="1"/>
  <c r="E16" i="71" s="1"/>
  <c r="BL292" i="3"/>
  <c r="BA294" i="3"/>
  <c r="AZ294" i="3" s="1"/>
  <c r="BL295" i="3"/>
  <c r="BA298" i="3"/>
  <c r="AZ298" i="3" s="1"/>
  <c r="BL301" i="3"/>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BA52" i="3"/>
  <c r="AZ52" i="3" s="1"/>
  <c r="BA53" i="3"/>
  <c r="AZ53" i="3" s="1"/>
  <c r="BA54" i="3"/>
  <c r="BL57" i="3"/>
  <c r="G62" i="3"/>
  <c r="BL62" i="3"/>
  <c r="AZ62" i="3" s="1"/>
  <c r="BL63" i="3"/>
  <c r="G65" i="3"/>
  <c r="BL65" i="3"/>
  <c r="BL66" i="3"/>
  <c r="BL67" i="3"/>
  <c r="AZ67" i="3" s="1"/>
  <c r="G69" i="3"/>
  <c r="G70" i="3"/>
  <c r="BL70" i="3"/>
  <c r="AZ70" i="3" s="1"/>
  <c r="BL71" i="3"/>
  <c r="BA78" i="3"/>
  <c r="BA80" i="3"/>
  <c r="AZ103" i="3"/>
  <c r="D31" i="71"/>
  <c r="C32" i="71"/>
  <c r="C52" i="71"/>
  <c r="D51" i="71"/>
  <c r="C55" i="71"/>
  <c r="D54" i="71"/>
  <c r="C60" i="71"/>
  <c r="D59" i="71"/>
  <c r="N67" i="71"/>
  <c r="B66" i="71"/>
  <c r="F66" i="71"/>
  <c r="Q66" i="71" s="1"/>
  <c r="Q67" i="71"/>
  <c r="BL126" i="3"/>
  <c r="G130" i="3"/>
  <c r="BA144" i="3"/>
  <c r="AZ144" i="3" s="1"/>
  <c r="G152" i="3"/>
  <c r="BA153" i="3"/>
  <c r="BL155" i="3"/>
  <c r="BA164" i="3"/>
  <c r="AZ164" i="3" s="1"/>
  <c r="BA166" i="3"/>
  <c r="AZ166" i="3" s="1"/>
  <c r="BA169" i="3"/>
  <c r="AZ169" i="3" s="1"/>
  <c r="BL171" i="3"/>
  <c r="G174" i="3"/>
  <c r="BA176" i="3"/>
  <c r="AZ176" i="3" s="1"/>
  <c r="BA178" i="3"/>
  <c r="G182" i="3"/>
  <c r="BA184" i="3"/>
  <c r="AZ184" i="3" s="1"/>
  <c r="BL187" i="3"/>
  <c r="AZ187" i="3" s="1"/>
  <c r="G188" i="3"/>
  <c r="BL189" i="3"/>
  <c r="AZ189" i="3" s="1"/>
  <c r="BL190" i="3"/>
  <c r="G191" i="3"/>
  <c r="BA192" i="3"/>
  <c r="BL197" i="3"/>
  <c r="G198" i="3"/>
  <c r="BL199" i="3"/>
  <c r="AZ199" i="3" s="1"/>
  <c r="BA200" i="3"/>
  <c r="AZ200" i="3" s="1"/>
  <c r="BA202" i="3"/>
  <c r="BL207" i="3"/>
  <c r="BL18" i="3"/>
  <c r="AZ18" i="3" s="1"/>
  <c r="G19" i="3"/>
  <c r="BL19" i="3"/>
  <c r="AZ19" i="3" s="1"/>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68" i="3"/>
  <c r="BA69" i="3"/>
  <c r="AZ69" i="3" s="1"/>
  <c r="BA72" i="3"/>
  <c r="BA73" i="3"/>
  <c r="AZ73" i="3" s="1"/>
  <c r="BA79" i="3"/>
  <c r="AZ79" i="3" s="1"/>
  <c r="G82" i="3"/>
  <c r="BA84" i="3"/>
  <c r="AZ84" i="3" s="1"/>
  <c r="BL88" i="3"/>
  <c r="AZ88" i="3" s="1"/>
  <c r="BL90" i="3"/>
  <c r="BA82" i="3"/>
  <c r="AZ82" i="3" s="1"/>
  <c r="BL83" i="3"/>
  <c r="G88" i="3"/>
  <c r="BA90" i="3"/>
  <c r="BA94" i="3"/>
  <c r="BL99" i="3"/>
  <c r="G101" i="3"/>
  <c r="BA101" i="3"/>
  <c r="C44" i="71"/>
  <c r="D43" i="71"/>
  <c r="BL73" i="3"/>
  <c r="BA74" i="3"/>
  <c r="AZ74" i="3" s="1"/>
  <c r="BA75" i="3"/>
  <c r="AZ75" i="3" s="1"/>
  <c r="G81" i="3"/>
  <c r="G85" i="3"/>
  <c r="BL85" i="3"/>
  <c r="BA86" i="3"/>
  <c r="AZ86" i="3" s="1"/>
  <c r="BA87" i="3"/>
  <c r="AZ87" i="3" s="1"/>
  <c r="BA91" i="3"/>
  <c r="G96" i="3"/>
  <c r="BL97" i="3"/>
  <c r="AZ97" i="3" s="1"/>
  <c r="BL101" i="3"/>
  <c r="BL102" i="3"/>
  <c r="G104" i="3"/>
  <c r="G105" i="3"/>
  <c r="BL106" i="3"/>
  <c r="AZ106" i="3" s="1"/>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109" i="3"/>
  <c r="BL112" i="3"/>
  <c r="AB21" i="33"/>
  <c r="S21" i="34"/>
  <c r="B88" i="43"/>
  <c r="BL94" i="3"/>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52" i="3"/>
  <c r="AZ467" i="3"/>
  <c r="AZ468" i="3"/>
  <c r="W35" i="39"/>
  <c r="F27" i="34"/>
  <c r="C21" i="39"/>
  <c r="U9" i="36"/>
  <c r="U14" i="37"/>
  <c r="H12" i="21"/>
  <c r="G526" i="3"/>
  <c r="AZ420" i="3"/>
  <c r="AZ434" i="3"/>
  <c r="AZ436" i="3"/>
  <c r="AZ438" i="3"/>
  <c r="G28" i="6"/>
  <c r="U26" i="21"/>
  <c r="W36" i="39"/>
  <c r="U23" i="40"/>
  <c r="AA39" i="37"/>
  <c r="AC16" i="36"/>
  <c r="AB12" i="33"/>
  <c r="C27" i="39"/>
  <c r="U40" i="40"/>
  <c r="AC9" i="40"/>
  <c r="W36" i="35"/>
  <c r="J12" i="21"/>
  <c r="B73" i="43"/>
  <c r="B76" i="43"/>
  <c r="F9" i="36"/>
  <c r="J40" i="40"/>
  <c r="G562" i="3"/>
  <c r="AZ426" i="3"/>
  <c r="AZ489" i="3"/>
  <c r="AZ212" i="3"/>
  <c r="AZ220" i="3"/>
  <c r="AZ231" i="3"/>
  <c r="AZ293" i="3"/>
  <c r="BA472" i="3"/>
  <c r="AZ472" i="3" s="1"/>
  <c r="G476"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G200" i="3"/>
  <c r="G207" i="3"/>
  <c r="BA23" i="3"/>
  <c r="AZ23" i="3" s="1"/>
  <c r="BA24" i="3"/>
  <c r="AZ24" i="3" s="1"/>
  <c r="BL26" i="3"/>
  <c r="AZ26" i="3" s="1"/>
  <c r="BL32" i="3"/>
  <c r="BA34" i="3"/>
  <c r="AZ34" i="3" s="1"/>
  <c r="BA35" i="3"/>
  <c r="AZ35" i="3" s="1"/>
  <c r="BL37" i="3"/>
  <c r="AZ37" i="3" s="1"/>
  <c r="BL42" i="3"/>
  <c r="BA44" i="3"/>
  <c r="AZ44" i="3" s="1"/>
  <c r="AZ46" i="3"/>
  <c r="AZ56" i="3"/>
  <c r="BA206" i="3"/>
  <c r="AZ206" i="3" s="1"/>
  <c r="BL22" i="3"/>
  <c r="AZ22" i="3" s="1"/>
  <c r="BL33" i="3"/>
  <c r="AZ33" i="3" s="1"/>
  <c r="BL43" i="3"/>
  <c r="AZ43" i="3" s="1"/>
  <c r="BL46" i="3"/>
  <c r="AZ54" i="3"/>
  <c r="AZ90" i="3"/>
  <c r="AZ92" i="3"/>
  <c r="BL78" i="3"/>
  <c r="BA83" i="3"/>
  <c r="G91" i="3"/>
  <c r="BL95" i="3"/>
  <c r="BL98" i="3"/>
  <c r="AZ98" i="3" s="1"/>
  <c r="BL109" i="3"/>
  <c r="AZ109" i="3" s="1"/>
  <c r="AB21" i="21"/>
  <c r="AZ78" i="3"/>
  <c r="AZ95" i="3"/>
  <c r="G77" i="3"/>
  <c r="BA81" i="3"/>
  <c r="AZ81" i="3" s="1"/>
  <c r="BA85" i="3"/>
  <c r="AZ85" i="3" s="1"/>
  <c r="BL89" i="3"/>
  <c r="AZ89" i="3" s="1"/>
  <c r="G94" i="3"/>
  <c r="G97" i="3"/>
  <c r="G100" i="3"/>
  <c r="BA107" i="3"/>
  <c r="AZ107" i="3" s="1"/>
  <c r="BA112" i="3"/>
  <c r="AC21" i="34"/>
  <c r="E27" i="71"/>
  <c r="E26" i="71" s="1"/>
  <c r="V28" i="71"/>
  <c r="BA76" i="3"/>
  <c r="AZ76" i="3" s="1"/>
  <c r="BL80" i="3"/>
  <c r="BL87" i="3"/>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L19" i="6"/>
  <c r="L27" i="6"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C27" i="67"/>
  <c r="B13" i="70"/>
  <c r="M7" i="67"/>
  <c r="J6" i="67" s="1"/>
  <c r="F50" i="67"/>
  <c r="F68" i="67"/>
  <c r="F64" i="67"/>
  <c r="C36" i="68"/>
  <c r="D9" i="69"/>
  <c r="D9" i="68"/>
  <c r="M24" i="67"/>
  <c r="F43" i="67"/>
  <c r="L47" i="67"/>
  <c r="D4" i="73"/>
  <c r="F36" i="15"/>
  <c r="F8" i="67"/>
  <c r="M28" i="67"/>
  <c r="D5" i="73"/>
  <c r="F38" i="67"/>
  <c r="M29" i="15"/>
  <c r="C16" i="82"/>
  <c r="F13" i="15"/>
  <c r="F26" i="15"/>
  <c r="F16" i="15"/>
  <c r="M22" i="67"/>
  <c r="L48" i="67"/>
  <c r="J15" i="15"/>
  <c r="M9" i="15"/>
  <c r="D3" i="73"/>
  <c r="F7" i="15"/>
  <c r="L48" i="15"/>
  <c r="C76" i="15"/>
  <c r="F37" i="67"/>
  <c r="M24" i="15"/>
  <c r="M28" i="15"/>
  <c r="F38" i="15"/>
  <c r="D7" i="73"/>
  <c r="F37" i="15"/>
  <c r="M6" i="15"/>
  <c r="L47" i="15"/>
  <c r="M23" i="15"/>
  <c r="L48" i="82"/>
  <c r="F42" i="15"/>
  <c r="M8" i="15"/>
  <c r="M22" i="15"/>
  <c r="F6" i="15"/>
  <c r="F9" i="15"/>
  <c r="F43" i="15"/>
  <c r="F8" i="15"/>
  <c r="F40" i="15"/>
  <c r="M26" i="15"/>
  <c r="W43" i="34" l="1"/>
  <c r="S43" i="34"/>
  <c r="U43" i="34"/>
  <c r="U9" i="34"/>
  <c r="AB9" i="34"/>
  <c r="S36" i="33"/>
  <c r="AA32" i="33"/>
  <c r="AA17" i="33"/>
  <c r="U15" i="33"/>
  <c r="AA15" i="33"/>
  <c r="S15" i="33"/>
  <c r="G7" i="1"/>
  <c r="J18" i="82"/>
  <c r="J19" i="82"/>
  <c r="O7" i="1"/>
  <c r="P7" i="1" s="1"/>
  <c r="G6" i="1"/>
  <c r="C44" i="43"/>
  <c r="L58" i="82"/>
  <c r="L57" i="82"/>
  <c r="J57" i="82"/>
  <c r="J55" i="82" s="1"/>
  <c r="J58" i="82" s="1"/>
  <c r="Q50" i="82" s="1"/>
  <c r="L60" i="82"/>
  <c r="L56" i="82"/>
  <c r="I54" i="82"/>
  <c r="J53" i="82"/>
  <c r="C42" i="81"/>
  <c r="C41" i="81"/>
  <c r="F11" i="82"/>
  <c r="M11" i="82"/>
  <c r="J10" i="82" s="1"/>
  <c r="J5" i="82" s="1"/>
  <c r="C37" i="81"/>
  <c r="T10" i="81"/>
  <c r="V10" i="81" s="1"/>
  <c r="T7" i="81"/>
  <c r="V7" i="81" s="1"/>
  <c r="T8" i="81"/>
  <c r="V8" i="81" s="1"/>
  <c r="T13" i="81"/>
  <c r="V13" i="81" s="1"/>
  <c r="T15" i="81"/>
  <c r="V15" i="81" s="1"/>
  <c r="T16" i="81"/>
  <c r="V16" i="81" s="1"/>
  <c r="T6" i="81"/>
  <c r="V6" i="81" s="1"/>
  <c r="T5" i="81"/>
  <c r="V5" i="81" s="1"/>
  <c r="C39" i="81"/>
  <c r="T14" i="81"/>
  <c r="V14" i="81" s="1"/>
  <c r="T3" i="81"/>
  <c r="V3" i="81" s="1"/>
  <c r="T4" i="81"/>
  <c r="V4" i="81" s="1"/>
  <c r="C38" i="81"/>
  <c r="T11" i="81"/>
  <c r="V11" i="81" s="1"/>
  <c r="T2" i="81"/>
  <c r="V2" i="81" s="1"/>
  <c r="C40" i="81"/>
  <c r="T12" i="81"/>
  <c r="V12" i="81" s="1"/>
  <c r="C33" i="81"/>
  <c r="T9" i="81"/>
  <c r="V9" i="81" s="1"/>
  <c r="M6" i="1"/>
  <c r="O6" i="1" s="1"/>
  <c r="H16" i="1"/>
  <c r="F26" i="43"/>
  <c r="N94" i="46"/>
  <c r="F48" i="9"/>
  <c r="O52" i="9" s="1"/>
  <c r="F30" i="11"/>
  <c r="M18" i="67"/>
  <c r="M18" i="15"/>
  <c r="F32" i="67"/>
  <c r="F60" i="67" s="1"/>
  <c r="F28" i="67"/>
  <c r="C28" i="67" s="1"/>
  <c r="F28" i="15"/>
  <c r="C28" i="15" s="1"/>
  <c r="F31" i="12"/>
  <c r="C31" i="12" s="1"/>
  <c r="F30" i="69"/>
  <c r="D68" i="9"/>
  <c r="F30" i="68"/>
  <c r="F52" i="9"/>
  <c r="F32" i="15"/>
  <c r="F60" i="15" s="1"/>
  <c r="F54" i="9"/>
  <c r="M7" i="15"/>
  <c r="J6" i="15" s="1"/>
  <c r="F50" i="15"/>
  <c r="F66" i="15"/>
  <c r="F64" i="15"/>
  <c r="Q16" i="1"/>
  <c r="F27" i="69" s="1"/>
  <c r="F45" i="69" s="1"/>
  <c r="E59" i="40"/>
  <c r="E28" i="6"/>
  <c r="K14" i="1" s="1"/>
  <c r="K16" i="1" s="1"/>
  <c r="N370" i="46"/>
  <c r="J26" i="43"/>
  <c r="F65" i="67"/>
  <c r="F71" i="67"/>
  <c r="F68" i="15"/>
  <c r="L59" i="15"/>
  <c r="Q61" i="15" s="1"/>
  <c r="L58" i="15"/>
  <c r="Q73" i="15" s="1"/>
  <c r="N59" i="15"/>
  <c r="M59" i="15"/>
  <c r="C27" i="15"/>
  <c r="F51" i="67"/>
  <c r="C49" i="67" s="1"/>
  <c r="F31" i="67"/>
  <c r="C6" i="67"/>
  <c r="C32" i="67" s="1"/>
  <c r="J57" i="15"/>
  <c r="J55" i="15" s="1"/>
  <c r="J58" i="15" s="1"/>
  <c r="Q50" i="15" s="1"/>
  <c r="I54" i="15"/>
  <c r="J53" i="15"/>
  <c r="L56" i="15" s="1"/>
  <c r="F66" i="67"/>
  <c r="F71" i="15"/>
  <c r="L58" i="67"/>
  <c r="Q60" i="67" s="1"/>
  <c r="M59" i="67"/>
  <c r="N59" i="67"/>
  <c r="L59" i="67"/>
  <c r="Q74" i="67" s="1"/>
  <c r="L56" i="67"/>
  <c r="I54" i="67"/>
  <c r="J53" i="67"/>
  <c r="F1" i="67" s="1"/>
  <c r="J57" i="67"/>
  <c r="J55" i="67" s="1"/>
  <c r="J58" i="67" s="1"/>
  <c r="Q50" i="67" s="1"/>
  <c r="F65" i="15"/>
  <c r="Q71" i="15"/>
  <c r="C6" i="15"/>
  <c r="C32" i="15" s="1"/>
  <c r="F31" i="15"/>
  <c r="F51" i="15"/>
  <c r="C49" i="15" s="1"/>
  <c r="AB12" i="34"/>
  <c r="U12" i="34"/>
  <c r="AC28" i="34"/>
  <c r="W28" i="34"/>
  <c r="O65" i="71"/>
  <c r="D66" i="71"/>
  <c r="O66" i="71"/>
  <c r="D20" i="53"/>
  <c r="B40" i="72" s="1"/>
  <c r="C40" i="71"/>
  <c r="D39" i="71"/>
  <c r="D44" i="71"/>
  <c r="T44" i="71"/>
  <c r="AZ94" i="3"/>
  <c r="AZ72" i="3"/>
  <c r="D60" i="71"/>
  <c r="T60" i="71"/>
  <c r="T52" i="71"/>
  <c r="D52" i="71"/>
  <c r="AZ251" i="3"/>
  <c r="AZ247" i="3"/>
  <c r="AZ229" i="3"/>
  <c r="AZ218" i="3"/>
  <c r="AZ274" i="3"/>
  <c r="AZ282" i="3"/>
  <c r="AZ210" i="3"/>
  <c r="AZ428" i="3"/>
  <c r="AC9" i="34"/>
  <c r="W9" i="34"/>
  <c r="AC23" i="36"/>
  <c r="W23" i="36"/>
  <c r="W27" i="37"/>
  <c r="AC27" i="37"/>
  <c r="AA28" i="34"/>
  <c r="S28" i="34"/>
  <c r="D83" i="71"/>
  <c r="C82" i="71"/>
  <c r="D82" i="71" s="1"/>
  <c r="AZ83" i="3"/>
  <c r="E26" i="43"/>
  <c r="H26" i="43"/>
  <c r="G30" i="6"/>
  <c r="G31" i="6" s="1"/>
  <c r="Q65" i="71"/>
  <c r="AZ99" i="3"/>
  <c r="AZ80" i="3"/>
  <c r="AZ114" i="3"/>
  <c r="AZ285" i="3"/>
  <c r="AZ474" i="3"/>
  <c r="V20" i="71"/>
  <c r="C70" i="71"/>
  <c r="D70" i="71" s="1"/>
  <c r="D71" i="71"/>
  <c r="AZ101" i="3"/>
  <c r="AZ28" i="3"/>
  <c r="N65" i="71"/>
  <c r="N66" i="71"/>
  <c r="T32" i="71"/>
  <c r="D32" i="71"/>
  <c r="AZ66" i="3"/>
  <c r="AZ121" i="3"/>
  <c r="AZ302" i="3"/>
  <c r="AZ263" i="3"/>
  <c r="AZ241" i="3"/>
  <c r="AZ422" i="3"/>
  <c r="AZ398" i="3"/>
  <c r="AZ453" i="3"/>
  <c r="AZ550" i="3"/>
  <c r="AC38" i="40"/>
  <c r="W38" i="40"/>
  <c r="AB23" i="36"/>
  <c r="U23" i="36"/>
  <c r="D121" i="9"/>
  <c r="D7" i="52" s="1"/>
  <c r="D6" i="52"/>
  <c r="AC12" i="33"/>
  <c r="W12" i="33"/>
  <c r="AA27" i="37"/>
  <c r="S27" i="37"/>
  <c r="AZ354" i="3"/>
  <c r="AZ112" i="3"/>
  <c r="G5" i="3"/>
  <c r="B3" i="3" s="1"/>
  <c r="E482" i="3" s="1"/>
  <c r="AZ42" i="3"/>
  <c r="AZ32" i="3"/>
  <c r="AZ295" i="3"/>
  <c r="AZ317" i="3"/>
  <c r="T28" i="71"/>
  <c r="D28" i="71"/>
  <c r="U28" i="71" s="1"/>
  <c r="C27" i="71"/>
  <c r="D79" i="71"/>
  <c r="C78" i="71"/>
  <c r="D78" i="71" s="1"/>
  <c r="C36" i="71"/>
  <c r="D35" i="71"/>
  <c r="AZ91" i="3"/>
  <c r="AZ178" i="3"/>
  <c r="C56" i="71"/>
  <c r="D55" i="71"/>
  <c r="AZ25" i="3"/>
  <c r="AZ63" i="3"/>
  <c r="AZ57" i="3"/>
  <c r="AZ197" i="3"/>
  <c r="AZ126" i="3"/>
  <c r="AZ249" i="3"/>
  <c r="AZ367" i="3"/>
  <c r="AZ332" i="3"/>
  <c r="AZ271" i="3"/>
  <c r="AZ284" i="3"/>
  <c r="AZ277" i="3"/>
  <c r="AZ256" i="3"/>
  <c r="AZ397" i="3"/>
  <c r="AZ401" i="3"/>
  <c r="AZ421" i="3"/>
  <c r="AZ414" i="3"/>
  <c r="AA44" i="39"/>
  <c r="S44" i="39"/>
  <c r="G16" i="1"/>
  <c r="F10" i="39" s="1"/>
  <c r="S10" i="39" s="1"/>
  <c r="J7" i="37"/>
  <c r="K1" i="73"/>
  <c r="E385"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P29" i="43"/>
  <c r="P27" i="43"/>
  <c r="B70" i="39" s="1"/>
  <c r="M11" i="67"/>
  <c r="J10" i="67" s="1"/>
  <c r="J5" i="67" s="1"/>
  <c r="F11" i="15"/>
  <c r="M11" i="15"/>
  <c r="J10" i="15" s="1"/>
  <c r="F11" i="67"/>
  <c r="J18" i="67"/>
  <c r="AE11" i="1"/>
  <c r="AE9" i="1"/>
  <c r="AE8" i="1"/>
  <c r="AE12" i="1"/>
  <c r="AE10" i="1"/>
  <c r="G1" i="73"/>
  <c r="F41" i="67"/>
  <c r="C16" i="67"/>
  <c r="C16" i="15"/>
  <c r="E429" i="3" l="1"/>
  <c r="G42" i="81"/>
  <c r="I42" i="81" s="1"/>
  <c r="E42" i="81"/>
  <c r="Q66" i="82"/>
  <c r="Q57" i="82"/>
  <c r="F1" i="82"/>
  <c r="Q52" i="82"/>
  <c r="G41" i="81"/>
  <c r="I41" i="81" s="1"/>
  <c r="E41" i="81"/>
  <c r="Q73" i="82"/>
  <c r="Q60" i="82"/>
  <c r="J24" i="82"/>
  <c r="C53" i="82"/>
  <c r="C48" i="82" s="1"/>
  <c r="E33" i="81"/>
  <c r="C34" i="81"/>
  <c r="E34" i="81" s="1"/>
  <c r="G38" i="81"/>
  <c r="I38" i="81" s="1"/>
  <c r="E38" i="81"/>
  <c r="G39" i="81"/>
  <c r="I39" i="81" s="1"/>
  <c r="E39" i="81"/>
  <c r="G40" i="81"/>
  <c r="I40" i="81" s="1"/>
  <c r="E40" i="81"/>
  <c r="E37" i="81"/>
  <c r="G37" i="81"/>
  <c r="I37" i="81" s="1"/>
  <c r="AA10" i="39"/>
  <c r="H10" i="39"/>
  <c r="U10" i="39" s="1"/>
  <c r="J10" i="40"/>
  <c r="AC10" i="40" s="1"/>
  <c r="F27" i="11"/>
  <c r="C29" i="11" s="1"/>
  <c r="D27" i="11" s="1"/>
  <c r="H10" i="40"/>
  <c r="AB10" i="40" s="1"/>
  <c r="J10" i="39"/>
  <c r="W10" i="39" s="1"/>
  <c r="E465" i="3"/>
  <c r="E585" i="3"/>
  <c r="E369" i="3"/>
  <c r="E387" i="3"/>
  <c r="E495" i="3"/>
  <c r="E562" i="3"/>
  <c r="S6" i="3"/>
  <c r="E439" i="3"/>
  <c r="E109" i="3"/>
  <c r="E293" i="3"/>
  <c r="E462" i="3"/>
  <c r="F10" i="40"/>
  <c r="S10" i="40" s="1"/>
  <c r="M14" i="1"/>
  <c r="M16" i="1" s="1"/>
  <c r="E327" i="3"/>
  <c r="E441" i="3"/>
  <c r="E366" i="3"/>
  <c r="E255" i="3"/>
  <c r="D26" i="43"/>
  <c r="C25" i="43" s="1"/>
  <c r="C33" i="43" s="1"/>
  <c r="E139" i="3"/>
  <c r="E228" i="3"/>
  <c r="E118" i="3"/>
  <c r="E487" i="3"/>
  <c r="E275" i="3"/>
  <c r="E535" i="3"/>
  <c r="E247" i="3"/>
  <c r="E28" i="3"/>
  <c r="E315" i="3"/>
  <c r="E503" i="3"/>
  <c r="E337" i="3"/>
  <c r="E27" i="3"/>
  <c r="E318" i="3"/>
  <c r="E45" i="3"/>
  <c r="E117" i="3"/>
  <c r="E121" i="3"/>
  <c r="E177" i="3"/>
  <c r="E319" i="3"/>
  <c r="E348" i="3"/>
  <c r="AY6" i="3"/>
  <c r="AY188" i="3" s="1"/>
  <c r="E296" i="3"/>
  <c r="E445" i="3"/>
  <c r="E431" i="3"/>
  <c r="E489" i="3"/>
  <c r="E214" i="3"/>
  <c r="AK6" i="3"/>
  <c r="E361" i="3"/>
  <c r="E410" i="3"/>
  <c r="E447" i="3"/>
  <c r="E351" i="3"/>
  <c r="E99" i="3"/>
  <c r="E294" i="3"/>
  <c r="E448" i="3"/>
  <c r="E280" i="3"/>
  <c r="E548" i="3"/>
  <c r="E507" i="3"/>
  <c r="F27" i="68"/>
  <c r="C47" i="68" s="1"/>
  <c r="D45" i="68" s="1"/>
  <c r="F28" i="12"/>
  <c r="C29" i="12" s="1"/>
  <c r="D28" i="12" s="1"/>
  <c r="E246" i="3"/>
  <c r="E335" i="3"/>
  <c r="E217" i="3"/>
  <c r="Z6" i="3"/>
  <c r="E587" i="3"/>
  <c r="E124" i="3"/>
  <c r="E380" i="3"/>
  <c r="E175" i="3"/>
  <c r="E515" i="3"/>
  <c r="E571" i="3"/>
  <c r="E336" i="3"/>
  <c r="E229" i="3"/>
  <c r="E580" i="3"/>
  <c r="E565" i="3"/>
  <c r="E474" i="3"/>
  <c r="E86" i="3"/>
  <c r="C29" i="69"/>
  <c r="D27" i="69" s="1"/>
  <c r="C47" i="69"/>
  <c r="D45" i="69" s="1"/>
  <c r="Q60" i="15"/>
  <c r="F48" i="68"/>
  <c r="C30" i="68"/>
  <c r="C48" i="68"/>
  <c r="Q73" i="67"/>
  <c r="C48" i="11"/>
  <c r="C30" i="11"/>
  <c r="J18" i="15"/>
  <c r="F48" i="69"/>
  <c r="C48" i="69"/>
  <c r="C30" i="69"/>
  <c r="Q52" i="15"/>
  <c r="F1" i="15"/>
  <c r="E550" i="3"/>
  <c r="E320" i="3"/>
  <c r="E396" i="3"/>
  <c r="E125" i="3"/>
  <c r="E88" i="3"/>
  <c r="AG6" i="3"/>
  <c r="E394" i="3"/>
  <c r="AE6" i="3"/>
  <c r="E120" i="3"/>
  <c r="E353" i="3"/>
  <c r="E304" i="3"/>
  <c r="E97" i="3"/>
  <c r="E53" i="3"/>
  <c r="E145" i="3"/>
  <c r="E224" i="3"/>
  <c r="E584" i="3"/>
  <c r="E165" i="3"/>
  <c r="E116" i="3"/>
  <c r="E510" i="3"/>
  <c r="E258" i="3"/>
  <c r="E68" i="3"/>
  <c r="E308" i="3"/>
  <c r="E190" i="3"/>
  <c r="E419" i="3"/>
  <c r="E36" i="3"/>
  <c r="E222" i="3"/>
  <c r="E149" i="3"/>
  <c r="E163" i="3"/>
  <c r="E127" i="3"/>
  <c r="E438" i="3"/>
  <c r="E14" i="3"/>
  <c r="E367" i="3"/>
  <c r="E317" i="3"/>
  <c r="E501" i="3"/>
  <c r="E359" i="3"/>
  <c r="E523" i="3"/>
  <c r="E298" i="3"/>
  <c r="E17" i="3"/>
  <c r="E303"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59" i="3"/>
  <c r="E494" i="3"/>
  <c r="T6" i="3"/>
  <c r="E80" i="3"/>
  <c r="E226" i="3"/>
  <c r="E20" i="3"/>
  <c r="E110" i="3"/>
  <c r="E266" i="3"/>
  <c r="E195" i="3"/>
  <c r="E157" i="3"/>
  <c r="E471" i="3"/>
  <c r="E207" i="3"/>
  <c r="E71" i="3"/>
  <c r="AM6" i="3"/>
  <c r="E426" i="3"/>
  <c r="E285" i="3"/>
  <c r="E506" i="3"/>
  <c r="E237" i="3"/>
  <c r="E302" i="3"/>
  <c r="E402"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J5" i="15"/>
  <c r="J24" i="15" s="1"/>
  <c r="E131"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E252" i="3"/>
  <c r="E203" i="3"/>
  <c r="E481" i="3"/>
  <c r="E434" i="3"/>
  <c r="E159" i="3"/>
  <c r="E321" i="3"/>
  <c r="O6" i="3"/>
  <c r="E291" i="3"/>
  <c r="E357" i="3"/>
  <c r="E307" i="3"/>
  <c r="E323" i="3"/>
  <c r="E194" i="3"/>
  <c r="E41" i="3"/>
  <c r="E84" i="3"/>
  <c r="E378" i="3"/>
  <c r="E248" i="3"/>
  <c r="E94" i="3"/>
  <c r="E219" i="3"/>
  <c r="E200" i="3"/>
  <c r="E191" i="3"/>
  <c r="E69" i="3"/>
  <c r="E514" i="3"/>
  <c r="E322" i="3"/>
  <c r="E211" i="3"/>
  <c r="E400" i="3"/>
  <c r="E227" i="3"/>
  <c r="E454" i="3"/>
  <c r="K6" i="3"/>
  <c r="E77" i="3"/>
  <c r="E134" i="3"/>
  <c r="E185" i="3"/>
  <c r="E533" i="3"/>
  <c r="E305" i="3"/>
  <c r="E210" i="3"/>
  <c r="E477" i="3"/>
  <c r="E549" i="3"/>
  <c r="E72" i="3"/>
  <c r="E573" i="3"/>
  <c r="E453" i="3"/>
  <c r="E245" i="3"/>
  <c r="E114" i="3"/>
  <c r="E559" i="3"/>
  <c r="N6" i="3"/>
  <c r="E316" i="3"/>
  <c r="E558" i="3"/>
  <c r="E236" i="3"/>
  <c r="E73" i="3"/>
  <c r="E437" i="3"/>
  <c r="E238" i="3"/>
  <c r="E221" i="3"/>
  <c r="E338" i="3"/>
  <c r="E328" i="3"/>
  <c r="E92" i="3"/>
  <c r="E54" i="3"/>
  <c r="E87" i="3"/>
  <c r="E446" i="3"/>
  <c r="E540" i="3"/>
  <c r="E556" i="3"/>
  <c r="E160" i="3"/>
  <c r="E126" i="3"/>
  <c r="E547" i="3"/>
  <c r="U6" i="3"/>
  <c r="E93" i="3"/>
  <c r="E168" i="3"/>
  <c r="W6" i="3"/>
  <c r="E313"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479" i="3"/>
  <c r="E499" i="3"/>
  <c r="E3" i="6"/>
  <c r="E244" i="3"/>
  <c r="E58" i="3"/>
  <c r="E141" i="3"/>
  <c r="E62" i="3"/>
  <c r="E112" i="3"/>
  <c r="E234" i="3"/>
  <c r="E473" i="3"/>
  <c r="E276" i="3"/>
  <c r="E401" i="3"/>
  <c r="E422" i="3"/>
  <c r="E105" i="3"/>
  <c r="E158" i="3"/>
  <c r="E220" i="3"/>
  <c r="E115" i="3"/>
  <c r="E497" i="3"/>
  <c r="E405" i="3"/>
  <c r="E22" i="3"/>
  <c r="E34" i="3"/>
  <c r="E18" i="3"/>
  <c r="E198" i="3"/>
  <c r="E63" i="3"/>
  <c r="E67" i="3"/>
  <c r="E267" i="3"/>
  <c r="E409" i="3"/>
  <c r="E241" i="3"/>
  <c r="I3" i="6"/>
  <c r="E539" i="3"/>
  <c r="E212" i="3"/>
  <c r="E466" i="3"/>
  <c r="E5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199" i="3"/>
  <c r="E541" i="3"/>
  <c r="E435"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403" i="3"/>
  <c r="E411" i="3"/>
  <c r="E196" i="3"/>
  <c r="E208" i="3"/>
  <c r="E537" i="3"/>
  <c r="E529" i="3"/>
  <c r="E136" i="3"/>
  <c r="E187" i="3"/>
  <c r="AD6" i="3"/>
  <c r="E374" i="3"/>
  <c r="E297" i="3"/>
  <c r="E48" i="3"/>
  <c r="E500" i="3"/>
  <c r="E24" i="3"/>
  <c r="E460" i="3"/>
  <c r="E365" i="3"/>
  <c r="E340" i="3"/>
  <c r="E392" i="3"/>
  <c r="E38" i="3"/>
  <c r="L6" i="3"/>
  <c r="E108" i="3"/>
  <c r="AH6" i="3"/>
  <c r="E543" i="3"/>
  <c r="E16" i="3"/>
  <c r="E49" i="3"/>
  <c r="E428" i="3"/>
  <c r="E420" i="3"/>
  <c r="E408" i="3"/>
  <c r="E173" i="3"/>
  <c r="E102" i="3"/>
  <c r="E235" i="3"/>
  <c r="AL6" i="3"/>
  <c r="E309" i="3"/>
  <c r="E233" i="3"/>
  <c r="E310" i="3"/>
  <c r="E64" i="3"/>
  <c r="E389" i="3"/>
  <c r="E56" i="3"/>
  <c r="R6" i="3"/>
  <c r="Q74" i="15"/>
  <c r="Q52" i="67"/>
  <c r="Q61" i="67"/>
  <c r="U7" i="36"/>
  <c r="E95" i="3"/>
  <c r="E417" i="3"/>
  <c r="E554" i="3"/>
  <c r="E449" i="3"/>
  <c r="E442" i="3"/>
  <c r="E575" i="3"/>
  <c r="E536" i="3"/>
  <c r="C26" i="71"/>
  <c r="D26" i="71" s="1"/>
  <c r="D27" i="71"/>
  <c r="T40" i="71"/>
  <c r="D40" i="71"/>
  <c r="E37" i="3"/>
  <c r="E491" i="3"/>
  <c r="AP6" i="3"/>
  <c r="E430" i="3"/>
  <c r="E502" i="3"/>
  <c r="E286" i="3"/>
  <c r="D56" i="71"/>
  <c r="T56" i="71"/>
  <c r="D36" i="71"/>
  <c r="T36" i="71"/>
  <c r="R36" i="36"/>
  <c r="R37" i="36" s="1"/>
  <c r="B40" i="1"/>
  <c r="F24" i="82"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AY124" i="3"/>
  <c r="AY58" i="3"/>
  <c r="AY335" i="3"/>
  <c r="AY123" i="3"/>
  <c r="AY460" i="3"/>
  <c r="AY260" i="3"/>
  <c r="AY452" i="3"/>
  <c r="BE6" i="3"/>
  <c r="AY44" i="3"/>
  <c r="AY149" i="3"/>
  <c r="AY262" i="3"/>
  <c r="AY360" i="3"/>
  <c r="AY197" i="3"/>
  <c r="AY388" i="3"/>
  <c r="AY475" i="3"/>
  <c r="AY581" i="3"/>
  <c r="BG6" i="3"/>
  <c r="AY387" i="3"/>
  <c r="AY311" i="3"/>
  <c r="AY53" i="3"/>
  <c r="AY302" i="3"/>
  <c r="AY57" i="3"/>
  <c r="AY340" i="3"/>
  <c r="BN6" i="3"/>
  <c r="AY81" i="3"/>
  <c r="AY455" i="3"/>
  <c r="AY478" i="3"/>
  <c r="AY52" i="3"/>
  <c r="AY270" i="3"/>
  <c r="AY29" i="3"/>
  <c r="AY483" i="3"/>
  <c r="AY520" i="3"/>
  <c r="AY101" i="3"/>
  <c r="AY158" i="3"/>
  <c r="AY266" i="3"/>
  <c r="AY329" i="3"/>
  <c r="AY487" i="3"/>
  <c r="AY458" i="3"/>
  <c r="AY407" i="3"/>
  <c r="D3" i="6"/>
  <c r="AY542" i="3"/>
  <c r="AY99" i="3"/>
  <c r="AY35" i="3"/>
  <c r="AY135" i="3"/>
  <c r="AY232" i="3"/>
  <c r="AY331" i="3"/>
  <c r="AY456" i="3"/>
  <c r="AY560" i="3"/>
  <c r="AY86" i="3"/>
  <c r="AY184" i="3"/>
  <c r="AY277" i="3"/>
  <c r="AY213" i="3"/>
  <c r="AY338" i="3"/>
  <c r="AY429" i="3"/>
  <c r="AY504" i="3"/>
  <c r="AY142" i="3"/>
  <c r="AY352" i="3"/>
  <c r="AY461" i="3"/>
  <c r="AY17" i="3"/>
  <c r="AY563" i="3"/>
  <c r="AY140" i="3"/>
  <c r="AY383" i="3"/>
  <c r="AY13" i="3"/>
  <c r="AY22" i="3"/>
  <c r="AY272" i="3"/>
  <c r="AY432" i="3"/>
  <c r="AY64" i="3"/>
  <c r="AY267" i="3"/>
  <c r="AY320" i="3"/>
  <c r="AY402" i="3"/>
  <c r="AY515" i="3"/>
  <c r="AY62" i="3"/>
  <c r="AY265" i="3"/>
  <c r="AY485" i="3"/>
  <c r="AY107" i="3"/>
  <c r="AY143" i="3"/>
  <c r="AY351" i="3"/>
  <c r="AY566" i="3"/>
  <c r="C39" i="43"/>
  <c r="C42" i="43"/>
  <c r="E42" i="43" s="1"/>
  <c r="C38" i="43"/>
  <c r="AA10" i="40"/>
  <c r="U10" i="40"/>
  <c r="U7" i="37"/>
  <c r="G67" i="39"/>
  <c r="F69" i="39"/>
  <c r="F58" i="21"/>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AE7" i="1"/>
  <c r="AE6" i="1"/>
  <c r="G54" i="34" l="1"/>
  <c r="H54" i="34" s="1"/>
  <c r="R50" i="34"/>
  <c r="D3" i="21"/>
  <c r="A9" i="80"/>
  <c r="F45" i="68"/>
  <c r="C66" i="82"/>
  <c r="C60" i="82"/>
  <c r="C24" i="82"/>
  <c r="AB10" i="39"/>
  <c r="AC10" i="39"/>
  <c r="C31" i="81"/>
  <c r="C30" i="81"/>
  <c r="B2" i="81" s="1"/>
  <c r="B3" i="81" s="1"/>
  <c r="C47" i="11"/>
  <c r="D45" i="11" s="1"/>
  <c r="W10" i="40"/>
  <c r="L36" i="43"/>
  <c r="L37" i="43" s="1"/>
  <c r="Q37" i="43" s="1"/>
  <c r="L36" i="81"/>
  <c r="AG6" i="1"/>
  <c r="L18" i="9"/>
  <c r="D14" i="12"/>
  <c r="D17" i="12" s="1"/>
  <c r="C17" i="12" s="1"/>
  <c r="C29" i="68"/>
  <c r="D27" i="68" s="1"/>
  <c r="AY301" i="3"/>
  <c r="AY113" i="3"/>
  <c r="AY216" i="3"/>
  <c r="AY218" i="3"/>
  <c r="AY224" i="3"/>
  <c r="AY466" i="3"/>
  <c r="AY578" i="3"/>
  <c r="AY312" i="3"/>
  <c r="AY519" i="3"/>
  <c r="AY286" i="3"/>
  <c r="AY112" i="3"/>
  <c r="AY356" i="3"/>
  <c r="AY117" i="3"/>
  <c r="AY89" i="3"/>
  <c r="AY237" i="3"/>
  <c r="AY411" i="3"/>
  <c r="AY242" i="3"/>
  <c r="AY202" i="3"/>
  <c r="AY357" i="3"/>
  <c r="AY247" i="3"/>
  <c r="AY165" i="3"/>
  <c r="AY533" i="3"/>
  <c r="AY463" i="3"/>
  <c r="AY245" i="3"/>
  <c r="AY473" i="3"/>
  <c r="AY183" i="3"/>
  <c r="AY366" i="3"/>
  <c r="AY276" i="3"/>
  <c r="AY155" i="3"/>
  <c r="AY386" i="3"/>
  <c r="AY547" i="3"/>
  <c r="AY522" i="3"/>
  <c r="AY337" i="3"/>
  <c r="AY322" i="3"/>
  <c r="AY39" i="3"/>
  <c r="AY203" i="3"/>
  <c r="AY492" i="3"/>
  <c r="AY511" i="3"/>
  <c r="AY323" i="3"/>
  <c r="AY27" i="3"/>
  <c r="AY558" i="3"/>
  <c r="AY167" i="3"/>
  <c r="AY509" i="3"/>
  <c r="AY439" i="3"/>
  <c r="AY453" i="3"/>
  <c r="AY251" i="3"/>
  <c r="AY189" i="3"/>
  <c r="AY324" i="3"/>
  <c r="AY72" i="3"/>
  <c r="AY84" i="3"/>
  <c r="AY326" i="3"/>
  <c r="AY516" i="3"/>
  <c r="AY93" i="3"/>
  <c r="AY355" i="3"/>
  <c r="AY491" i="3"/>
  <c r="AY60" i="3"/>
  <c r="AY476" i="3"/>
  <c r="AY280" i="3"/>
  <c r="AY38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89" i="3"/>
  <c r="AY310" i="3"/>
  <c r="AY97" i="3"/>
  <c r="AY206" i="3"/>
  <c r="AY125" i="3"/>
  <c r="AY230" i="3"/>
  <c r="BJ6" i="3"/>
  <c r="AY145" i="3"/>
  <c r="AY274" i="3"/>
  <c r="AY316" i="3"/>
  <c r="AY457" i="3"/>
  <c r="AY398" i="3"/>
  <c r="AY546" i="3"/>
  <c r="AY501" i="3"/>
  <c r="AY75" i="3"/>
  <c r="AY444" i="3"/>
  <c r="AY404" i="3"/>
  <c r="AY555" i="3"/>
  <c r="AY36" i="3"/>
  <c r="AY254" i="3"/>
  <c r="BS6" i="3"/>
  <c r="AY150" i="3"/>
  <c r="AY467" i="3"/>
  <c r="AY525" i="3"/>
  <c r="AY559" i="3"/>
  <c r="AY191" i="3"/>
  <c r="AY220" i="3"/>
  <c r="AY497" i="3"/>
  <c r="AY343" i="3"/>
  <c r="AY100" i="3"/>
  <c r="AY193" i="3"/>
  <c r="AY291" i="3"/>
  <c r="AY227" i="3"/>
  <c r="AY121" i="3"/>
  <c r="AY341" i="3"/>
  <c r="AY438" i="3"/>
  <c r="AY572" i="3"/>
  <c r="AY582" i="3"/>
  <c r="AY65" i="3"/>
  <c r="AY194" i="3"/>
  <c r="AY137" i="3"/>
  <c r="AY380" i="3"/>
  <c r="AY51" i="3"/>
  <c r="AY176" i="3"/>
  <c r="AY59" i="3"/>
  <c r="AY281" i="3"/>
  <c r="AY297" i="3"/>
  <c r="AY371" i="3"/>
  <c r="AY67" i="3"/>
  <c r="AY284" i="3"/>
  <c r="AY318" i="3"/>
  <c r="AY441" i="3"/>
  <c r="AY300" i="3"/>
  <c r="AY395" i="3"/>
  <c r="AY401" i="3"/>
  <c r="AY569" i="3"/>
  <c r="AY76" i="3"/>
  <c r="AY154" i="3"/>
  <c r="AY263" i="3"/>
  <c r="AY374" i="3"/>
  <c r="AY56" i="3"/>
  <c r="AY353" i="3"/>
  <c r="AY585" i="3"/>
  <c r="AY244" i="3"/>
  <c r="AY126" i="3"/>
  <c r="AY393" i="3"/>
  <c r="AY577" i="3"/>
  <c r="AY557" i="3"/>
  <c r="AY88" i="3"/>
  <c r="AY543" i="3"/>
  <c r="AY400" i="3"/>
  <c r="AY164" i="3"/>
  <c r="AY315" i="3"/>
  <c r="AY493" i="3"/>
  <c r="AY434" i="3"/>
  <c r="AY567" i="3"/>
  <c r="AY288" i="3"/>
  <c r="AY440" i="3"/>
  <c r="AY530" i="3"/>
  <c r="AY399" i="3"/>
  <c r="AY205" i="3"/>
  <c r="AY448" i="3"/>
  <c r="AY128" i="3"/>
  <c r="AY91" i="3"/>
  <c r="AY362" i="3"/>
  <c r="AY249" i="3"/>
  <c r="AY46" i="3"/>
  <c r="AY14" i="3"/>
  <c r="AY364" i="3"/>
  <c r="AY536" i="3"/>
  <c r="AY350" i="3"/>
  <c r="AY495" i="3"/>
  <c r="AY443" i="3"/>
  <c r="AY240" i="3"/>
  <c r="AY54" i="3"/>
  <c r="AY500" i="3"/>
  <c r="AY359" i="3"/>
  <c r="AY172" i="3"/>
  <c r="BP6" i="3"/>
  <c r="AY538" i="3"/>
  <c r="AY361" i="3"/>
  <c r="AY153" i="3"/>
  <c r="AY15" i="3"/>
  <c r="AY339" i="3"/>
  <c r="AY136" i="3"/>
  <c r="AY576" i="3"/>
  <c r="AY482" i="3"/>
  <c r="AY233" i="3"/>
  <c r="AY47" i="3"/>
  <c r="AY537" i="3"/>
  <c r="AY431" i="3"/>
  <c r="AY336" i="3"/>
  <c r="AY235" i="3"/>
  <c r="AY32" i="3"/>
  <c r="BD6" i="3"/>
  <c r="AY459" i="3"/>
  <c r="AY354" i="3"/>
  <c r="AY241" i="3"/>
  <c r="AY159" i="3"/>
  <c r="AY38" i="3"/>
  <c r="BL6" i="3"/>
  <c r="AY405" i="3"/>
  <c r="AY469" i="3"/>
  <c r="AY378" i="3"/>
  <c r="AY156" i="3"/>
  <c r="AY63" i="3"/>
  <c r="AY531" i="3"/>
  <c r="AY565" i="3"/>
  <c r="AY506" i="3"/>
  <c r="AY410" i="3"/>
  <c r="AY468" i="3"/>
  <c r="AY344" i="3"/>
  <c r="AY369" i="3"/>
  <c r="AY287" i="3"/>
  <c r="AY48" i="3"/>
  <c r="AY494" i="3"/>
  <c r="AY419" i="3"/>
  <c r="AY215" i="3"/>
  <c r="AY368" i="3"/>
  <c r="AY173" i="3"/>
  <c r="AY539" i="3"/>
  <c r="AY229" i="3"/>
  <c r="AY31" i="3"/>
  <c r="AY556" i="3"/>
  <c r="AY422" i="3"/>
  <c r="AY279" i="3"/>
  <c r="AY178" i="3"/>
  <c r="AY562" i="3"/>
  <c r="AY199" i="3"/>
  <c r="AY171" i="3"/>
  <c r="AY534" i="3"/>
  <c r="AY430" i="3"/>
  <c r="AY317" i="3"/>
  <c r="AY295" i="3"/>
  <c r="AY73" i="3"/>
  <c r="AY392" i="3"/>
  <c r="AY283" i="3"/>
  <c r="AY185" i="3"/>
  <c r="AY77" i="3"/>
  <c r="AY549" i="3"/>
  <c r="AY327" i="3"/>
  <c r="AY106" i="3"/>
  <c r="AY209" i="3"/>
  <c r="AY160" i="3"/>
  <c r="AY236" i="3"/>
  <c r="AY23" i="3"/>
  <c r="BT6" i="3"/>
  <c r="AY477" i="3"/>
  <c r="AY293" i="3"/>
  <c r="AY71" i="3"/>
  <c r="AY408" i="3"/>
  <c r="AY248" i="3"/>
  <c r="AY19" i="3"/>
  <c r="AY545" i="3"/>
  <c r="AY415" i="3"/>
  <c r="AY479" i="3"/>
  <c r="AY396" i="3"/>
  <c r="AY21" i="3"/>
  <c r="AY413" i="3"/>
  <c r="AY375" i="3"/>
  <c r="AY195" i="3"/>
  <c r="AY528" i="3"/>
  <c r="AY330" i="3"/>
  <c r="AY120" i="3"/>
  <c r="AY110" i="3"/>
  <c r="AY575" i="3"/>
  <c r="AY450" i="3"/>
  <c r="AY321" i="3"/>
  <c r="AY298" i="3"/>
  <c r="AY586" i="3"/>
  <c r="AY550" i="3"/>
  <c r="AY490" i="3"/>
  <c r="AY391" i="3"/>
  <c r="AY273" i="3"/>
  <c r="AY148" i="3"/>
  <c r="AY55" i="3"/>
  <c r="AY512" i="3"/>
  <c r="AY437" i="3"/>
  <c r="AY346" i="3"/>
  <c r="AY221" i="3"/>
  <c r="AY285" i="3"/>
  <c r="AY192" i="3"/>
  <c r="AY94" i="3"/>
  <c r="AY570" i="3"/>
  <c r="AY524" i="3"/>
  <c r="AY579" i="3"/>
  <c r="AY426" i="3"/>
  <c r="AY471" i="3"/>
  <c r="AY313" i="3"/>
  <c r="AY234" i="3"/>
  <c r="AY129" i="3"/>
  <c r="AY80" i="3"/>
  <c r="AY584" i="3"/>
  <c r="AY406" i="3"/>
  <c r="AY275" i="3"/>
  <c r="AY373" i="3"/>
  <c r="AY162" i="3"/>
  <c r="AY573" i="3"/>
  <c r="AY116" i="3"/>
  <c r="AY132" i="3"/>
  <c r="AY508" i="3"/>
  <c r="AY454" i="3"/>
  <c r="AY130" i="3"/>
  <c r="AY222" i="3"/>
  <c r="AY182" i="3"/>
  <c r="AY535" i="3"/>
  <c r="AY425" i="3"/>
  <c r="AY18" i="3"/>
  <c r="AY561" i="3"/>
  <c r="AY462" i="3"/>
  <c r="AY333" i="3"/>
  <c r="AY114" i="3"/>
  <c r="AY109" i="3"/>
  <c r="AY219" i="3"/>
  <c r="AY299" i="3"/>
  <c r="AY190" i="3"/>
  <c r="AY92" i="3"/>
  <c r="AY513" i="3"/>
  <c r="AY372" i="3"/>
  <c r="AY529" i="3"/>
  <c r="AY252" i="3"/>
  <c r="AY50" i="3"/>
  <c r="AY268" i="3"/>
  <c r="AY42" i="3"/>
  <c r="AY66" i="3"/>
  <c r="D3" i="37"/>
  <c r="D19" i="11"/>
  <c r="C19" i="11" s="1"/>
  <c r="D37" i="11"/>
  <c r="D3" i="34"/>
  <c r="E6" i="6"/>
  <c r="D10" i="68" s="1"/>
  <c r="AC6" i="3"/>
  <c r="D3" i="33"/>
  <c r="C17" i="4"/>
  <c r="B4" i="52" s="1"/>
  <c r="B43" i="72" s="1"/>
  <c r="M18" i="9"/>
  <c r="B118" i="9" s="1"/>
  <c r="B1" i="74" s="1"/>
  <c r="D116" i="43"/>
  <c r="H6" i="3"/>
  <c r="F25" i="12"/>
  <c r="C26" i="12" s="1"/>
  <c r="D25" i="12" s="1"/>
  <c r="F22" i="68"/>
  <c r="F41" i="68" s="1"/>
  <c r="F22" i="11"/>
  <c r="C23" i="11" s="1"/>
  <c r="F24" i="67"/>
  <c r="C24" i="67" s="1"/>
  <c r="F24" i="15"/>
  <c r="C24"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20" i="12"/>
  <c r="C20" i="12" s="1"/>
  <c r="D25" i="6"/>
  <c r="D15" i="6"/>
  <c r="D22" i="6"/>
  <c r="D21" i="6"/>
  <c r="D24" i="6"/>
  <c r="D20" i="6"/>
  <c r="M19" i="9"/>
  <c r="C118" i="9" s="1"/>
  <c r="B2" i="74" s="1"/>
  <c r="D26" i="6"/>
  <c r="D8" i="6"/>
  <c r="D14"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U7" i="1" s="1"/>
  <c r="I41" i="36"/>
  <c r="J41" i="36" s="1"/>
  <c r="R43" i="37"/>
  <c r="E42" i="37"/>
  <c r="G63" i="40"/>
  <c r="F65" i="40"/>
  <c r="C37" i="36"/>
  <c r="C36" i="36"/>
  <c r="G58" i="21"/>
  <c r="C60" i="15"/>
  <c r="C66" i="67"/>
  <c r="C60" i="67"/>
  <c r="C34" i="69"/>
  <c r="F6" i="82"/>
  <c r="F41" i="82"/>
  <c r="C17" i="82"/>
  <c r="C17" i="67"/>
  <c r="C17" i="15"/>
  <c r="M27" i="82"/>
  <c r="F41" i="15"/>
  <c r="M27" i="15"/>
  <c r="C14" i="67"/>
  <c r="C6" i="82" l="1"/>
  <c r="E53" i="34"/>
  <c r="F53" i="34" s="1"/>
  <c r="F69" i="82"/>
  <c r="C13" i="80"/>
  <c r="F6" i="80"/>
  <c r="F7" i="80"/>
  <c r="C12" i="80" s="1"/>
  <c r="D12" i="80" s="1"/>
  <c r="F3" i="80"/>
  <c r="F5" i="80"/>
  <c r="D6" i="6"/>
  <c r="D10" i="11"/>
  <c r="C10" i="11" s="1"/>
  <c r="D10" i="69"/>
  <c r="D19" i="69" s="1"/>
  <c r="E7" i="70"/>
  <c r="N37" i="43"/>
  <c r="O36" i="43"/>
  <c r="M37" i="43"/>
  <c r="P36" i="43"/>
  <c r="P37" i="43"/>
  <c r="M36" i="43"/>
  <c r="O37" i="43"/>
  <c r="N36" i="43"/>
  <c r="Q36" i="43"/>
  <c r="O36" i="81"/>
  <c r="N36" i="81"/>
  <c r="M36" i="81"/>
  <c r="L37" i="81"/>
  <c r="Q36" i="81"/>
  <c r="P36" i="81"/>
  <c r="F69" i="15"/>
  <c r="C44" i="68"/>
  <c r="D41" i="68" s="1"/>
  <c r="H21" i="6"/>
  <c r="E6" i="3"/>
  <c r="D30" i="6"/>
  <c r="H24" i="6"/>
  <c r="R24" i="6" s="1"/>
  <c r="R11" i="1" s="1"/>
  <c r="H25" i="6"/>
  <c r="R25" i="6" s="1"/>
  <c r="R12" i="1" s="1"/>
  <c r="C44" i="11"/>
  <c r="D41" i="11" s="1"/>
  <c r="C26" i="11"/>
  <c r="D22" i="11" s="1"/>
  <c r="C26" i="68"/>
  <c r="D22" i="68" s="1"/>
  <c r="C25" i="11"/>
  <c r="C24" i="11"/>
  <c r="C44" i="69"/>
  <c r="D41" i="69" s="1"/>
  <c r="C26" i="69"/>
  <c r="D22" i="69" s="1"/>
  <c r="C16" i="71"/>
  <c r="D17" i="71"/>
  <c r="C18" i="67"/>
  <c r="C15" i="67"/>
  <c r="H23" i="6"/>
  <c r="R23" i="6" s="1"/>
  <c r="R10" i="1" s="1"/>
  <c r="C30" i="43"/>
  <c r="B2" i="43" s="1"/>
  <c r="C6" i="68"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R21" i="6"/>
  <c r="R8" i="1" s="1"/>
  <c r="C10" i="69"/>
  <c r="C8" i="69" s="1"/>
  <c r="C5" i="69" s="1"/>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2"/>
  <c r="B6" i="76"/>
  <c r="C14" i="15"/>
  <c r="E6" i="76"/>
  <c r="B29" i="1" l="1"/>
  <c r="C8" i="68" s="1"/>
  <c r="C32" i="82"/>
  <c r="C33" i="82"/>
  <c r="C10" i="82"/>
  <c r="C5" i="82" s="1"/>
  <c r="C38" i="82" s="1"/>
  <c r="C15" i="82"/>
  <c r="C18" i="82"/>
  <c r="O37" i="81"/>
  <c r="N37" i="81"/>
  <c r="P37" i="81"/>
  <c r="M37" i="81"/>
  <c r="Q37" i="81"/>
  <c r="B3" i="43"/>
  <c r="C7" i="68"/>
  <c r="D31" i="6"/>
  <c r="I6" i="6"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J48" i="35"/>
  <c r="C19" i="82" l="1"/>
  <c r="C20" i="82" s="1"/>
  <c r="C26" i="82" s="1"/>
  <c r="C5" i="68"/>
  <c r="C23" i="68" s="1"/>
  <c r="C21" i="12"/>
  <c r="C22" i="12" s="1"/>
  <c r="C27" i="12" s="1"/>
  <c r="C25"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3" i="82" l="1"/>
  <c r="C29" i="82" s="1"/>
  <c r="C57" i="82" s="1"/>
  <c r="C64" i="82" s="1"/>
  <c r="C20" i="68"/>
  <c r="C28" i="68" s="1"/>
  <c r="C27" i="68" s="1"/>
  <c r="C30" i="12"/>
  <c r="C28"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F35" i="67"/>
  <c r="M21" i="15"/>
  <c r="M21" i="82"/>
  <c r="F35" i="82"/>
  <c r="M21" i="67"/>
  <c r="C13" i="82" l="1"/>
  <c r="C37" i="82" s="1"/>
  <c r="J14" i="82"/>
  <c r="J22" i="82" s="1"/>
  <c r="C36" i="82"/>
  <c r="J59" i="82"/>
  <c r="J60" i="82" s="1"/>
  <c r="L46" i="82" s="1"/>
  <c r="Q49" i="82"/>
  <c r="J13" i="82"/>
  <c r="J23" i="82" s="1"/>
  <c r="C34" i="82"/>
  <c r="C31" i="82" s="1"/>
  <c r="F63" i="82"/>
  <c r="C62" i="82" s="1"/>
  <c r="C59" i="82" s="1"/>
  <c r="J20" i="82"/>
  <c r="J17" i="82" s="1"/>
  <c r="C25" i="68"/>
  <c r="C22" i="68" s="1"/>
  <c r="C31" i="68"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Q70" i="82" l="1"/>
  <c r="C75" i="82"/>
  <c r="C56" i="82"/>
  <c r="C65" i="82" s="1"/>
  <c r="C58" i="82" s="1"/>
  <c r="C67" i="82" s="1"/>
  <c r="C68" i="82" s="1"/>
  <c r="C71" i="82" s="1"/>
  <c r="Q48" i="82"/>
  <c r="J16" i="82"/>
  <c r="J25" i="82" s="1"/>
  <c r="J26" i="82" s="1"/>
  <c r="J29" i="82" s="1"/>
  <c r="C30" i="82"/>
  <c r="C39" i="82" s="1"/>
  <c r="C40" i="82" s="1"/>
  <c r="C52" i="68"/>
  <c r="B2" i="68"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D2" i="21"/>
  <c r="B3" i="68" l="1"/>
  <c r="C57" i="68"/>
  <c r="C56" i="68" s="1"/>
  <c r="C80" i="82"/>
  <c r="C79" i="82" s="1"/>
  <c r="Q69" i="82"/>
  <c r="Q68" i="82" s="1"/>
  <c r="Q67" i="82"/>
  <c r="Q47" i="82"/>
  <c r="Q53" i="82" s="1"/>
  <c r="B2" i="82"/>
  <c r="B3" i="82" s="1"/>
  <c r="Q65" i="82"/>
  <c r="Q75" i="82" s="1"/>
  <c r="Q56" i="82"/>
  <c r="Q62" i="82" s="1"/>
  <c r="C43" i="82"/>
  <c r="C83" i="82"/>
  <c r="C82" i="82" s="1"/>
  <c r="C46" i="82"/>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35" i="9"/>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7"/>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0" i="1"/>
  <c r="AO7" i="1"/>
  <c r="AO8"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C102" i="9" l="1"/>
  <c r="C21" i="9"/>
  <c r="B6" i="70"/>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20" i="9"/>
  <c r="D102" i="9" l="1"/>
  <c r="G19" i="9"/>
  <c r="D21" i="9"/>
  <c r="D22" i="9"/>
  <c r="B3" i="70"/>
  <c r="C103" i="9"/>
  <c r="D6" i="71"/>
  <c r="C5" i="71"/>
  <c r="D5" i="71" s="1"/>
  <c r="M24" i="43" s="1"/>
  <c r="C42" i="40"/>
  <c r="C43" i="40"/>
  <c r="E47" i="40"/>
  <c r="F47" i="40" s="1"/>
  <c r="E46" i="40"/>
  <c r="F46" i="40" s="1"/>
  <c r="I47" i="40"/>
  <c r="J47" i="40" s="1"/>
  <c r="D20" i="9"/>
  <c r="G21" i="9" l="1"/>
  <c r="D14" i="74"/>
  <c r="G14" i="74"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119" i="9" s="1"/>
  <c r="F5" i="52" s="1"/>
  <c r="B53" i="72" s="1"/>
  <c r="G118" i="9" l="1"/>
  <c r="G4" i="52" s="1"/>
  <c r="B52" i="72" s="1"/>
  <c r="F4" i="52"/>
  <c r="B51" i="72" s="1"/>
  <c r="H118" i="9"/>
  <c r="I118" i="9" s="1"/>
  <c r="H102" i="9" s="1"/>
  <c r="D7" i="53" s="1"/>
  <c r="B21" i="72" s="1"/>
  <c r="C105" i="9" l="1"/>
  <c r="C5" i="74"/>
  <c r="I4" i="52"/>
  <c r="E118" i="9"/>
  <c r="E4" i="52" s="1"/>
  <c r="B48" i="72" s="1"/>
  <c r="D118" i="9"/>
  <c r="H119" i="9"/>
  <c r="H5" i="52" s="1"/>
  <c r="C104" i="9"/>
  <c r="H4" i="52"/>
  <c r="H101" i="9"/>
  <c r="D4" i="52" l="1"/>
  <c r="B47" i="72" s="1"/>
  <c r="D119" i="9"/>
  <c r="D5" i="52" s="1"/>
  <c r="B49" i="72" s="1"/>
  <c r="D45" i="9"/>
  <c r="H107" i="9"/>
  <c r="M48" i="9"/>
  <c r="D5" i="53"/>
  <c r="C64" i="9" l="1"/>
  <c r="C63" i="9" s="1"/>
  <c r="C67" i="9" s="1"/>
  <c r="D52" i="9"/>
  <c r="C93" i="9"/>
  <c r="C86" i="9" s="1"/>
  <c r="D55" i="9"/>
  <c r="M53" i="9" s="1"/>
  <c r="C78" i="9"/>
  <c r="C73" i="9" s="1"/>
  <c r="D53" i="9"/>
  <c r="C85" i="9"/>
  <c r="C95" i="9" s="1"/>
  <c r="C72" i="9"/>
  <c r="C79" i="9" s="1"/>
  <c r="D122" i="9"/>
  <c r="H108" i="9"/>
  <c r="D13" i="53"/>
  <c r="M49" i="9"/>
  <c r="D6" i="53"/>
  <c r="B22" i="72" s="1"/>
  <c r="B20" i="72"/>
  <c r="L65" i="9" l="1"/>
  <c r="M65" i="9" s="1"/>
  <c r="L67" i="9"/>
  <c r="M67" i="9" s="1"/>
  <c r="L66" i="9"/>
  <c r="M66" i="9" s="1"/>
  <c r="L63" i="9"/>
  <c r="M63" i="9" s="1"/>
  <c r="L64" i="9"/>
  <c r="M64" i="9" s="1"/>
  <c r="L68" i="9"/>
  <c r="M68" i="9" s="1"/>
  <c r="C80" i="9"/>
  <c r="E80" i="9" s="1"/>
  <c r="E81" i="9" s="1"/>
  <c r="D14" i="53"/>
  <c r="B32" i="72" s="1"/>
  <c r="B30" i="72"/>
  <c r="C96" i="9"/>
  <c r="E96" i="9" s="1"/>
  <c r="E97" i="9" s="1"/>
  <c r="C97" i="9"/>
  <c r="D58" i="9" s="1"/>
  <c r="D56" i="9" s="1"/>
  <c r="M54" i="9" s="1"/>
  <c r="D15" i="53"/>
  <c r="B31" i="72" s="1"/>
  <c r="C6" i="74"/>
  <c r="D123" i="9"/>
  <c r="D9" i="52" s="1"/>
  <c r="D8" i="52"/>
  <c r="C68" i="9"/>
  <c r="D54" i="9" s="1"/>
  <c r="D59" i="9"/>
  <c r="M55" i="9" s="1"/>
  <c r="N57" i="9" l="1"/>
  <c r="N58" i="9" s="1"/>
  <c r="C81" i="9"/>
  <c r="M69" i="9"/>
  <c r="N69" i="9" s="1"/>
  <c r="N59"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D2B0A82E-FAF1-4E2E-B3F1-5B5BB6595929}">
      <text>
        <r>
          <rPr>
            <b/>
            <sz val="9"/>
            <color indexed="81"/>
            <rFont val="宋体"/>
            <family val="3"/>
            <charset val="134"/>
          </rPr>
          <t>对应区片地价表</t>
        </r>
        <r>
          <rPr>
            <sz val="9"/>
            <color indexed="81"/>
            <rFont val="宋体"/>
            <family val="3"/>
            <charset val="134"/>
          </rPr>
          <t xml:space="preserve">
</t>
        </r>
      </text>
    </comment>
    <comment ref="Y9" authorId="1" shapeId="0" xr:uid="{90487954-CF46-424F-AF69-7978769EB720}">
      <text>
        <r>
          <rPr>
            <sz val="11"/>
            <color indexed="81"/>
            <rFont val="宋体"/>
            <family val="3"/>
            <charset val="134"/>
          </rPr>
          <t xml:space="preserve">录入层数，将对应的结果录入至左侧相应层的楼层修正系数单元格中
</t>
        </r>
      </text>
    </comment>
    <comment ref="C16" authorId="1" shapeId="0" xr:uid="{93B37659-EE92-4682-A1BF-3951B04E4396}">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F958BA1C-52BF-4707-9110-51378401FCF2}">
      <text>
        <r>
          <rPr>
            <sz val="12"/>
            <color indexed="81"/>
            <rFont val="宋体"/>
            <family val="3"/>
            <charset val="134"/>
          </rPr>
          <t>1.05~1.1</t>
        </r>
        <r>
          <rPr>
            <sz val="9"/>
            <color indexed="81"/>
            <rFont val="宋体"/>
            <family val="3"/>
            <charset val="134"/>
          </rPr>
          <t xml:space="preserve">
</t>
        </r>
      </text>
    </comment>
    <comment ref="E16" authorId="1" shapeId="0" xr:uid="{D62E4B4B-CFF2-47EB-BD0E-397032D1FD9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3EEBDED7-8CB8-47A2-BD63-07CB9E3B3A7F}">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139A9E35-CA5F-49CF-BA05-A16AB4729CA6}">
      <text>
        <r>
          <rPr>
            <b/>
            <sz val="14"/>
            <color indexed="81"/>
            <rFont val="宋体"/>
            <family val="3"/>
            <charset val="134"/>
          </rPr>
          <t>工业选“中心城区”</t>
        </r>
        <r>
          <rPr>
            <sz val="9"/>
            <color indexed="81"/>
            <rFont val="宋体"/>
            <family val="3"/>
            <charset val="134"/>
          </rPr>
          <t xml:space="preserve">
</t>
        </r>
      </text>
    </comment>
    <comment ref="B35" authorId="4" shapeId="0" xr:uid="{F87F46CB-C270-4344-956D-54ABA9DCB3FC}">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5F5F24FB-02D2-47BE-9917-48A83E4DB549}">
      <text>
        <r>
          <rPr>
            <sz val="9"/>
            <color indexed="81"/>
            <rFont val="宋体"/>
            <family val="3"/>
            <charset val="134"/>
          </rPr>
          <t xml:space="preserve">需在此处填写剩余土地年限
</t>
        </r>
      </text>
    </comment>
    <comment ref="C111" authorId="0" shapeId="0" xr:uid="{EDAA4F3C-59EA-4C1C-989B-5EC1BD1E9173}">
      <text>
        <r>
          <rPr>
            <b/>
            <sz val="9"/>
            <color indexed="81"/>
            <rFont val="宋体"/>
            <family val="3"/>
            <charset val="134"/>
          </rPr>
          <t xml:space="preserve">所在楼层
</t>
        </r>
        <r>
          <rPr>
            <sz val="9"/>
            <color indexed="81"/>
            <rFont val="宋体"/>
            <family val="3"/>
            <charset val="134"/>
          </rPr>
          <t xml:space="preserve">
</t>
        </r>
      </text>
    </comment>
    <comment ref="D111" authorId="0" shapeId="0" xr:uid="{01C96369-C3FC-4149-9705-3795878ED177}">
      <text>
        <r>
          <rPr>
            <b/>
            <sz val="9"/>
            <color indexed="81"/>
            <rFont val="宋体"/>
            <family val="3"/>
            <charset val="134"/>
          </rPr>
          <t xml:space="preserve">所在楼层
</t>
        </r>
        <r>
          <rPr>
            <sz val="9"/>
            <color indexed="81"/>
            <rFont val="宋体"/>
            <family val="3"/>
            <charset val="134"/>
          </rPr>
          <t xml:space="preserve">
</t>
        </r>
      </text>
    </comment>
    <comment ref="E111" authorId="0" shapeId="0" xr:uid="{BA7E2A66-F8E3-49B0-9951-239B56078623}">
      <text>
        <r>
          <rPr>
            <b/>
            <sz val="9"/>
            <color indexed="81"/>
            <rFont val="宋体"/>
            <family val="3"/>
            <charset val="134"/>
          </rPr>
          <t xml:space="preserve">所在楼层
</t>
        </r>
        <r>
          <rPr>
            <sz val="9"/>
            <color indexed="81"/>
            <rFont val="宋体"/>
            <family val="3"/>
            <charset val="134"/>
          </rPr>
          <t xml:space="preserve">
</t>
        </r>
      </text>
    </comment>
    <comment ref="F111" authorId="0" shapeId="0" xr:uid="{970DDEB4-DF33-4687-B97D-551EFA34D483}">
      <text>
        <r>
          <rPr>
            <b/>
            <sz val="9"/>
            <color indexed="81"/>
            <rFont val="宋体"/>
            <family val="3"/>
            <charset val="134"/>
          </rPr>
          <t xml:space="preserve">所在楼层
</t>
        </r>
        <r>
          <rPr>
            <sz val="9"/>
            <color indexed="81"/>
            <rFont val="宋体"/>
            <family val="3"/>
            <charset val="134"/>
          </rPr>
          <t xml:space="preserve">
</t>
        </r>
      </text>
    </comment>
    <comment ref="G111" authorId="0" shapeId="0" xr:uid="{8C38844C-C0A8-40BE-A1BF-1D350CD975A2}">
      <text>
        <r>
          <rPr>
            <b/>
            <sz val="9"/>
            <color indexed="81"/>
            <rFont val="宋体"/>
            <family val="3"/>
            <charset val="134"/>
          </rPr>
          <t xml:space="preserve">所在楼层
</t>
        </r>
        <r>
          <rPr>
            <sz val="9"/>
            <color indexed="81"/>
            <rFont val="宋体"/>
            <family val="3"/>
            <charset val="134"/>
          </rPr>
          <t xml:space="preserve">
</t>
        </r>
      </text>
    </comment>
    <comment ref="H111" authorId="0" shapeId="0" xr:uid="{D5C9176A-7A03-49F2-8BCA-54EDD4E84708}">
      <text>
        <r>
          <rPr>
            <b/>
            <sz val="9"/>
            <color indexed="81"/>
            <rFont val="宋体"/>
            <family val="3"/>
            <charset val="134"/>
          </rPr>
          <t xml:space="preserve">所在楼层
</t>
        </r>
        <r>
          <rPr>
            <sz val="9"/>
            <color indexed="81"/>
            <rFont val="宋体"/>
            <family val="3"/>
            <charset val="134"/>
          </rPr>
          <t xml:space="preserve">
</t>
        </r>
      </text>
    </comment>
    <comment ref="I111" authorId="0" shapeId="0" xr:uid="{B3C1E04B-DD1D-4C35-BF01-92A9792384BB}">
      <text>
        <r>
          <rPr>
            <b/>
            <sz val="9"/>
            <color indexed="81"/>
            <rFont val="宋体"/>
            <family val="3"/>
            <charset val="134"/>
          </rPr>
          <t xml:space="preserve">所在楼层
</t>
        </r>
        <r>
          <rPr>
            <sz val="9"/>
            <color indexed="81"/>
            <rFont val="宋体"/>
            <family val="3"/>
            <charset val="134"/>
          </rPr>
          <t xml:space="preserve">
</t>
        </r>
      </text>
    </comment>
    <comment ref="J111" authorId="0" shapeId="0" xr:uid="{1172423E-E4DD-43B9-931E-BE7FE751EEF5}">
      <text>
        <r>
          <rPr>
            <b/>
            <sz val="9"/>
            <color indexed="81"/>
            <rFont val="宋体"/>
            <family val="3"/>
            <charset val="134"/>
          </rPr>
          <t xml:space="preserve">所在楼层
</t>
        </r>
        <r>
          <rPr>
            <sz val="9"/>
            <color indexed="81"/>
            <rFont val="宋体"/>
            <family val="3"/>
            <charset val="134"/>
          </rPr>
          <t xml:space="preserve">
</t>
        </r>
      </text>
    </comment>
    <comment ref="K111" authorId="0" shapeId="0" xr:uid="{9C128B91-C192-492D-89EA-F2CE5304C717}">
      <text>
        <r>
          <rPr>
            <b/>
            <sz val="9"/>
            <color indexed="81"/>
            <rFont val="宋体"/>
            <family val="3"/>
            <charset val="134"/>
          </rPr>
          <t xml:space="preserve">所在楼层
</t>
        </r>
        <r>
          <rPr>
            <sz val="9"/>
            <color indexed="81"/>
            <rFont val="宋体"/>
            <family val="3"/>
            <charset val="134"/>
          </rPr>
          <t xml:space="preserve">
</t>
        </r>
      </text>
    </comment>
    <comment ref="L111" authorId="0" shapeId="0" xr:uid="{B815C5BE-C5C0-49EF-B596-28878D12896C}">
      <text>
        <r>
          <rPr>
            <b/>
            <sz val="9"/>
            <color indexed="81"/>
            <rFont val="宋体"/>
            <family val="3"/>
            <charset val="134"/>
          </rPr>
          <t xml:space="preserve">所在楼层
</t>
        </r>
        <r>
          <rPr>
            <sz val="9"/>
            <color indexed="81"/>
            <rFont val="宋体"/>
            <family val="3"/>
            <charset val="134"/>
          </rPr>
          <t xml:space="preserve">
</t>
        </r>
      </text>
    </comment>
    <comment ref="M111" authorId="0" shapeId="0" xr:uid="{3E984CAA-2530-4189-BF1A-ED60108E00A1}">
      <text>
        <r>
          <rPr>
            <b/>
            <sz val="9"/>
            <color indexed="81"/>
            <rFont val="宋体"/>
            <family val="3"/>
            <charset val="134"/>
          </rPr>
          <t xml:space="preserve">所在楼层
</t>
        </r>
        <r>
          <rPr>
            <sz val="9"/>
            <color indexed="81"/>
            <rFont val="宋体"/>
            <family val="3"/>
            <charset val="134"/>
          </rPr>
          <t xml:space="preserve">
</t>
        </r>
      </text>
    </comment>
    <comment ref="N111" authorId="0" shapeId="0" xr:uid="{C526A0B9-1953-4C33-865B-6ABD98754590}">
      <text>
        <r>
          <rPr>
            <b/>
            <sz val="9"/>
            <color indexed="81"/>
            <rFont val="宋体"/>
            <family val="3"/>
            <charset val="134"/>
          </rPr>
          <t xml:space="preserve">所在楼层
</t>
        </r>
        <r>
          <rPr>
            <sz val="9"/>
            <color indexed="81"/>
            <rFont val="宋体"/>
            <family val="3"/>
            <charset val="134"/>
          </rPr>
          <t xml:space="preserve">
</t>
        </r>
      </text>
    </comment>
    <comment ref="D116" authorId="0" shapeId="0" xr:uid="{86ED78F3-7C19-46AA-9207-6D903306DC92}">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9F4EBB17-5E2B-4EFF-B0AC-01D1F917964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DD0BD9F1-32C7-4816-9E57-C2A7067D5807}">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89F04DC4-F532-4C41-B4BE-73FE29A5B9B5}">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D5DB7A9-980A-4D51-BE2C-4C4C008D793F}">
      <text>
        <r>
          <rPr>
            <sz val="11"/>
            <color indexed="81"/>
            <rFont val="宋体"/>
            <family val="3"/>
            <charset val="134"/>
          </rPr>
          <t>在建项目均选择“是”</t>
        </r>
      </text>
    </comment>
    <comment ref="F59" authorId="1" shapeId="0" xr:uid="{57E0D6F9-1D01-4E24-B49F-B1440FDE1953}">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A6E2D8CF-9CD3-41AC-BDDF-A3446970EB3E}">
      <text>
        <r>
          <rPr>
            <sz val="10"/>
            <color indexed="81"/>
            <rFont val="宋体"/>
            <family val="3"/>
            <charset val="134"/>
          </rPr>
          <t xml:space="preserve">在建
</t>
        </r>
      </text>
    </comment>
    <comment ref="N59" authorId="0" shapeId="0" xr:uid="{BB962252-9DAD-4AB2-84D5-CB584D666E58}">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<sst xmlns="http://schemas.openxmlformats.org/spreadsheetml/2006/main" count="8911" uniqueCount="3544">
  <si>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</si>
  <si>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</si>
  <si>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</si>
  <si>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</si>
  <si>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</si>
  <si>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</si>
  <si>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</si>
  <si>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</si>
  <si>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</si>
  <si>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</si>
  <si>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</si>
  <si>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</si>
  <si>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</si>
  <si>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</si>
  <si>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</si>
  <si>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</si>
  <si>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</si>
  <si>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</si>
  <si>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</si>
  <si>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</si>
  <si>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</si>
  <si>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</si>
  <si>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</si>
  <si>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</si>
  <si>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</si>
  <si>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</si>
  <si>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</si>
  <si>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</si>
  <si>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</si>
  <si>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</si>
  <si>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</si>
  <si>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</si>
  <si>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</si>
  <si>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</si>
  <si>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</si>
  <si>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</si>
  <si>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</si>
  <si>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</si>
  <si>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</si>
  <si>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</si>
  <si>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</si>
  <si>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</si>
  <si>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</si>
  <si>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</si>
  <si>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</si>
  <si>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</si>
  <si>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</si>
  <si>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</si>
  <si>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</si>
  <si>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</si>
  <si>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</si>
  <si>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</si>
  <si>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</si>
  <si>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</si>
  <si>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</si>
  <si>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</si>
  <si>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</si>
  <si>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</si>
  <si>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</si>
  <si>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</si>
  <si>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</si>
  <si>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</si>
  <si>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</si>
  <si>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</si>
  <si>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</si>
  <si>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</si>
  <si>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</si>
  <si>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</si>
  <si>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</si>
  <si>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</si>
  <si>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</si>
  <si>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</si>
  <si>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</si>
  <si>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</si>
  <si>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</si>
  <si>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</si>
  <si>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</si>
  <si>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</si>
  <si>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</si>
  <si>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</si>
  <si>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</si>
  <si>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</si>
  <si>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</si>
  <si>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</si>
  <si>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</si>
  <si>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</si>
  <si>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</si>
  <si>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</si>
  <si>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</si>
  <si>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</si>
  <si>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</si>
  <si>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</si>
  <si>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</si>
  <si>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</si>
  <si>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</si>
  <si>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</si>
  <si>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</si>
  <si>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</si>
  <si>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</si>
  <si>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</si>
  <si>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</si>
  <si>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</si>
  <si>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</si>
  <si>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</si>
  <si>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</si>
  <si>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</si>
  <si>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</si>
  <si>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</si>
  <si>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</si>
  <si>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</si>
  <si>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</si>
  <si>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</si>
  <si>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</si>
  <si>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</si>
  <si>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</si>
  <si>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</si>
  <si>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</si>
  <si>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</si>
  <si>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</si>
  <si>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</si>
  <si>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</si>
  <si>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</si>
  <si>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</si>
  <si>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</si>
  <si>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</si>
  <si>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</si>
  <si>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</si>
  <si>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</si>
  <si>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</si>
  <si>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</si>
  <si>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</si>
  <si>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</si>
  <si>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</si>
  <si>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</si>
  <si>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</si>
  <si>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</si>
  <si>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</si>
  <si>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</si>
  <si>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</si>
  <si>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</si>
  <si>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</si>
  <si>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</si>
  <si>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</si>
  <si>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</si>
  <si>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</si>
  <si>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</si>
  <si>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</si>
  <si>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</si>
  <si>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</si>
  <si>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</si>
  <si>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</si>
  <si>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</si>
  <si>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</si>
  <si>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</si>
  <si>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</si>
  <si>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</si>
  <si>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</si>
  <si>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</si>
  <si>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</si>
  <si>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</si>
  <si>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</si>
  <si>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</si>
  <si>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</si>
  <si>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</si>
  <si>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</si>
  <si>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</si>
  <si>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</si>
  <si>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</si>
  <si>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</si>
  <si>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</si>
  <si>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</si>
  <si>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</si>
  <si>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</si>
  <si>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</si>
  <si>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</si>
  <si>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</si>
  <si>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</si>
  <si>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</si>
  <si>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</si>
  <si>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</si>
  <si>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</si>
  <si>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</si>
  <si>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</si>
  <si>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</si>
  <si>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</si>
  <si>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</si>
  <si>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</si>
  <si>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</si>
  <si>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</si>
  <si>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</si>
  <si>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</si>
  <si>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</si>
  <si>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</si>
  <si>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</si>
  <si>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</si>
  <si>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</si>
  <si>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</si>
  <si>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</si>
  <si>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</si>
  <si>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</si>
  <si>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</si>
  <si>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</si>
  <si>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</si>
  <si>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</si>
  <si>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</si>
  <si>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</si>
  <si>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</si>
  <si>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</si>
  <si>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</si>
  <si>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</si>
  <si>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</si>
  <si>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</si>
  <si>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</si>
  <si>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</si>
  <si>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</si>
  <si>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</si>
  <si>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</si>
  <si>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</si>
  <si>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</si>
  <si>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</si>
  <si>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</si>
  <si>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</si>
  <si>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</si>
  <si>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</si>
  <si>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</si>
  <si>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</si>
  <si>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</si>
  <si>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</si>
  <si>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</si>
  <si>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</si>
  <si>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</si>
  <si>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</si>
  <si>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</si>
  <si>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</si>
  <si>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</si>
  <si>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</si>
  <si>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</si>
  <si>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</si>
  <si>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</si>
  <si>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</si>
  <si>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</si>
  <si>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</si>
  <si>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</si>
  <si>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</si>
  <si>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</si>
  <si>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</si>
  <si>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</si>
  <si>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</si>
  <si>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</si>
  <si>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</si>
  <si>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</si>
  <si>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</si>
  <si>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</si>
  <si>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</si>
  <si>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</si>
  <si>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</si>
  <si>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</si>
  <si>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</si>
  <si>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</si>
  <si>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</si>
  <si>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</si>
  <si>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</si>
  <si>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</si>
  <si>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</si>
  <si>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</si>
  <si>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</si>
  <si>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</si>
  <si>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</si>
  <si>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</si>
  <si>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</si>
  <si>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</si>
  <si>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</si>
  <si>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</si>
  <si>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</si>
  <si>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</si>
  <si>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</si>
  <si>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</si>
  <si>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</si>
  <si>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</si>
  <si>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</si>
  <si>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</si>
  <si>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</si>
  <si>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</si>
  <si>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</si>
  <si>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</si>
  <si>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</si>
  <si>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</si>
  <si>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</si>
  <si>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</si>
  <si>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</si>
  <si>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</si>
  <si>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</si>
  <si>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</si>
  <si>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</si>
  <si>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</si>
  <si>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</si>
  <si>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</si>
  <si>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</si>
  <si>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</si>
  <si>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</si>
  <si>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</si>
  <si>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</si>
  <si>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</si>
  <si>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</si>
  <si>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</si>
  <si>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</si>
  <si>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</si>
  <si>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</si>
  <si>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</si>
  <si>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</si>
  <si>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</si>
  <si>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</si>
  <si>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</si>
  <si>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</si>
  <si>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</si>
  <si>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</si>
  <si>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</si>
  <si>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</si>
  <si>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</si>
  <si>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</si>
  <si>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</si>
  <si>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</si>
  <si>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</si>
  <si>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</si>
  <si>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</si>
  <si>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</si>
  <si>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</si>
  <si>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</si>
  <si>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</si>
  <si>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</si>
  <si>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</si>
  <si>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</si>
  <si>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</si>
  <si>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</si>
  <si>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</si>
  <si>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</si>
  <si>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</si>
  <si>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</si>
  <si>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</si>
  <si>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</si>
  <si>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</si>
  <si>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</si>
  <si>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</si>
  <si>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</si>
  <si>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</si>
  <si>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</si>
  <si>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</si>
  <si>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</si>
  <si>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</si>
  <si>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</si>
  <si>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</si>
  <si>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</si>
  <si>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</si>
  <si>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</si>
  <si>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</si>
  <si>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</si>
  <si>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</si>
  <si>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</si>
  <si>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</si>
  <si>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</si>
  <si>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</si>
  <si>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</si>
  <si>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</si>
  <si>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</si>
  <si>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</si>
  <si>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</si>
  <si>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</si>
  <si>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</si>
  <si>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</si>
  <si>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</si>
  <si>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</si>
  <si>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</si>
  <si>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</si>
  <si>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</si>
  <si>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</si>
  <si>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</si>
  <si>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</si>
  <si>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</si>
  <si>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</si>
  <si>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</si>
  <si>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</si>
  <si>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</si>
  <si>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</si>
  <si>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</si>
  <si>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</si>
  <si>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</si>
  <si>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</si>
  <si>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</si>
  <si>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</si>
  <si>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</si>
  <si>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</si>
  <si>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</si>
  <si>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</si>
  <si>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</si>
  <si>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</si>
  <si>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</si>
  <si>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</si>
  <si>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</si>
  <si>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</si>
  <si>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</si>
  <si>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</si>
  <si>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</si>
  <si>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</si>
  <si>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</si>
  <si>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</si>
  <si>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</si>
  <si>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</si>
  <si>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</si>
  <si>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</si>
  <si>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</si>
  <si>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</si>
  <si>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</si>
  <si>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</si>
  <si>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</si>
  <si>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</si>
  <si>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</si>
  <si>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</si>
  <si>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</si>
  <si>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</si>
  <si>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</si>
  <si>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</si>
  <si>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</si>
  <si>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</si>
  <si>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</si>
  <si>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</si>
  <si>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</si>
  <si>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</si>
  <si>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</si>
  <si>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</si>
  <si>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</si>
  <si>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</si>
  <si>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</si>
  <si>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</si>
  <si>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</si>
  <si>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</si>
  <si>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</si>
  <si>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</si>
  <si>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</si>
  <si>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</si>
  <si>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</si>
  <si>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</si>
  <si>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</si>
  <si>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</si>
  <si>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</si>
  <si>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</si>
  <si>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</si>
  <si>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</si>
  <si>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</si>
  <si>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</si>
  <si>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</si>
  <si>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</si>
  <si>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</si>
  <si>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</si>
  <si>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</si>
  <si>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</si>
  <si>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</si>
  <si>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</si>
  <si>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</si>
  <si>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</si>
  <si>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</si>
  <si>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</si>
  <si>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</si>
  <si>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</si>
  <si>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</si>
  <si>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</si>
  <si>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</si>
  <si>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</si>
  <si>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</si>
  <si>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</si>
  <si>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</si>
  <si>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</si>
  <si>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</si>
  <si>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</si>
  <si>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</si>
  <si>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</si>
  <si>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</si>
  <si>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</si>
  <si>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</si>
  <si>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</si>
  <si>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</si>
  <si>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</si>
  <si>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</si>
  <si>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</si>
  <si>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</si>
  <si>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</si>
  <si>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</si>
  <si>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</si>
  <si>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</si>
  <si>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</si>
  <si>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</si>
  <si>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</si>
  <si>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</si>
  <si>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</si>
  <si>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</si>
  <si>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</si>
  <si>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</si>
  <si>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</si>
  <si>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</si>
  <si>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</si>
  <si>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</si>
  <si>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</si>
  <si>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</si>
  <si>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</si>
  <si>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</si>
  <si>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</si>
  <si>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</si>
  <si>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</si>
  <si>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</si>
  <si>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</si>
  <si>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</si>
  <si>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</si>
  <si>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</si>
  <si>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</si>
  <si>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</si>
  <si>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</si>
  <si>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</si>
  <si>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</si>
  <si>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</si>
  <si>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</si>
  <si>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</si>
  <si>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</si>
  <si>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</si>
  <si>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</si>
  <si>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</si>
  <si>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</si>
  <si>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</si>
  <si>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</si>
  <si>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</si>
  <si>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</si>
  <si>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</si>
  <si>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</si>
  <si>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</si>
  <si>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</si>
  <si>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</si>
  <si>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</si>
  <si>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</si>
  <si>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</si>
  <si>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</si>
  <si>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</si>
  <si>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</si>
  <si>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</si>
  <si>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</si>
  <si>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</si>
  <si>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</si>
  <si>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</si>
  <si>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</si>
  <si>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</si>
  <si>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</si>
  <si>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</si>
  <si>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</si>
  <si>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</si>
  <si>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</si>
  <si>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</si>
  <si>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</si>
  <si>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</si>
  <si>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</si>
  <si>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</si>
  <si>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</si>
  <si>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</si>
  <si>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</si>
  <si>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</si>
  <si>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</si>
  <si>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</si>
  <si>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</si>
  <si>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</si>
  <si>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</si>
  <si>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</si>
  <si>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</si>
  <si>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</si>
  <si>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</si>
  <si>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</si>
  <si>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</si>
  <si>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</si>
  <si>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</si>
  <si>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</si>
  <si>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</si>
  <si>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</si>
  <si>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</si>
  <si>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</si>
  <si>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</si>
  <si>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</si>
  <si>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</si>
  <si>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</si>
  <si>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</si>
  <si>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</si>
  <si>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</si>
  <si>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</si>
  <si>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</si>
  <si>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</si>
  <si>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</si>
  <si>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</si>
  <si>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</si>
  <si>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</si>
  <si>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</si>
  <si>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</si>
  <si>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</si>
  <si>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</si>
  <si>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</si>
  <si>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</si>
  <si>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</si>
  <si>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</si>
  <si>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</si>
  <si>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</si>
  <si>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</si>
  <si>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</si>
  <si>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</si>
  <si>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</si>
  <si>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</si>
  <si>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</si>
  <si>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</si>
  <si>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</si>
  <si>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</si>
  <si>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</si>
  <si>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</si>
  <si>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</si>
  <si>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</si>
  <si>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</si>
  <si>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</si>
  <si>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</si>
  <si>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</si>
  <si>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</si>
  <si>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</si>
  <si>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</si>
  <si>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</si>
  <si>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</si>
  <si>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</si>
  <si>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</si>
  <si>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</si>
  <si>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</si>
  <si>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</si>
  <si>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</si>
  <si>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</si>
  <si>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</si>
  <si>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</si>
  <si>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</si>
  <si>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</si>
  <si>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</si>
  <si>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</si>
  <si>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</si>
  <si>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</si>
  <si>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</si>
  <si>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</si>
  <si>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</si>
  <si>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</si>
  <si>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</si>
  <si>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</si>
  <si>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</si>
  <si>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</si>
  <si>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</si>
  <si>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</si>
  <si>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</si>
  <si>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</si>
  <si>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</si>
  <si>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</si>
  <si>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</si>
  <si>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</si>
  <si>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</si>
  <si>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</si>
  <si>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</si>
  <si>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</si>
  <si>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</si>
  <si>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</si>
  <si>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</si>
  <si>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</si>
  <si>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</si>
  <si>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</si>
  <si>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</si>
  <si>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</si>
  <si>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</si>
  <si>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</si>
  <si>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</si>
  <si>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</si>
  <si>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</si>
  <si>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</si>
  <si>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</si>
  <si>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</si>
  <si>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</si>
  <si>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</si>
  <si>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</si>
  <si>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</si>
  <si>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</si>
  <si>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</si>
  <si>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</si>
  <si>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</si>
  <si>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</si>
  <si>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</si>
  <si>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</si>
  <si>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</si>
  <si>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</si>
  <si>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</si>
  <si>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</si>
  <si>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</si>
  <si>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</si>
  <si>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</si>
  <si>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</si>
  <si>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</si>
  <si>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</si>
  <si>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</si>
  <si>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</si>
  <si>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</si>
  <si>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</si>
  <si>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</si>
  <si>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</si>
  <si>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</si>
  <si>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</si>
  <si>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</si>
  <si>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</si>
  <si>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</si>
  <si>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</si>
  <si>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</si>
  <si>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</si>
  <si>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</si>
  <si>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</si>
  <si>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</si>
  <si>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</si>
  <si>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</si>
  <si>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</si>
  <si>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</si>
  <si>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</si>
  <si>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</si>
  <si>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</si>
  <si>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</si>
  <si>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</si>
  <si>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</si>
  <si>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</si>
  <si>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</si>
  <si>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</si>
  <si>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</si>
  <si>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</si>
  <si>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</si>
  <si>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</si>
  <si>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</si>
  <si>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</si>
  <si>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</si>
  <si>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</si>
  <si>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</si>
  <si>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</si>
  <si>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</si>
  <si>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</si>
  <si>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</si>
  <si>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</si>
  <si>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</si>
  <si>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</si>
  <si>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</si>
  <si>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</si>
  <si>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</si>
  <si>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</si>
  <si>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</si>
  <si>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</si>
  <si>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</si>
  <si>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</si>
  <si>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</si>
  <si>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</si>
  <si>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</si>
  <si>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</si>
  <si>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</si>
  <si>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</si>
  <si>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</si>
  <si>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</si>
  <si>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</si>
  <si>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</si>
  <si>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</si>
  <si>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</si>
  <si>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</si>
  <si>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</si>
  <si>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</si>
  <si>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</si>
  <si>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</si>
  <si>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</si>
  <si>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</si>
  <si>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</si>
  <si>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</si>
  <si>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</si>
  <si>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</si>
  <si>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</si>
  <si>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</si>
  <si>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</si>
  <si>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</si>
  <si>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</si>
  <si>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</si>
  <si>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</si>
  <si>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</si>
  <si>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</si>
  <si>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</si>
  <si>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</si>
  <si>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</si>
  <si>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</si>
  <si>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</si>
  <si>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</si>
  <si>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</si>
  <si>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</si>
  <si>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</si>
  <si>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</si>
  <si>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</si>
  <si>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</si>
  <si>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</si>
  <si>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</si>
  <si>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</si>
  <si>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</si>
  <si>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</si>
  <si>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</si>
  <si>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</si>
  <si>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</si>
  <si>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</si>
  <si>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</si>
  <si>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</si>
  <si>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</si>
  <si>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</si>
  <si>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</si>
  <si>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</si>
  <si>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</si>
  <si>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</si>
  <si>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</si>
  <si>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</si>
  <si>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</si>
  <si>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</si>
  <si>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</si>
  <si>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</si>
  <si>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</si>
  <si>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</si>
  <si>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</si>
  <si>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</si>
  <si>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</si>
  <si>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</si>
  <si>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</si>
  <si>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</si>
  <si>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</si>
  <si>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</si>
  <si>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</si>
  <si>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</si>
  <si>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</si>
  <si>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</si>
  <si>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</si>
  <si>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</si>
  <si>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</si>
  <si>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</si>
  <si>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</si>
  <si>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</si>
  <si>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</si>
  <si>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</si>
  <si>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</si>
  <si>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</si>
  <si>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</si>
  <si>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</si>
  <si>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</si>
  <si>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</si>
  <si>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</si>
  <si>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</si>
  <si>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</si>
  <si>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</si>
  <si>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</si>
  <si>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</si>
  <si>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</si>
  <si>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</si>
  <si>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</si>
  <si>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</si>
  <si>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</si>
  <si>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</si>
  <si>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</si>
  <si>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</si>
  <si>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</si>
  <si>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</si>
  <si>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</si>
  <si>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</si>
  <si>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</si>
  <si>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</si>
  <si>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</si>
  <si>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</si>
  <si>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</si>
  <si>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</si>
  <si>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</si>
  <si>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</si>
  <si>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</si>
  <si>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</si>
  <si>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</si>
  <si>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</si>
  <si>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</si>
  <si>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</si>
  <si>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</si>
  <si>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</si>
  <si>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</si>
  <si>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</si>
  <si>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</si>
  <si>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</si>
  <si>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</si>
  <si>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</si>
  <si>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</si>
  <si>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</si>
  <si>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</si>
  <si>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</si>
  <si>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</si>
  <si>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</si>
  <si>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</si>
  <si>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</si>
  <si>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</si>
  <si>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</si>
  <si>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</si>
  <si>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</si>
  <si>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</si>
  <si>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</si>
  <si>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</si>
  <si>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</si>
  <si>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</si>
  <si>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</si>
  <si>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</si>
  <si>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</si>
  <si>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</si>
  <si>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</si>
  <si>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</si>
  <si>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</si>
  <si>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</si>
  <si>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</si>
  <si>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</si>
  <si>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</si>
  <si>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</si>
  <si>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</si>
  <si>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</si>
  <si>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</si>
  <si>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</si>
  <si>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</si>
  <si>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</si>
  <si>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</si>
  <si>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</si>
  <si>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</si>
  <si>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</si>
  <si>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</si>
  <si>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</si>
  <si>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</si>
  <si>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</si>
  <si>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</si>
  <si>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</si>
  <si>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</si>
  <si>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</si>
  <si>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</si>
  <si>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</si>
  <si>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</si>
  <si>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</si>
  <si>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</si>
  <si>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</si>
  <si>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</si>
  <si>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</si>
  <si>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</si>
  <si>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</si>
  <si>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</si>
  <si>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</si>
  <si>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</si>
  <si>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</si>
  <si>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</si>
  <si>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</si>
  <si>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</si>
  <si>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</si>
  <si>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</si>
  <si>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</si>
  <si>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</si>
  <si>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</si>
  <si>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</si>
  <si>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</si>
  <si>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</si>
  <si>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</si>
  <si>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</si>
  <si>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</si>
  <si>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</si>
  <si>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</si>
  <si>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</si>
  <si>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</si>
  <si>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</si>
  <si>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</si>
  <si>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</si>
  <si>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</si>
  <si>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</si>
  <si>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</si>
  <si>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</si>
  <si>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</si>
  <si>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</si>
  <si>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</si>
  <si>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</si>
  <si>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</si>
  <si>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</si>
  <si>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</si>
  <si>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</si>
  <si>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</si>
  <si>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</si>
  <si>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</si>
  <si>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</si>
  <si>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</si>
  <si>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</si>
  <si>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</si>
  <si>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</si>
  <si>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</si>
  <si>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</si>
  <si>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</si>
  <si>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</si>
  <si>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</si>
  <si>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</si>
  <si>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</si>
  <si>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</si>
  <si>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</si>
  <si>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</si>
  <si>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</si>
  <si>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</si>
  <si>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</si>
  <si>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</si>
  <si>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</si>
  <si>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</si>
  <si>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</si>
  <si>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</si>
  <si>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</si>
  <si>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</si>
  <si>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</si>
  <si>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</si>
  <si>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</si>
  <si>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</si>
  <si>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</si>
  <si>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</si>
  <si>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</si>
  <si>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</si>
  <si>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</si>
  <si>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</si>
  <si>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</si>
  <si>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</si>
  <si>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</si>
  <si>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</si>
  <si>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</si>
  <si>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</si>
  <si>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</si>
  <si>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</si>
  <si>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</si>
  <si>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</si>
  <si>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</si>
  <si>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</si>
  <si>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</si>
  <si>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</si>
  <si>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</si>
  <si>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</si>
  <si>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</si>
  <si>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</si>
  <si>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</si>
  <si>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</si>
  <si>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</si>
  <si>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</si>
  <si>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</si>
  <si>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</si>
  <si>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</si>
  <si>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</si>
  <si>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</si>
  <si>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</si>
  <si>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</si>
  <si>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</si>
  <si>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</si>
  <si>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</si>
  <si>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</si>
  <si>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</si>
  <si>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</si>
  <si>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</si>
  <si>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</si>
  <si>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</si>
  <si>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</si>
  <si>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</si>
  <si>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</si>
  <si>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</si>
  <si>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</si>
  <si>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</si>
  <si>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</si>
  <si>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</si>
  <si>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</si>
  <si>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</si>
  <si>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</si>
  <si>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</si>
  <si>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</si>
  <si>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</si>
  <si>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</si>
  <si>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</si>
  <si>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</si>
  <si>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</si>
  <si>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</si>
  <si>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</si>
  <si>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</si>
  <si>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</si>
  <si>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</si>
  <si>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</si>
  <si>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</si>
  <si>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</si>
  <si>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</si>
  <si>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</si>
  <si>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</si>
  <si>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</si>
  <si>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</si>
  <si>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</si>
  <si>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</si>
  <si>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</si>
  <si>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</si>
  <si>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</si>
  <si>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</si>
  <si>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</si>
  <si>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</si>
  <si>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</si>
  <si>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</si>
  <si>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</si>
  <si>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</si>
  <si>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</si>
  <si>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</si>
  <si>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</si>
  <si>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</si>
  <si>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</si>
  <si>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</si>
  <si>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</si>
  <si>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</si>
  <si>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</si>
  <si>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</si>
  <si>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</si>
  <si>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</si>
  <si>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</si>
  <si>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</si>
  <si>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</si>
  <si>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</si>
  <si>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</si>
  <si>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</si>
  <si>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</si>
  <si>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</si>
  <si>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</si>
  <si>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</si>
  <si>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</si>
  <si>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</si>
  <si>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</si>
  <si>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</si>
  <si>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</si>
  <si>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</si>
  <si>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</si>
  <si>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</si>
  <si>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</si>
  <si>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</si>
  <si>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</si>
  <si>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</si>
  <si>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</si>
  <si>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</si>
  <si>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</si>
  <si>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</si>
  <si>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</si>
  <si>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</si>
  <si>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</si>
  <si>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</si>
  <si>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</si>
  <si>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</si>
  <si>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</si>
  <si>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</si>
  <si>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</si>
  <si>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</si>
  <si>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</si>
  <si>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</si>
  <si>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</si>
  <si>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</si>
  <si>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</si>
  <si>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</si>
  <si>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</si>
  <si>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</si>
  <si>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</si>
  <si>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</si>
  <si>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</si>
  <si>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</si>
  <si>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</si>
  <si>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</si>
  <si>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</si>
  <si>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</si>
  <si>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</si>
  <si>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</si>
  <si>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</si>
  <si>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</si>
  <si>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</si>
  <si>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</si>
  <si>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</si>
  <si>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</si>
  <si>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</si>
  <si>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</si>
  <si>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</si>
  <si>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</si>
  <si>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</si>
  <si>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</si>
  <si>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</si>
  <si>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</si>
  <si>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</si>
  <si>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</si>
  <si>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</si>
  <si>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</si>
  <si>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</si>
  <si>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</si>
  <si>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</si>
  <si>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</si>
  <si>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</si>
  <si>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</si>
  <si>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</si>
  <si>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</si>
  <si>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</si>
  <si>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</si>
  <si>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</si>
  <si>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</si>
  <si>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</si>
  <si>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</si>
  <si>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</si>
  <si>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</si>
  <si>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</si>
  <si>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</si>
  <si>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</si>
  <si>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</si>
  <si>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</si>
  <si>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</si>
  <si>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</si>
  <si>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</si>
  <si>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</si>
  <si>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</si>
  <si>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</si>
  <si>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</si>
  <si>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</si>
  <si>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</si>
  <si>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</si>
  <si>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</si>
  <si>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</si>
  <si>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</si>
  <si>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</si>
  <si>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</si>
  <si>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</si>
  <si>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</si>
  <si>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</si>
  <si>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</si>
  <si>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</si>
  <si>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</si>
  <si>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</si>
  <si>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</si>
  <si>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</si>
  <si>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</si>
  <si>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</si>
  <si>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</si>
  <si>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</si>
  <si>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</si>
  <si>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</si>
  <si>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</si>
  <si>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</si>
  <si>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</si>
  <si>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</si>
  <si>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</si>
  <si>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</si>
  <si>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</si>
  <si>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</si>
  <si>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</si>
  <si>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</si>
  <si>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</si>
  <si>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</si>
  <si>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</si>
  <si>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</si>
  <si>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</si>
  <si>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</si>
  <si>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</si>
  <si>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</si>
  <si>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</si>
  <si>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</si>
  <si>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</si>
  <si>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</si>
  <si>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</si>
  <si>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</si>
  <si>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</si>
  <si>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</si>
  <si>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</si>
  <si>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</si>
  <si>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</si>
  <si>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</si>
  <si>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</si>
  <si>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</si>
  <si>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</si>
  <si>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</si>
  <si>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</si>
  <si>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</si>
  <si>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</si>
  <si>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</si>
  <si>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</si>
  <si>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</si>
  <si>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</si>
  <si>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</si>
  <si>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</si>
  <si>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</si>
  <si>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</si>
  <si>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</si>
  <si>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</si>
  <si>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</si>
  <si>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</si>
  <si>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</si>
  <si>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</si>
  <si>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</si>
  <si>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</si>
  <si>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</si>
  <si>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</si>
  <si>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</si>
  <si>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</si>
  <si>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</si>
  <si>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</si>
  <si>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</si>
  <si>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</si>
  <si>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</si>
  <si>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</si>
  <si>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</si>
  <si>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</si>
  <si>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</si>
  <si>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</si>
  <si>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</si>
  <si>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</si>
  <si>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</si>
  <si>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</si>
  <si>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</si>
  <si>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</si>
  <si>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</si>
  <si>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</si>
  <si>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</si>
  <si>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</si>
  <si>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</si>
  <si>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</si>
  <si>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</si>
  <si>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</si>
  <si>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</si>
  <si>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</si>
  <si>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</si>
  <si>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</si>
  <si>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</si>
  <si>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</si>
  <si>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</si>
  <si>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</si>
  <si>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</si>
  <si>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</si>
  <si>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</si>
  <si>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</si>
  <si>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</si>
  <si>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</si>
  <si>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</si>
  <si>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</si>
  <si>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</si>
  <si>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</si>
  <si>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</si>
  <si>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</si>
  <si>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</si>
  <si>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</si>
  <si>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</si>
  <si>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</si>
  <si>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</si>
  <si>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</si>
  <si>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</si>
  <si>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</si>
  <si>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</si>
  <si>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</si>
  <si>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</si>
  <si>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</si>
  <si>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</si>
  <si>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</si>
  <si>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</si>
  <si>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</si>
  <si>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</si>
  <si>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</si>
  <si>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</si>
  <si>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</si>
  <si>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</si>
  <si>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</si>
  <si>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</si>
  <si>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</si>
  <si>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</si>
  <si>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</si>
  <si>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</si>
  <si>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</si>
  <si>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</si>
  <si>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</si>
  <si>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</si>
  <si>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</si>
  <si>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</si>
  <si>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</si>
  <si>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</si>
  <si>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</si>
  <si>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</si>
  <si>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</si>
  <si>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</si>
  <si>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</si>
  <si>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</si>
  <si>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</si>
  <si>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</si>
  <si>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</si>
  <si>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</si>
  <si>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</si>
  <si>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</si>
  <si>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</si>
  <si>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</si>
  <si>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</si>
  <si>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</si>
  <si>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</si>
  <si>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</si>
  <si>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</si>
  <si>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</si>
  <si>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</si>
  <si>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</si>
  <si>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</si>
  <si>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</si>
  <si>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</si>
  <si>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</si>
  <si>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</si>
  <si>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</si>
  <si>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</si>
  <si>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</si>
  <si>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</si>
  <si>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</si>
  <si>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</si>
  <si>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</si>
  <si>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</si>
  <si>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</si>
  <si>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</si>
  <si>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</si>
  <si>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</si>
  <si>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</si>
  <si>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</si>
  <si>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</si>
  <si>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</si>
  <si>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</si>
  <si>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</si>
  <si>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</si>
  <si>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</si>
  <si>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</si>
  <si>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</si>
  <si>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</si>
  <si>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</si>
  <si>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</si>
  <si>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</si>
  <si>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</si>
  <si>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</si>
  <si>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</si>
  <si>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</si>
  <si>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</si>
  <si>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</si>
  <si>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</si>
  <si>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</si>
  <si>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</si>
  <si>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</si>
  <si>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</si>
  <si>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</si>
  <si>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</si>
  <si>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</si>
  <si>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</si>
  <si>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</si>
  <si>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</si>
  <si>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</si>
  <si>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</si>
  <si>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</si>
  <si>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</si>
  <si>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</si>
  <si>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</si>
  <si>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</si>
  <si>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</si>
  <si>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</si>
  <si>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</si>
  <si>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</si>
  <si>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</si>
  <si>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</si>
  <si>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</si>
  <si>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</si>
  <si>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</si>
  <si>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</si>
  <si>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</si>
  <si>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</si>
  <si>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</si>
  <si>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</si>
  <si>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</si>
  <si>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</si>
  <si>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</si>
  <si>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</si>
  <si>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</si>
  <si>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</si>
  <si>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</si>
  <si>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</si>
  <si>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</si>
  <si>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</si>
  <si>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</si>
  <si>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</si>
  <si>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</si>
  <si>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</si>
  <si>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</si>
  <si>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</si>
  <si>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</si>
  <si>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</si>
  <si>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</si>
  <si>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</si>
  <si>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</si>
  <si>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</si>
  <si>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</si>
  <si>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</si>
  <si>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</si>
  <si>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</si>
  <si>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</si>
  <si>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</si>
  <si>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</si>
  <si>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</si>
  <si>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</si>
  <si>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</si>
  <si>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</si>
  <si>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</si>
  <si>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</si>
  <si>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</si>
  <si>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</si>
  <si>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</si>
  <si>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</si>
  <si>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</si>
  <si>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</si>
  <si>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</si>
  <si>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</si>
  <si>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</si>
  <si>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</si>
  <si>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</si>
  <si>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</si>
  <si>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</si>
  <si>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</si>
  <si>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</si>
  <si>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</si>
  <si>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</si>
  <si>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</si>
  <si>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</si>
  <si>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</si>
  <si>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</si>
  <si>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</si>
  <si>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</si>
  <si>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</si>
  <si>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</si>
  <si>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</si>
  <si>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</si>
  <si>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</si>
  <si>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</si>
  <si>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</si>
  <si>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</si>
  <si>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</si>
  <si>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</si>
  <si>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</si>
  <si>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</si>
  <si>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</si>
  <si>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</si>
  <si>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</si>
  <si>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</si>
  <si>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</si>
  <si>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</si>
  <si>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</si>
  <si>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</si>
  <si>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</si>
  <si>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</si>
  <si>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</si>
  <si>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</si>
  <si>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</si>
  <si>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</si>
  <si>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</si>
  <si>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</si>
  <si>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</si>
  <si>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</si>
  <si>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</si>
  <si>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</si>
  <si>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</si>
  <si>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</si>
  <si>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</si>
  <si>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</si>
  <si>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</si>
  <si>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</si>
  <si>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</si>
  <si>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</si>
  <si>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</si>
  <si>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</si>
  <si>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</si>
  <si>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</si>
  <si>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</si>
  <si>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</si>
  <si>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</si>
  <si>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</si>
  <si>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</si>
  <si>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</si>
  <si>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</si>
  <si>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</si>
  <si>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</si>
  <si>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</si>
  <si>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</si>
  <si>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</si>
  <si>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</si>
  <si>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</si>
  <si>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</si>
  <si>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</si>
  <si>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</si>
  <si>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</si>
  <si>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</si>
  <si>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</si>
  <si>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</si>
  <si>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</si>
  <si>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</si>
  <si>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</si>
  <si>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</si>
  <si>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</si>
  <si>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</si>
  <si>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</si>
  <si>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</si>
  <si>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</si>
  <si>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</si>
  <si>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</si>
  <si>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</si>
  <si>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</si>
  <si>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</si>
  <si>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</si>
  <si>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</si>
  <si>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</si>
  <si>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</si>
  <si>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</si>
  <si>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</si>
  <si>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</si>
  <si>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</si>
  <si>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</si>
  <si>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</si>
  <si>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</si>
  <si>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</si>
  <si>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</si>
  <si>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</si>
  <si>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</si>
  <si>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</si>
  <si>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</si>
  <si>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</si>
  <si>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</si>
  <si>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</si>
  <si>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</si>
  <si>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</si>
  <si>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</si>
  <si>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</si>
  <si>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</si>
  <si>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</si>
  <si>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</si>
  <si>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</si>
  <si>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</si>
  <si>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</si>
  <si>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</si>
  <si>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</si>
  <si>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</si>
  <si>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</si>
  <si>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</si>
  <si>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</si>
  <si>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</si>
  <si>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</si>
  <si>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</si>
  <si>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</si>
  <si>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</si>
  <si>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</si>
  <si>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</si>
  <si>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</si>
  <si>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</si>
  <si>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</si>
  <si>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</si>
  <si>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</si>
  <si>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</si>
  <si>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</si>
  <si>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</si>
  <si>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</si>
  <si>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</si>
  <si>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</si>
  <si>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</si>
  <si>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</si>
  <si>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</si>
  <si>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</si>
  <si>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</si>
  <si>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</si>
  <si>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</si>
  <si>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</si>
  <si>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</si>
  <si>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</si>
  <si>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</si>
  <si>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</si>
  <si>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</si>
  <si>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</si>
  <si>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</si>
  <si>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</si>
  <si>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</si>
  <si>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</si>
  <si>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</si>
  <si>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</si>
  <si>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</si>
  <si>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</si>
  <si>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</si>
  <si>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</si>
  <si>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</si>
  <si>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</si>
  <si>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</si>
  <si>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</si>
  <si>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</si>
  <si>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</si>
  <si>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</si>
  <si>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</si>
  <si>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</si>
  <si>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</si>
  <si>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</si>
  <si>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</si>
  <si>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</si>
  <si>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</si>
  <si>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</si>
  <si>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</si>
  <si>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</si>
  <si>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</si>
  <si>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</si>
  <si>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</si>
  <si>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</si>
  <si>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</si>
  <si>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</si>
  <si>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</si>
  <si>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</si>
  <si>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</si>
  <si>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</si>
  <si>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</si>
  <si>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</si>
  <si>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</si>
  <si>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</si>
  <si>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</si>
  <si>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</si>
  <si>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</si>
  <si>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</si>
  <si>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</si>
  <si>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</si>
  <si>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</si>
  <si>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</si>
  <si>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</si>
  <si>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</si>
  <si>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</si>
  <si>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</si>
  <si>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</si>
  <si>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</si>
  <si>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</si>
  <si>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</si>
  <si>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</si>
  <si>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</si>
  <si>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</si>
  <si>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</si>
  <si>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</si>
  <si>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</si>
  <si>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</si>
  <si>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</si>
  <si>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</si>
  <si>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</si>
  <si>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</si>
  <si>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</si>
  <si>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</si>
  <si>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</si>
  <si>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</si>
  <si>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</si>
  <si>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</si>
  <si>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</si>
  <si>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</si>
  <si>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</si>
  <si>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</si>
  <si>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</si>
  <si>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</si>
  <si>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</si>
  <si>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</si>
  <si>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</si>
  <si>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</si>
  <si>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</si>
  <si>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</si>
  <si>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</si>
  <si>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</si>
  <si>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</si>
  <si>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</si>
  <si>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</si>
  <si>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</si>
  <si>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</si>
  <si>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</si>
  <si>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</si>
  <si>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</si>
  <si>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</si>
  <si>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</si>
  <si>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</si>
  <si>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</si>
  <si>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</si>
  <si>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</si>
  <si>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</si>
  <si>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</si>
  <si>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</si>
  <si>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</si>
  <si>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</si>
  <si>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</si>
  <si>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</si>
  <si>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</si>
  <si>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</si>
  <si>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</si>
  <si>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</si>
  <si>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</si>
  <si>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</si>
  <si>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</si>
  <si>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</si>
  <si>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</si>
  <si>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</si>
  <si>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</si>
  <si>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</si>
  <si>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</si>
  <si>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</si>
  <si>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</si>
  <si>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</si>
  <si>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</si>
  <si>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</si>
  <si>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</si>
  <si>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</si>
  <si>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</si>
  <si>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</si>
  <si>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</si>
  <si>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</si>
  <si>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</si>
  <si>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</si>
  <si>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</si>
  <si>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</si>
  <si>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</si>
  <si>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</si>
  <si>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</si>
  <si>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</si>
  <si>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</si>
  <si>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</si>
  <si>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</si>
  <si>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</si>
  <si>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</si>
  <si>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</si>
  <si>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</si>
  <si>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</si>
  <si>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</si>
  <si>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</si>
  <si>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</si>
  <si>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</si>
  <si>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</si>
  <si>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</si>
  <si>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</si>
  <si>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</si>
  <si>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</si>
  <si>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</si>
  <si>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</si>
  <si>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</si>
  <si>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</si>
  <si>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</si>
  <si>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</si>
  <si>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</si>
  <si>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</si>
  <si>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</si>
  <si>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</si>
  <si>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</si>
  <si>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</si>
  <si>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</si>
  <si>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</si>
  <si>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</si>
  <si>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</si>
  <si>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</si>
  <si>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</si>
  <si>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</si>
  <si>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</si>
  <si>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</si>
  <si>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</si>
  <si>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</si>
  <si>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</si>
  <si>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</si>
  <si>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</si>
  <si>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</si>
  <si>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</si>
  <si>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</si>
  <si>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</si>
  <si>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</si>
  <si>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</si>
  <si>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</si>
  <si>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</si>
  <si>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</si>
  <si>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</si>
  <si>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</si>
  <si>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</si>
  <si>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</si>
  <si>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</si>
  <si>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</si>
  <si>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</si>
  <si>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</si>
  <si>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</si>
  <si>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</si>
  <si>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</si>
  <si>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</si>
  <si>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</si>
  <si>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</si>
  <si>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</si>
  <si>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</si>
  <si>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</si>
  <si>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</si>
  <si>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</si>
  <si>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</si>
  <si>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</si>
  <si>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</si>
  <si>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</si>
  <si>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</si>
  <si>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</si>
  <si>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</si>
  <si>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</si>
  <si>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</si>
  <si>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</si>
  <si>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</si>
  <si>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</si>
  <si>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</si>
  <si>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</si>
  <si>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</si>
  <si>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</si>
  <si>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</si>
  <si>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</si>
  <si>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</si>
  <si>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</si>
  <si>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</si>
  <si>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</si>
  <si>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</si>
  <si>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</si>
  <si>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</si>
  <si>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</si>
  <si>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</si>
  <si>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</si>
  <si>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</si>
  <si>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</si>
  <si>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</si>
  <si>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</si>
  <si>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</si>
  <si>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</si>
  <si>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</si>
  <si>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</si>
  <si>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</si>
  <si>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</si>
  <si>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</si>
  <si>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</si>
  <si>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</si>
  <si>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</si>
  <si>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</si>
  <si>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</si>
  <si>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</si>
  <si>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</si>
  <si>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</si>
  <si>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</si>
  <si>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</si>
  <si>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</si>
  <si>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</si>
  <si>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</si>
  <si>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</si>
  <si>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</si>
  <si>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</si>
  <si>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</si>
  <si>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</si>
  <si>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</si>
  <si>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</si>
  <si>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</si>
  <si>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</si>
  <si>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</si>
  <si>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</si>
  <si>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</si>
  <si>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</si>
  <si>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</si>
  <si>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</si>
  <si>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</si>
  <si>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</si>
  <si>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</si>
  <si>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</si>
  <si>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</si>
  <si>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</si>
  <si>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</si>
  <si>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</si>
  <si>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</si>
  <si>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</si>
  <si>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</si>
  <si>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</si>
  <si>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</si>
  <si>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</si>
  <si>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</si>
  <si>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</si>
  <si>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</si>
  <si>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</si>
  <si>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</si>
  <si>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</si>
  <si>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</si>
  <si>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</si>
  <si>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</si>
  <si>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</si>
  <si>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</si>
  <si>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</si>
  <si>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</si>
  <si>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</si>
  <si>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</si>
  <si>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</si>
  <si>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</si>
  <si>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</si>
  <si>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</si>
  <si>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</si>
  <si>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</si>
  <si>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</si>
  <si>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</si>
  <si>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</si>
  <si>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</si>
  <si>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</si>
  <si>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</si>
  <si>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</si>
  <si>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</si>
  <si>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</si>
  <si>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</si>
  <si>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</si>
  <si>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</si>
  <si>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</si>
  <si>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</si>
  <si>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</si>
  <si>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</si>
  <si>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</si>
  <si>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</si>
  <si>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</si>
  <si>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</si>
  <si>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</si>
  <si>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</si>
  <si>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</si>
  <si>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</si>
  <si>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</si>
  <si>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</si>
  <si>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</si>
  <si>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</si>
  <si>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</si>
  <si>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</si>
  <si>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</si>
  <si>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</si>
  <si>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</si>
  <si>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</si>
  <si>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</si>
  <si>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</si>
  <si>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</si>
  <si>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</si>
  <si>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</si>
  <si>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</si>
  <si>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</si>
  <si>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</si>
  <si>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</si>
  <si>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</si>
  <si>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</si>
  <si>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</si>
  <si>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</si>
  <si>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</si>
  <si>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</si>
  <si>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</si>
  <si>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</si>
  <si>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</si>
  <si>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</si>
  <si>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</si>
  <si>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</si>
  <si>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</si>
  <si>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</si>
  <si>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</si>
  <si>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</si>
  <si>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</si>
  <si>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</si>
  <si>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</si>
  <si>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</si>
  <si>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</si>
  <si>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</si>
  <si>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</si>
  <si>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</si>
  <si>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</si>
  <si>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</si>
  <si>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</si>
  <si>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</si>
  <si>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</si>
  <si>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</si>
  <si>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</si>
  <si>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</si>
  <si>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</si>
  <si>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</si>
  <si>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</si>
  <si>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</si>
  <si>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</si>
  <si>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</si>
  <si>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</si>
  <si>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</si>
  <si>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</si>
  <si>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</si>
  <si>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</si>
  <si>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</si>
  <si>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</si>
  <si>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</si>
  <si>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</si>
  <si>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</si>
  <si>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</si>
  <si>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</si>
  <si>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</si>
  <si>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</si>
  <si>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</si>
  <si>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</si>
  <si>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</si>
  <si>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</si>
  <si>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</si>
  <si>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</si>
  <si>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</si>
  <si>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</si>
  <si>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</si>
  <si>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</si>
  <si>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</si>
  <si>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</si>
  <si>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</si>
  <si>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</si>
  <si>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</si>
  <si>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</si>
  <si>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</si>
  <si>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</si>
  <si>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</si>
  <si>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</si>
  <si>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</si>
  <si>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</si>
  <si>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</si>
  <si>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</si>
  <si>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</si>
  <si>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</si>
  <si>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</si>
  <si>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</si>
  <si>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</si>
  <si>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</si>
  <si>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</si>
  <si>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</si>
  <si>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</si>
  <si>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</si>
  <si>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</si>
  <si>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</si>
  <si>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</si>
  <si>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</si>
  <si>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</si>
  <si>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</si>
  <si>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</si>
  <si>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</si>
  <si>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</si>
  <si>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</si>
  <si>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</si>
  <si>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</si>
  <si>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</si>
  <si>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</si>
  <si>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</si>
  <si>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</si>
  <si>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</si>
  <si>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</si>
  <si>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</si>
  <si>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</si>
  <si>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</si>
  <si>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</si>
  <si>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</si>
  <si>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</si>
  <si>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</si>
  <si>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</si>
  <si>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</si>
  <si>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</si>
  <si>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</si>
  <si>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</si>
  <si>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</si>
  <si>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</si>
  <si>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</si>
  <si>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</si>
  <si>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</si>
  <si>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</si>
  <si>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</si>
  <si>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</si>
  <si>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</si>
  <si>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</si>
  <si>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</si>
  <si>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</si>
  <si>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</si>
  <si>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</si>
  <si>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</si>
  <si>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</si>
  <si>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</si>
  <si>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</si>
  <si>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</si>
  <si>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</si>
  <si>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</si>
  <si>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</si>
  <si>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</si>
  <si>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</si>
  <si>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</si>
  <si>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</si>
  <si>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</si>
  <si>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</si>
  <si>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</si>
  <si>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</si>
  <si>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</si>
  <si>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</si>
  <si>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</si>
  <si>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</si>
  <si>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</si>
  <si>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</si>
  <si>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</si>
  <si>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</si>
  <si>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</si>
  <si>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</si>
  <si>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</si>
  <si>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</si>
  <si>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</si>
  <si>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</si>
  <si>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</si>
  <si>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</si>
  <si>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</si>
  <si>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</si>
  <si>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</si>
  <si>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</si>
  <si>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</si>
  <si>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</si>
  <si>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</si>
  <si>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</si>
  <si>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</si>
  <si>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</si>
  <si>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</si>
  <si>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</si>
  <si>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</si>
  <si>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</si>
  <si>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</si>
  <si>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</si>
  <si>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</si>
  <si>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</si>
  <si>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</si>
  <si>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</si>
  <si>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</si>
  <si>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</si>
  <si>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</si>
  <si>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</si>
  <si>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</si>
  <si>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</si>
  <si>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</si>
  <si>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</si>
  <si>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</si>
  <si>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</si>
  <si>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</si>
  <si>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</si>
  <si>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</si>
  <si>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</si>
  <si>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</si>
  <si>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</si>
  <si>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</si>
  <si>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</si>
  <si>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</si>
  <si>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</si>
  <si>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</si>
  <si>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</si>
  <si>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</si>
  <si>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</si>
  <si>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</si>
  <si>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</si>
  <si>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</si>
  <si>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</si>
  <si>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</si>
  <si>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</si>
  <si>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</si>
  <si>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</si>
  <si>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</si>
  <si>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</si>
  <si>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</si>
  <si>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</si>
  <si>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</si>
  <si>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</si>
  <si>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</si>
  <si>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</si>
  <si>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</si>
  <si>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</si>
  <si>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</si>
  <si>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</si>
  <si>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</si>
  <si>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</si>
  <si>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</si>
  <si>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</si>
  <si>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</si>
  <si>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</si>
  <si>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</si>
  <si>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</si>
  <si>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</si>
  <si>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</si>
  <si>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</si>
  <si>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</si>
  <si>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</si>
  <si>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</si>
  <si>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</si>
  <si>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</si>
  <si>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</si>
  <si>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</si>
  <si>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</si>
  <si>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</si>
  <si>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</si>
  <si>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</si>
  <si>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</si>
  <si>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</si>
  <si>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</si>
  <si>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</si>
  <si>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</si>
  <si>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</si>
  <si>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</si>
  <si>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</si>
  <si>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</si>
  <si>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</si>
  <si>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</si>
  <si>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</si>
  <si>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</si>
  <si>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</si>
  <si>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</si>
  <si>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</si>
  <si>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</si>
  <si>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</si>
  <si>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</si>
  <si>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</si>
  <si>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</si>
  <si>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</si>
  <si>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</si>
  <si>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</si>
  <si>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</si>
  <si>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</si>
  <si>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</si>
  <si>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</si>
  <si>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</si>
  <si>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</si>
  <si>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</si>
  <si>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</si>
  <si>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</si>
  <si>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</si>
  <si>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</si>
  <si>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</si>
  <si>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</si>
  <si>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</si>
  <si>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</si>
  <si>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</si>
  <si>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</si>
  <si>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</si>
  <si>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</si>
  <si>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</si>
  <si>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</si>
  <si>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</si>
  <si>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</si>
  <si>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</si>
  <si>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</si>
  <si>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</si>
  <si>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</si>
  <si>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</si>
  <si>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</si>
  <si>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</si>
  <si>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</si>
  <si>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</si>
  <si>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</si>
  <si>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</si>
  <si>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</si>
  <si>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</si>
  <si>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</si>
  <si>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</si>
  <si>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</si>
  <si>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</si>
  <si>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</si>
  <si>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</si>
  <si>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</si>
  <si>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</si>
  <si>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</si>
  <si>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</si>
  <si>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</si>
  <si>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</si>
  <si>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</si>
  <si>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</si>
  <si>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</si>
  <si>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</si>
  <si>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</si>
  <si>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</si>
  <si>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</si>
  <si>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</si>
  <si>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</si>
  <si>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</si>
  <si>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</si>
  <si>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</si>
  <si>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</si>
  <si>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</si>
  <si>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</si>
  <si>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</si>
  <si>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</si>
  <si>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</si>
  <si>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</si>
  <si>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</si>
  <si>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</si>
  <si>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</si>
  <si>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</si>
  <si>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</si>
  <si>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</si>
  <si>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</si>
  <si>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</si>
  <si>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</si>
  <si>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</si>
  <si>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</si>
  <si>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</si>
  <si>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</si>
  <si>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</si>
  <si>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</si>
  <si>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</si>
  <si>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</si>
  <si>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</si>
  <si>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</si>
  <si>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</si>
  <si>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</si>
  <si>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</si>
  <si>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</si>
  <si>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</si>
  <si>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</si>
  <si>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</si>
  <si>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</si>
  <si>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</si>
  <si>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</si>
  <si>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</si>
  <si>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</si>
  <si>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</si>
  <si>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</si>
  <si>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</si>
  <si>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</si>
  <si>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</si>
  <si>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</si>
  <si>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</si>
  <si>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</si>
  <si>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</si>
  <si>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</si>
  <si>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</si>
  <si>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</si>
  <si>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</si>
  <si>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</si>
  <si>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</si>
  <si>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</si>
  <si>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</si>
  <si>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</si>
  <si>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</si>
  <si>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</si>
  <si>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</si>
  <si>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</si>
  <si>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</si>
  <si>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</si>
  <si>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</si>
  <si>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</si>
  <si>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</si>
  <si>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</si>
  <si>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</si>
  <si>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</si>
  <si>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</si>
  <si>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</si>
  <si>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</si>
  <si>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</si>
  <si>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</si>
  <si>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</si>
  <si>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</si>
  <si>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</si>
  <si>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</si>
  <si>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</si>
  <si>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</si>
  <si>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</si>
  <si>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</si>
  <si>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</si>
  <si>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</si>
  <si>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</si>
  <si>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</si>
  <si>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</si>
  <si>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</si>
  <si>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</si>
  <si>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</si>
  <si>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</si>
  <si>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</si>
  <si>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</si>
  <si>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</si>
  <si>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</si>
  <si>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</si>
  <si>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</si>
  <si>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</si>
  <si>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</si>
  <si>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</si>
  <si>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</si>
  <si>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</si>
  <si>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</si>
  <si>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</si>
  <si>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</si>
  <si>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</si>
  <si>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</si>
  <si>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</si>
  <si>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</si>
  <si>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</si>
  <si>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</si>
  <si>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</si>
  <si>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</si>
  <si>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</si>
  <si>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</si>
  <si>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</si>
  <si>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</si>
  <si>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</si>
  <si>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</si>
  <si>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</si>
  <si>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</si>
  <si>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</si>
  <si>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</si>
  <si>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</si>
  <si>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</si>
  <si>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</si>
  <si>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</si>
  <si>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</si>
  <si>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</si>
  <si>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</si>
  <si>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</si>
  <si>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</si>
  <si>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</si>
  <si>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</si>
  <si>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</si>
  <si>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</si>
  <si>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</si>
  <si>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</si>
  <si>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</si>
  <si>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</si>
  <si>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</si>
  <si>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</si>
  <si>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</si>
  <si>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</si>
  <si>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</si>
  <si>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</si>
  <si>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</si>
  <si>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</si>
  <si>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</si>
  <si>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</si>
  <si>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</si>
  <si>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</si>
  <si>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</si>
  <si>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</si>
  <si>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</si>
  <si>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</si>
  <si>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</si>
  <si>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</si>
  <si>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</si>
  <si>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</si>
  <si>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</si>
  <si>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</si>
  <si>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</si>
  <si>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</si>
  <si>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</si>
  <si>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</si>
  <si>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</si>
  <si>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</si>
  <si>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</si>
  <si>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</si>
  <si>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</si>
  <si>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</si>
  <si>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</si>
  <si>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</si>
  <si>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</si>
  <si>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</si>
  <si>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</si>
  <si>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</si>
  <si>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</si>
  <si>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</si>
  <si>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</si>
  <si>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</si>
  <si>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</si>
  <si>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</si>
  <si>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</si>
  <si>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</si>
  <si>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</si>
  <si>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</si>
  <si>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</si>
  <si>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</si>
  <si>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</si>
  <si>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</si>
  <si>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</si>
  <si>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</si>
  <si>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</si>
  <si>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</si>
  <si>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</si>
  <si>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</si>
  <si>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</si>
  <si>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</si>
  <si>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</si>
  <si>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</si>
  <si>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</si>
  <si>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</si>
  <si>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</si>
  <si>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</si>
  <si>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</si>
  <si>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</si>
  <si>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</si>
  <si>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</si>
  <si>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</si>
  <si>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</si>
  <si>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</si>
  <si>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</si>
  <si>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</si>
  <si>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</si>
  <si>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</si>
  <si>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</si>
  <si>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</si>
  <si>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</si>
  <si>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</si>
  <si>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</si>
  <si>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</si>
  <si>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</si>
  <si>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</si>
  <si>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</si>
  <si>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</si>
  <si>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</si>
  <si>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</si>
  <si>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</si>
  <si>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</si>
  <si>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</si>
  <si>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</si>
  <si>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</si>
  <si>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</si>
  <si>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</si>
  <si>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</si>
  <si>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</si>
  <si>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</si>
  <si>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</si>
  <si>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</si>
  <si>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</si>
  <si>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</si>
  <si>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</si>
  <si>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</si>
  <si>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</si>
  <si>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</si>
  <si>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</si>
  <si>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</si>
  <si>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</si>
  <si>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</si>
  <si>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</si>
  <si>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</si>
  <si>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</si>
  <si>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</si>
  <si>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</si>
  <si>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</si>
  <si>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</si>
  <si>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</si>
  <si>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</si>
  <si>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</si>
  <si>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</si>
  <si>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</si>
  <si>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</si>
  <si>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</si>
  <si>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</si>
  <si>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</si>
  <si>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</si>
  <si>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</si>
  <si>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</si>
  <si>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</si>
  <si>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</si>
  <si>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</si>
  <si>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</si>
  <si>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</si>
  <si>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</si>
  <si>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</si>
  <si>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</si>
  <si>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</si>
  <si>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</si>
  <si>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</si>
  <si>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</si>
  <si>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</si>
  <si>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</si>
  <si>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</si>
  <si>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</si>
  <si>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</si>
  <si>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</si>
  <si>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</si>
  <si>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</si>
  <si>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</si>
  <si>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</si>
  <si>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</si>
  <si>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</si>
  <si>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</si>
  <si>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</si>
  <si>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</si>
  <si>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</si>
  <si>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</si>
  <si>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</si>
  <si>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</si>
  <si>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</si>
  <si>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</si>
  <si>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</si>
  <si>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</si>
  <si>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</si>
  <si>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</si>
  <si>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</si>
  <si>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</si>
  <si>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</si>
  <si>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</si>
  <si>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</si>
  <si>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</si>
  <si>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</si>
  <si>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</si>
  <si>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</si>
  <si>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</si>
  <si>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</si>
  <si>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</si>
  <si>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</si>
  <si>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</si>
  <si>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</si>
  <si>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</si>
  <si>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</si>
  <si>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</si>
  <si>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</si>
  <si>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</si>
  <si>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</si>
  <si>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</si>
  <si>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</si>
  <si>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</si>
  <si>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</si>
  <si>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</si>
  <si>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</si>
  <si>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</si>
  <si>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</si>
  <si>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</si>
  <si>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</si>
  <si>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</si>
  <si>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</si>
  <si>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</si>
  <si>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</si>
  <si>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</si>
  <si>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</si>
  <si>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</si>
  <si>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</si>
  <si>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</si>
  <si>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</si>
  <si>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</si>
  <si>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</si>
  <si>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</si>
  <si>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</si>
  <si>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</si>
  <si>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</si>
  <si>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</si>
  <si>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</si>
  <si>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</si>
  <si>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</si>
  <si>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</si>
  <si>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</si>
  <si>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</si>
  <si>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</si>
  <si>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</si>
  <si>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</si>
  <si>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</si>
  <si>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</si>
  <si>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</si>
  <si>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</si>
  <si>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</si>
  <si>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</si>
  <si>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</si>
  <si>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</si>
  <si>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</si>
  <si>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</si>
  <si>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</si>
  <si>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</si>
  <si>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</si>
  <si>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</si>
  <si>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</si>
  <si>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</si>
  <si>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</si>
  <si>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</si>
  <si>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</si>
  <si>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</si>
  <si>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</si>
  <si>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</si>
  <si>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</si>
  <si>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</si>
  <si>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</si>
  <si>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</si>
  <si>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</si>
  <si>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</si>
  <si>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</si>
  <si>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</si>
  <si>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</si>
  <si>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</si>
  <si>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</si>
  <si>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</si>
  <si>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</si>
  <si>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</si>
  <si>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</si>
  <si>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</si>
  <si>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</si>
  <si>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</si>
  <si>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</si>
  <si>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</si>
  <si>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</si>
  <si>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</si>
  <si>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</si>
  <si>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</si>
  <si>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</si>
  <si>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</si>
  <si>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</si>
  <si>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</si>
  <si>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</si>
  <si>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</si>
  <si>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</si>
  <si>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</si>
  <si>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</si>
  <si>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</si>
  <si>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</si>
  <si>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</si>
  <si>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</si>
  <si>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</si>
  <si>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</si>
  <si>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</si>
  <si>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</si>
  <si>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</si>
  <si>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</si>
  <si>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</si>
  <si>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</si>
  <si>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</si>
  <si>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</si>
  <si>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</si>
  <si>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</si>
  <si>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</si>
  <si>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</si>
  <si>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</si>
  <si>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</si>
  <si>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</si>
  <si>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</si>
  <si>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</si>
  <si>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</si>
  <si>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</si>
  <si>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</si>
  <si>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</si>
  <si>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</si>
  <si>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</si>
  <si>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</si>
  <si>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</si>
  <si>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</si>
  <si>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</si>
  <si>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</si>
  <si>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</si>
  <si>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</si>
  <si>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</si>
  <si>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</si>
  <si>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</si>
  <si>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</si>
  <si>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</si>
  <si>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</si>
  <si>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</si>
  <si>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</si>
  <si>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</si>
  <si>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</si>
  <si>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</si>
  <si>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</si>
  <si>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</si>
  <si>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</si>
  <si>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</si>
  <si>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</si>
  <si>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</si>
  <si>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</si>
  <si>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</si>
  <si>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</si>
  <si>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</si>
  <si>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</si>
  <si>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</si>
  <si>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</si>
  <si>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</si>
  <si>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</si>
  <si>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</si>
  <si>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</si>
  <si>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</si>
  <si>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</si>
  <si>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</si>
  <si>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</si>
  <si>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</si>
  <si>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</si>
  <si>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</si>
  <si>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</si>
  <si>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</si>
  <si>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</si>
  <si>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</si>
  <si>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</si>
  <si>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</si>
  <si>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</si>
  <si>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</si>
  <si>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</si>
  <si>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</si>
  <si>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</si>
  <si>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</si>
  <si>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</si>
  <si>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</si>
  <si>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</si>
  <si>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</si>
  <si>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</si>
  <si>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</si>
  <si>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</si>
  <si>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</si>
  <si>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</si>
  <si>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</si>
  <si>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</si>
  <si>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</si>
  <si>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</si>
  <si>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</si>
  <si>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</si>
  <si>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</si>
  <si>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</si>
  <si>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</si>
  <si>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</si>
  <si>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</si>
  <si>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</si>
  <si>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</si>
  <si>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</si>
  <si>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</si>
  <si>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</si>
  <si>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</si>
  <si>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</si>
  <si>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</si>
  <si>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</si>
  <si>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</si>
  <si>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</si>
  <si>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</si>
  <si>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</si>
  <si>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</si>
  <si>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</si>
  <si>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</si>
  <si>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</si>
  <si>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</si>
  <si>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</si>
  <si>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</si>
  <si>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</si>
  <si>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</si>
  <si>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</si>
  <si>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</si>
  <si>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</si>
  <si>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</si>
  <si>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</si>
  <si>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</si>
  <si>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</si>
  <si>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</si>
  <si>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</si>
  <si>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</si>
  <si>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</si>
  <si>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</si>
  <si>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</si>
  <si>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</si>
  <si>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</si>
  <si>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</si>
  <si>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</si>
  <si>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</si>
  <si>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</si>
  <si>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</si>
  <si>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</si>
  <si>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</si>
  <si>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</si>
  <si>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</si>
  <si>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</si>
  <si>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</si>
  <si>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</si>
  <si>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</si>
  <si>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</si>
  <si>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</si>
  <si>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</si>
  <si>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</si>
  <si>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</si>
  <si>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</si>
  <si>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</si>
  <si>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</si>
  <si>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</si>
  <si>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</si>
  <si>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</si>
  <si>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</si>
  <si>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</si>
  <si>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</si>
  <si>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</si>
  <si>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</si>
  <si>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</si>
  <si>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</si>
  <si>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</si>
  <si>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</si>
  <si>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</si>
  <si>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</si>
  <si>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</si>
  <si>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</si>
  <si>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</si>
  <si>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</si>
  <si>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</si>
  <si>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</si>
  <si>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</si>
  <si>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</si>
  <si>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</si>
  <si>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</si>
  <si>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</si>
  <si>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</si>
  <si>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</si>
  <si>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</si>
  <si>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</si>
  <si>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</si>
  <si>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</si>
  <si>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</si>
  <si>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</si>
  <si>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</si>
  <si>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</si>
  <si>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</si>
  <si>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</si>
  <si>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</si>
  <si>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</si>
  <si>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</si>
  <si>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</si>
  <si>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</si>
  <si>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</si>
  <si>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</si>
  <si>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</si>
  <si>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</si>
  <si>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</si>
  <si>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</si>
  <si>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</si>
  <si>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</si>
  <si>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</si>
  <si>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</si>
  <si>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</si>
  <si>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</si>
  <si>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</si>
  <si>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</si>
  <si>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</si>
  <si>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</si>
  <si>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</si>
  <si>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</si>
  <si>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</si>
  <si>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</si>
  <si>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</si>
  <si>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</si>
  <si>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</si>
  <si>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</si>
  <si>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</si>
  <si>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</si>
  <si>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</si>
  <si>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</si>
  <si>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</si>
  <si>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</si>
  <si>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</si>
  <si>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</si>
  <si>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</si>
  <si>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</si>
  <si>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</si>
  <si>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</si>
  <si>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</si>
  <si>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</si>
  <si>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</si>
  <si>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</si>
  <si>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</si>
  <si>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</si>
  <si>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</si>
  <si>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</si>
  <si>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</si>
  <si>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</si>
  <si>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</si>
  <si>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</si>
  <si>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</si>
  <si>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</si>
  <si>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</si>
  <si>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</si>
  <si>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</si>
  <si>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</si>
  <si>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</si>
  <si>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</si>
  <si>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</si>
  <si>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</si>
  <si>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</si>
  <si>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</si>
  <si>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</si>
  <si>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</si>
  <si>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</si>
  <si>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</si>
  <si>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</si>
  <si>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</si>
  <si>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</si>
  <si>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</si>
  <si>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</si>
  <si>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</si>
  <si>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</si>
  <si>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</si>
  <si>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</si>
  <si>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</si>
  <si>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</si>
  <si>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</si>
  <si>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</si>
  <si>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</si>
  <si>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</si>
  <si>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</si>
  <si>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</si>
  <si>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</si>
  <si>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</si>
  <si>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</si>
  <si>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</si>
  <si>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</si>
  <si>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</si>
  <si>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</si>
  <si>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</si>
  <si>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</si>
  <si>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</si>
  <si>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</si>
  <si>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</si>
  <si>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</si>
  <si>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</si>
  <si>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</si>
  <si>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</si>
  <si>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</si>
  <si>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</si>
  <si>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</si>
  <si>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</si>
  <si>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</si>
  <si>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</si>
  <si>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</si>
  <si>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</si>
  <si>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</si>
  <si>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</si>
  <si>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</si>
  <si>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</si>
  <si>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</si>
  <si>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</si>
  <si>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</si>
  <si>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</si>
  <si>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</si>
  <si>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</si>
  <si>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</si>
  <si>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</si>
  <si>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</si>
  <si>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</si>
  <si>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</si>
  <si>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</si>
  <si>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</si>
  <si>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</si>
  <si>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</si>
  <si>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</si>
  <si>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</si>
  <si>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</si>
  <si>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</si>
  <si>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</si>
  <si>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</si>
  <si>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</si>
  <si>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</si>
  <si>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</si>
  <si>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</si>
  <si>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</si>
  <si>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</si>
  <si>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</si>
  <si>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</si>
  <si>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</si>
  <si>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</si>
  <si>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</si>
  <si>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</si>
  <si>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</si>
  <si>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</si>
  <si>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</si>
  <si>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</si>
  <si>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</si>
  <si>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</si>
  <si>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</si>
  <si>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</si>
  <si>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</si>
  <si>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</si>
  <si>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</si>
  <si>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</si>
  <si>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</si>
  <si>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</si>
  <si>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</si>
  <si>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</si>
  <si>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</si>
  <si>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</si>
  <si>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</si>
  <si>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</si>
  <si>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</si>
  <si>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</si>
  <si>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</si>
  <si>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</si>
  <si>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</si>
  <si>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</si>
  <si>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</si>
  <si>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</si>
  <si>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</si>
  <si>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</si>
  <si>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</si>
  <si>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</si>
  <si>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</si>
  <si>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</si>
  <si>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</si>
  <si>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</si>
  <si>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</si>
  <si>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</si>
  <si>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</si>
  <si>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</si>
  <si>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</si>
  <si>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</si>
  <si>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</si>
  <si>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</si>
  <si>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</si>
  <si>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</si>
  <si>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</si>
  <si>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</si>
  <si>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</si>
  <si>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</si>
  <si>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</si>
  <si>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</si>
  <si>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</si>
  <si>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</si>
  <si>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</si>
  <si>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</si>
  <si>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</si>
  <si>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</si>
  <si>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</si>
  <si>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</si>
  <si>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</si>
  <si>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</si>
  <si>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</si>
  <si>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</si>
  <si>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</si>
  <si>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</si>
  <si>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</si>
  <si>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</si>
  <si>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</si>
  <si>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</si>
  <si>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</si>
  <si>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</si>
  <si>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</si>
  <si>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</si>
  <si>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</si>
  <si>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</si>
  <si>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</si>
  <si>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</si>
  <si>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</si>
  <si>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</si>
  <si>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</si>
  <si>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</si>
  <si>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</si>
  <si>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</si>
  <si>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</si>
  <si>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</si>
  <si>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</si>
  <si>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</si>
  <si>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</si>
  <si>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</si>
  <si>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</si>
  <si>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</si>
  <si>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</si>
  <si>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</si>
  <si>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</si>
  <si>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</si>
  <si>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</si>
  <si>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</si>
  <si>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</si>
  <si>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</si>
  <si>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</si>
  <si>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</si>
  <si>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</si>
  <si>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</si>
  <si>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</si>
  <si>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</si>
  <si>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</si>
  <si>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</si>
  <si>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</si>
  <si>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</si>
  <si>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</si>
  <si>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</si>
  <si>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</si>
  <si>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</si>
  <si>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</si>
  <si>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</si>
  <si>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</si>
  <si>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</si>
  <si>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</si>
  <si>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</si>
  <si>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</si>
  <si>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</si>
  <si>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</si>
  <si>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</si>
  <si>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</si>
  <si>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</si>
  <si>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</si>
  <si>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</si>
  <si>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</si>
  <si>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</si>
  <si>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</si>
  <si>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</si>
  <si>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</si>
  <si>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</si>
  <si>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</si>
  <si>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</si>
  <si>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</si>
  <si>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</si>
  <si>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</si>
  <si>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</si>
  <si>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</si>
  <si>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</si>
  <si>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</si>
  <si>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</si>
  <si>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</si>
  <si>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</si>
  <si>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</si>
  <si>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</si>
  <si>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</si>
  <si>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</si>
  <si>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</si>
  <si>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</si>
  <si>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</si>
  <si>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</si>
  <si>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</si>
  <si>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</si>
  <si>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</si>
  <si>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</si>
  <si>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</si>
  <si>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</si>
  <si>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</si>
  <si>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</si>
  <si>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</si>
  <si>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</si>
  <si>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</si>
  <si>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</si>
  <si>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</si>
  <si>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</si>
  <si>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</si>
  <si>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</si>
  <si>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</si>
  <si>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</si>
  <si>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</si>
  <si>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</si>
  <si>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</si>
  <si>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</si>
  <si>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</si>
  <si>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</si>
  <si>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</si>
  <si>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</si>
  <si>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</si>
  <si>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</si>
  <si>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</si>
  <si>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</si>
  <si>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</si>
  <si>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</si>
  <si>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</si>
  <si>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</si>
  <si>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</si>
  <si>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</si>
  <si>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</si>
  <si>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</si>
  <si>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</si>
  <si>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</si>
  <si>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</si>
  <si>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</si>
  <si>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</si>
  <si>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</si>
  <si>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</si>
  <si>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</si>
  <si>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</si>
  <si>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</si>
  <si>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</si>
  <si>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</si>
  <si>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</si>
  <si>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</si>
  <si>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</si>
  <si>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</si>
  <si>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</si>
  <si>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</si>
  <si>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</si>
  <si>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</si>
  <si>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</si>
  <si>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</si>
  <si>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</si>
  <si>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</si>
  <si>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</si>
  <si>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</si>
  <si>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</si>
  <si>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</si>
  <si>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</si>
  <si>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</si>
  <si>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</si>
  <si>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</si>
  <si>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</si>
  <si>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</si>
  <si>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</si>
  <si>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</si>
  <si>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</si>
  <si>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</si>
  <si>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</si>
  <si>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</si>
  <si>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</si>
  <si>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</si>
  <si>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</si>
  <si>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</si>
  <si>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</si>
  <si>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</si>
  <si>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</si>
  <si>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</si>
  <si>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</si>
  <si>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</si>
  <si>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</si>
  <si>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</si>
  <si>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</si>
  <si>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</si>
  <si>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</si>
  <si>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</si>
  <si>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</si>
  <si>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</si>
  <si>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</si>
  <si>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</si>
  <si>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</si>
  <si>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</si>
  <si>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</si>
  <si>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</si>
  <si>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</si>
  <si>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</si>
  <si>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</si>
  <si>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</si>
  <si>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</si>
  <si>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</si>
  <si>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</si>
  <si>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</si>
  <si>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</si>
  <si>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</si>
  <si>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</si>
  <si>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</si>
  <si>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</si>
  <si>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</si>
  <si>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</si>
  <si>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</si>
  <si>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</si>
  <si>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</si>
  <si>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</si>
  <si>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</si>
  <si>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</si>
  <si>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</si>
  <si>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</si>
  <si>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</si>
  <si>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</si>
  <si>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</si>
  <si>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</si>
  <si>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</si>
  <si>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</si>
  <si>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</si>
  <si>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</si>
  <si>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</si>
  <si>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</si>
  <si>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</si>
  <si>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</si>
  <si>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</si>
  <si>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</si>
  <si>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成新度</t>
  </si>
  <si>
    <t>地上</t>
  </si>
  <si>
    <t>是</t>
  </si>
  <si>
    <t>商业</t>
    <phoneticPr fontId="7" type="noConversion"/>
  </si>
  <si>
    <t>直线</t>
    <phoneticPr fontId="3" type="noConversion"/>
  </si>
  <si>
    <t>观察</t>
    <phoneticPr fontId="3" type="noConversion"/>
  </si>
  <si>
    <t>Ⅱ—13</t>
  </si>
  <si>
    <t>楼层修正</t>
  </si>
  <si>
    <t>不临65条商业街</t>
  </si>
  <si>
    <t>与级别开发程度一致</t>
  </si>
  <si>
    <t>按公示增长率计算</t>
  </si>
  <si>
    <t>中心城区</t>
  </si>
  <si>
    <t>未包含在土地购买价格中</t>
  </si>
  <si>
    <t>全部缴纳</t>
  </si>
  <si>
    <t>已包含在土地取得成本中</t>
  </si>
  <si>
    <t>押一</t>
  </si>
  <si>
    <t>钢混</t>
  </si>
  <si>
    <t>非生产用房</t>
  </si>
  <si>
    <t>否</t>
  </si>
  <si>
    <t>成本法</t>
  </si>
  <si>
    <t>起始</t>
    <phoneticPr fontId="134" type="noConversion"/>
  </si>
  <si>
    <t>终止</t>
    <phoneticPr fontId="134" type="noConversion"/>
  </si>
  <si>
    <t>月租金（元）</t>
    <phoneticPr fontId="134" type="noConversion"/>
  </si>
  <si>
    <t>年租金（元）</t>
    <phoneticPr fontId="134" type="noConversion"/>
  </si>
  <si>
    <t>年限</t>
    <phoneticPr fontId="134" type="noConversion"/>
  </si>
  <si>
    <t>建筑面积</t>
    <phoneticPr fontId="134" type="noConversion"/>
  </si>
  <si>
    <t>日租金</t>
    <phoneticPr fontId="134" type="noConversion"/>
  </si>
  <si>
    <t>年增长率</t>
    <phoneticPr fontId="134" type="noConversion"/>
  </si>
  <si>
    <t>价值时点</t>
    <phoneticPr fontId="134" type="noConversion"/>
  </si>
  <si>
    <t>剩余租赁期</t>
  </si>
  <si>
    <t>平均日租金</t>
  </si>
  <si>
    <t>收益期内总收益</t>
  </si>
  <si>
    <t>估价对象总面积</t>
  </si>
  <si>
    <t>市调租金</t>
  </si>
  <si>
    <t>市调增长率</t>
  </si>
  <si>
    <t>租期结束后日租金</t>
  </si>
  <si>
    <t>1层</t>
    <phoneticPr fontId="134" type="noConversion"/>
  </si>
  <si>
    <t>2层</t>
    <phoneticPr fontId="134" type="noConversion"/>
  </si>
  <si>
    <t>3层</t>
    <phoneticPr fontId="134" type="noConversion"/>
  </si>
  <si>
    <t>建筑面积</t>
    <phoneticPr fontId="134" type="noConversion"/>
  </si>
  <si>
    <t>系数</t>
    <phoneticPr fontId="134" type="noConversion"/>
  </si>
  <si>
    <t>租金</t>
    <phoneticPr fontId="134" type="noConversion"/>
  </si>
  <si>
    <t>容积率修正</t>
  </si>
  <si>
    <t>自定义容积率</t>
  </si>
  <si>
    <t>较好</t>
  </si>
  <si>
    <t>好</t>
  </si>
  <si>
    <t>办公</t>
    <phoneticPr fontId="7" type="noConversion"/>
  </si>
  <si>
    <t xml:space="preserve">办公收益法 </t>
  </si>
  <si>
    <t xml:space="preserve">办公收益法 </t>
    <phoneticPr fontId="16" type="noConversion"/>
  </si>
  <si>
    <t>收益法（汇总）</t>
  </si>
  <si>
    <t>空置率</t>
    <phoneticPr fontId="134" type="noConversion"/>
  </si>
  <si>
    <t>合计</t>
    <phoneticPr fontId="134" type="noConversion"/>
  </si>
  <si>
    <r>
      <t>3年</t>
    </r>
    <r>
      <rPr>
        <sz val="11"/>
        <color theme="1"/>
        <rFont val="宋体"/>
        <family val="3"/>
        <charset val="134"/>
        <scheme val="minor"/>
      </rPr>
      <t>5%</t>
    </r>
    <phoneticPr fontId="134" type="noConversion"/>
  </si>
  <si>
    <t>商业收益法</t>
  </si>
  <si>
    <t>商业收益法</t>
    <phoneticPr fontId="16" type="noConversion"/>
  </si>
  <si>
    <t>挂牌</t>
    <phoneticPr fontId="3" type="noConversion"/>
  </si>
  <si>
    <r>
      <t>35-40</t>
    </r>
    <r>
      <rPr>
        <sz val="11"/>
        <rFont val="宋体"/>
        <family val="3"/>
        <charset val="134"/>
      </rPr>
      <t>年</t>
    </r>
    <phoneticPr fontId="3" type="noConversion"/>
  </si>
  <si>
    <r>
      <t>30-35</t>
    </r>
    <r>
      <rPr>
        <sz val="11"/>
        <rFont val="宋体"/>
        <family val="3"/>
        <charset val="134"/>
      </rPr>
      <t>年</t>
    </r>
    <phoneticPr fontId="3" type="noConversion"/>
  </si>
  <si>
    <r>
      <t>25-30</t>
    </r>
    <r>
      <rPr>
        <sz val="11"/>
        <rFont val="宋体"/>
        <family val="3"/>
        <charset val="134"/>
      </rPr>
      <t>年</t>
    </r>
    <phoneticPr fontId="3" type="noConversion"/>
  </si>
  <si>
    <r>
      <t>20-25</t>
    </r>
    <r>
      <rPr>
        <sz val="11"/>
        <rFont val="宋体"/>
        <family val="3"/>
        <charset val="134"/>
      </rPr>
      <t>年</t>
    </r>
    <phoneticPr fontId="3" type="noConversion"/>
  </si>
  <si>
    <r>
      <t>15-20</t>
    </r>
    <r>
      <rPr>
        <sz val="11"/>
        <rFont val="宋体"/>
        <family val="3"/>
        <charset val="134"/>
      </rPr>
      <t>年</t>
    </r>
    <phoneticPr fontId="3" type="noConversion"/>
  </si>
  <si>
    <r>
      <t>10-15</t>
    </r>
    <r>
      <rPr>
        <sz val="11"/>
        <rFont val="宋体"/>
        <family val="3"/>
        <charset val="134"/>
      </rPr>
      <t>年</t>
    </r>
    <phoneticPr fontId="3" type="noConversion"/>
  </si>
  <si>
    <t>街角地</t>
  </si>
  <si>
    <t>多面临街</t>
  </si>
  <si>
    <t>双面临街</t>
  </si>
  <si>
    <t>单面临街</t>
  </si>
  <si>
    <t>不临街</t>
  </si>
  <si>
    <t>外铺</t>
    <phoneticPr fontId="3" type="noConversion"/>
  </si>
  <si>
    <t>内铺</t>
    <phoneticPr fontId="3" type="noConversion"/>
  </si>
  <si>
    <t>大</t>
  </si>
  <si>
    <t>较大</t>
  </si>
  <si>
    <t>一般</t>
  </si>
  <si>
    <t>较小</t>
  </si>
  <si>
    <t>小</t>
  </si>
  <si>
    <t>一层</t>
  </si>
  <si>
    <t>二层</t>
  </si>
  <si>
    <t>地下一层</t>
    <phoneticPr fontId="3" type="noConversion"/>
  </si>
  <si>
    <t>商场</t>
    <phoneticPr fontId="134" type="noConversion"/>
  </si>
  <si>
    <t>步行街</t>
    <phoneticPr fontId="134" type="noConversion"/>
  </si>
  <si>
    <t>住宅配套商业</t>
  </si>
  <si>
    <t>写字楼底商</t>
  </si>
  <si>
    <t>砖混</t>
    <phoneticPr fontId="3" type="noConversion"/>
  </si>
  <si>
    <t>精装修</t>
  </si>
  <si>
    <t>普通装修</t>
  </si>
  <si>
    <t>七通</t>
  </si>
  <si>
    <t>六通</t>
  </si>
  <si>
    <t>五通</t>
  </si>
  <si>
    <t>可餐饮</t>
  </si>
  <si>
    <t>不可餐饮</t>
  </si>
  <si>
    <t>较适宜</t>
  </si>
  <si>
    <t>简单装修</t>
  </si>
  <si>
    <t>毛坯</t>
  </si>
  <si>
    <t>较好</t>
    <phoneticPr fontId="30" type="noConversion"/>
  </si>
  <si>
    <t>独立商业楼</t>
  </si>
  <si>
    <t>独立商业楼</t>
    <phoneticPr fontId="30" type="noConversion"/>
  </si>
  <si>
    <t>4-5米</t>
  </si>
  <si>
    <t>4-5米</t>
    <phoneticPr fontId="30" type="noConversion"/>
  </si>
  <si>
    <r>
      <t>3-4</t>
    </r>
    <r>
      <rPr>
        <sz val="11"/>
        <color indexed="8"/>
        <rFont val="宋体"/>
        <family val="3"/>
        <charset val="134"/>
      </rPr>
      <t>米</t>
    </r>
    <phoneticPr fontId="30" type="noConversion"/>
  </si>
  <si>
    <t>3-4米</t>
  </si>
  <si>
    <t>正常</t>
  </si>
  <si>
    <t>挂牌</t>
  </si>
  <si>
    <t>日坛晶华</t>
    <phoneticPr fontId="3" type="noConversion"/>
  </si>
  <si>
    <t>禾风仕家</t>
    <phoneticPr fontId="3" type="noConversion"/>
  </si>
  <si>
    <t>东四西大街</t>
    <phoneticPr fontId="3" type="noConversion"/>
  </si>
  <si>
    <t>商业</t>
    <phoneticPr fontId="30" type="noConversion"/>
  </si>
  <si>
    <t>项目模式</t>
  </si>
  <si>
    <t>租金</t>
  </si>
  <si>
    <t>佳汇中心</t>
    <phoneticPr fontId="3" type="noConversion"/>
  </si>
  <si>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</si>
  <si>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</si>
  <si>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</si>
  <si>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</si>
  <si>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</si>
  <si>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</si>
  <si>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</si>
  <si>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</si>
  <si>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</si>
  <si>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中高层建筑</t>
  </si>
  <si>
    <t>多层建筑</t>
  </si>
  <si>
    <t>甲级</t>
  </si>
  <si>
    <t>专业</t>
  </si>
  <si>
    <t>普通</t>
  </si>
  <si>
    <t>标准</t>
  </si>
  <si>
    <t>挂牌</t>
    <phoneticPr fontId="31" type="noConversion"/>
  </si>
  <si>
    <t>办公</t>
    <phoneticPr fontId="31" type="noConversion"/>
  </si>
  <si>
    <t>高区</t>
  </si>
  <si>
    <t>高区</t>
    <phoneticPr fontId="31" type="noConversion"/>
  </si>
  <si>
    <t>中区</t>
    <phoneticPr fontId="31" type="noConversion"/>
  </si>
  <si>
    <t>低区</t>
  </si>
  <si>
    <t>低区</t>
    <phoneticPr fontId="31" type="noConversion"/>
  </si>
  <si>
    <t>吉市口东路</t>
    <phoneticPr fontId="31"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</si>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</sst>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12" borderId="0" xfId="0" applyFont="1" applyFill="1" applyProtection="1">
      <alignment vertical="center"/>
      <protection locked="0"/>
    </xf>
    <xf numFmtId="14" fontId="0" fillId="0" borderId="0" xfId="0" applyNumberFormat="1" applyAlignment="1">
      <alignment horizontal="left" vertical="center"/>
    </xf>
    <xf numFmtId="0" fontId="19" fillId="7" borderId="1" xfId="4" applyFont="1" applyFill="1" applyBorder="1" applyAlignment="1">
      <alignment horizontal="left" vertical="center"/>
    </xf>
    <xf numFmtId="0" fontId="19" fillId="0" borderId="1" xfId="4" applyFont="1" applyBorder="1" applyAlignment="1">
      <alignment horizontal="left" vertical="center"/>
    </xf>
    <xf numFmtId="10" fontId="19" fillId="0" borderId="1" xfId="4" applyNumberFormat="1" applyFont="1" applyBorder="1" applyAlignment="1">
      <alignment horizontal="left" vertical="center"/>
    </xf>
    <xf numFmtId="14" fontId="95" fillId="0" borderId="0" xfId="0" applyNumberFormat="1" applyFont="1" applyAlignment="1">
      <alignment horizontal="left" vertical="center"/>
    </xf>
    <xf numFmtId="9" fontId="0" fillId="0" borderId="0" xfId="0" applyNumberFormat="1" applyAlignment="1">
      <alignment horizontal="left" vertical="center"/>
    </xf>
    <xf numFmtId="0" fontId="271" fillId="0" borderId="1" xfId="0" applyFont="1" applyBorder="1" applyAlignment="1" applyProtection="1">
      <alignment horizontal="left" vertical="center" wrapText="1"/>
      <protection locked="0"/>
    </xf>
    <xf numFmtId="0" fontId="47" fillId="0" borderId="1" xfId="0" applyFont="1" applyBorder="1" applyAlignment="1" applyProtection="1">
      <alignment horizontal="left" vertical="center" wrapText="1"/>
      <protection locked="0"/>
    </xf>
    <xf numFmtId="0" fontId="0" fillId="0" borderId="1" xfId="0" applyBorder="1" applyAlignment="1">
      <alignment horizontal="left" vertical="center"/>
    </xf>
    <xf numFmtId="14" fontId="0" fillId="0" borderId="1" xfId="0" applyNumberFormat="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246" fillId="6" borderId="60" xfId="0" applyFont="1" applyFill="1" applyBorder="1" applyAlignment="1">
      <alignment horizontal="left" vertical="center"/>
    </xf>
    <xf numFmtId="0" fontId="95" fillId="6" borderId="0" xfId="0" applyFont="1" applyFill="1" applyAlignment="1">
      <alignment horizontal="center" vertical="center" wrapText="1"/>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76200</xdr:rowOff>
    </xdr:from>
    <xdr:to>
      <xdr:col>7</xdr:col>
      <xdr:colOff>590550</xdr:colOff>
      <xdr:row>52</xdr:row>
      <xdr:rowOff>113420</xdr:rowOff>
    </xdr:to>
    <xdr:pic>
      <xdr:nvPicPr>
        <xdr:cNvPr id="2" name="图片 1">
          <a:extLst>
            <a:ext uri="{FF2B5EF4-FFF2-40B4-BE49-F238E27FC236}">
              <a16:creationId xmlns:a16="http://schemas.microsoft.com/office/drawing/2014/main" id="{E912507D-9A2D-A5BC-5B32-AC10BEABCCD5}"/>
            </a:ext>
          </a:extLst>
        </xdr:cNvPr>
        <xdr:cNvPicPr>
          <a:picLocks noChangeAspect="1"/>
        </xdr:cNvPicPr>
      </xdr:nvPicPr>
      <xdr:blipFill rotWithShape="1">
        <a:blip xmlns:r="http://schemas.openxmlformats.org/officeDocument/2006/relationships" r:embed="rId1"/>
        <a:srcRect l="31949" t="21518" r="22143"/>
        <a:stretch>
          <a:fillRect/>
        </a:stretch>
      </xdr:blipFill>
      <xdr:spPr>
        <a:xfrm>
          <a:off x="0" y="3505200"/>
          <a:ext cx="6296025" cy="5523620"/>
        </a:xfrm>
        <a:prstGeom prst="rect">
          <a:avLst/>
        </a:prstGeom>
      </xdr:spPr>
    </xdr:pic>
    <xdr:clientData/>
  </xdr:twoCellAnchor>
  <xdr:twoCellAnchor editAs="oneCell">
    <xdr:from>
      <xdr:col>7</xdr:col>
      <xdr:colOff>571500</xdr:colOff>
      <xdr:row>19</xdr:row>
      <xdr:rowOff>142748</xdr:rowOff>
    </xdr:from>
    <xdr:to>
      <xdr:col>14</xdr:col>
      <xdr:colOff>265901</xdr:colOff>
      <xdr:row>53</xdr:row>
      <xdr:rowOff>100</xdr:rowOff>
    </xdr:to>
    <xdr:pic>
      <xdr:nvPicPr>
        <xdr:cNvPr id="3" name="图片 2">
          <a:extLst>
            <a:ext uri="{FF2B5EF4-FFF2-40B4-BE49-F238E27FC236}">
              <a16:creationId xmlns:a16="http://schemas.microsoft.com/office/drawing/2014/main" id="{30C4AE6B-30D0-44ED-3CB4-827EB936E343}"/>
            </a:ext>
          </a:extLst>
        </xdr:cNvPr>
        <xdr:cNvPicPr>
          <a:picLocks noChangeAspect="1"/>
        </xdr:cNvPicPr>
      </xdr:nvPicPr>
      <xdr:blipFill>
        <a:blip xmlns:r="http://schemas.openxmlformats.org/officeDocument/2006/relationships" r:embed="rId2"/>
        <a:stretch>
          <a:fillRect/>
        </a:stretch>
      </xdr:blipFill>
      <xdr:spPr>
        <a:xfrm>
          <a:off x="6276975" y="3400298"/>
          <a:ext cx="5695151" cy="5686652"/>
        </a:xfrm>
        <a:prstGeom prst="rect">
          <a:avLst/>
        </a:prstGeom>
      </xdr:spPr>
    </xdr:pic>
    <xdr:clientData/>
  </xdr:twoCellAnchor>
  <xdr:twoCellAnchor editAs="oneCell">
    <xdr:from>
      <xdr:col>0</xdr:col>
      <xdr:colOff>0</xdr:colOff>
      <xdr:row>52</xdr:row>
      <xdr:rowOff>66675</xdr:rowOff>
    </xdr:from>
    <xdr:to>
      <xdr:col>7</xdr:col>
      <xdr:colOff>446906</xdr:colOff>
      <xdr:row>82</xdr:row>
      <xdr:rowOff>151746</xdr:rowOff>
    </xdr:to>
    <xdr:pic>
      <xdr:nvPicPr>
        <xdr:cNvPr id="4" name="图片 3">
          <a:extLst>
            <a:ext uri="{FF2B5EF4-FFF2-40B4-BE49-F238E27FC236}">
              <a16:creationId xmlns:a16="http://schemas.microsoft.com/office/drawing/2014/main" id="{BF3AD83B-FEF0-70E0-8E83-0915708424E4}"/>
            </a:ext>
          </a:extLst>
        </xdr:cNvPr>
        <xdr:cNvPicPr>
          <a:picLocks noChangeAspect="1"/>
        </xdr:cNvPicPr>
      </xdr:nvPicPr>
      <xdr:blipFill>
        <a:blip xmlns:r="http://schemas.openxmlformats.org/officeDocument/2006/relationships" r:embed="rId3"/>
        <a:stretch>
          <a:fillRect/>
        </a:stretch>
      </xdr:blipFill>
      <xdr:spPr>
        <a:xfrm>
          <a:off x="0" y="8982075"/>
          <a:ext cx="6152381" cy="5228571"/>
        </a:xfrm>
        <a:prstGeom prst="rect">
          <a:avLst/>
        </a:prstGeom>
      </xdr:spPr>
    </xdr:pic>
    <xdr:clientData/>
  </xdr:twoCellAnchor>
  <xdr:twoCellAnchor editAs="oneCell">
    <xdr:from>
      <xdr:col>7</xdr:col>
      <xdr:colOff>428625</xdr:colOff>
      <xdr:row>52</xdr:row>
      <xdr:rowOff>76200</xdr:rowOff>
    </xdr:from>
    <xdr:to>
      <xdr:col>14</xdr:col>
      <xdr:colOff>704065</xdr:colOff>
      <xdr:row>90</xdr:row>
      <xdr:rowOff>151576</xdr:rowOff>
    </xdr:to>
    <xdr:pic>
      <xdr:nvPicPr>
        <xdr:cNvPr id="5" name="图片 4">
          <a:extLst>
            <a:ext uri="{FF2B5EF4-FFF2-40B4-BE49-F238E27FC236}">
              <a16:creationId xmlns:a16="http://schemas.microsoft.com/office/drawing/2014/main" id="{06586F1C-6093-1117-C4D1-36E7F1F0F510}"/>
            </a:ext>
          </a:extLst>
        </xdr:cNvPr>
        <xdr:cNvPicPr>
          <a:picLocks noChangeAspect="1"/>
        </xdr:cNvPicPr>
      </xdr:nvPicPr>
      <xdr:blipFill>
        <a:blip xmlns:r="http://schemas.openxmlformats.org/officeDocument/2006/relationships" r:embed="rId4"/>
        <a:stretch>
          <a:fillRect/>
        </a:stretch>
      </xdr:blipFill>
      <xdr:spPr>
        <a:xfrm>
          <a:off x="6134100" y="8991600"/>
          <a:ext cx="6276190" cy="6590476"/>
        </a:xfrm>
        <a:prstGeom prst="rect">
          <a:avLst/>
        </a:prstGeom>
      </xdr:spPr>
    </xdr:pic>
    <xdr:clientData/>
  </xdr:twoCellAnchor>
  <xdr:twoCellAnchor editAs="oneCell">
    <xdr:from>
      <xdr:col>0</xdr:col>
      <xdr:colOff>0</xdr:colOff>
      <xdr:row>78</xdr:row>
      <xdr:rowOff>142875</xdr:rowOff>
    </xdr:from>
    <xdr:to>
      <xdr:col>5</xdr:col>
      <xdr:colOff>570887</xdr:colOff>
      <xdr:row>96</xdr:row>
      <xdr:rowOff>66299</xdr:rowOff>
    </xdr:to>
    <xdr:pic>
      <xdr:nvPicPr>
        <xdr:cNvPr id="6" name="图片 5">
          <a:extLst>
            <a:ext uri="{FF2B5EF4-FFF2-40B4-BE49-F238E27FC236}">
              <a16:creationId xmlns:a16="http://schemas.microsoft.com/office/drawing/2014/main" id="{A3E724CA-155E-F8A7-2953-29C25283A1E3}"/>
            </a:ext>
          </a:extLst>
        </xdr:cNvPr>
        <xdr:cNvPicPr>
          <a:picLocks noChangeAspect="1"/>
        </xdr:cNvPicPr>
      </xdr:nvPicPr>
      <xdr:blipFill>
        <a:blip xmlns:r="http://schemas.openxmlformats.org/officeDocument/2006/relationships" r:embed="rId5"/>
        <a:stretch>
          <a:fillRect/>
        </a:stretch>
      </xdr:blipFill>
      <xdr:spPr>
        <a:xfrm>
          <a:off x="0" y="13515975"/>
          <a:ext cx="4904762" cy="3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672353</xdr:colOff>
      <xdr:row>18</xdr:row>
      <xdr:rowOff>78441</xdr:rowOff>
    </xdr:to>
    <xdr:grpSp>
      <xdr:nvGrpSpPr>
        <xdr:cNvPr id="6" name="组合 5">
          <a:extLst>
            <a:ext uri="{FF2B5EF4-FFF2-40B4-BE49-F238E27FC236}">
              <a16:creationId xmlns:a16="http://schemas.microsoft.com/office/drawing/2014/main" id="{0245BBF1-A2C3-3AFC-4F50-4B7C4C86335D}"/>
            </a:ext>
          </a:extLst>
        </xdr:cNvPr>
        <xdr:cNvGrpSpPr/>
      </xdr:nvGrpSpPr>
      <xdr:grpSpPr>
        <a:xfrm>
          <a:off x="0" y="0"/>
          <a:ext cx="10959353" cy="3164541"/>
          <a:chOff x="0" y="0"/>
          <a:chExt cx="15086794" cy="4410075"/>
        </a:xfrm>
      </xdr:grpSpPr>
      <xdr:pic>
        <xdr:nvPicPr>
          <xdr:cNvPr id="2" name="图片 1">
            <a:extLst>
              <a:ext uri="{FF2B5EF4-FFF2-40B4-BE49-F238E27FC236}">
                <a16:creationId xmlns:a16="http://schemas.microsoft.com/office/drawing/2014/main" id="{4E7DF729-96D5-2586-9EAC-4F58217AB211}"/>
              </a:ext>
            </a:extLst>
          </xdr:cNvPr>
          <xdr:cNvPicPr>
            <a:picLocks noChangeAspect="1"/>
          </xdr:cNvPicPr>
        </xdr:nvPicPr>
        <xdr:blipFill>
          <a:blip xmlns:r="http://schemas.openxmlformats.org/officeDocument/2006/relationships" r:embed="rId1"/>
          <a:stretch>
            <a:fillRect/>
          </a:stretch>
        </xdr:blipFill>
        <xdr:spPr>
          <a:xfrm>
            <a:off x="0" y="0"/>
            <a:ext cx="8975539" cy="4410075"/>
          </a:xfrm>
          <a:prstGeom prst="rect">
            <a:avLst/>
          </a:prstGeom>
        </xdr:spPr>
      </xdr:pic>
      <xdr:pic>
        <xdr:nvPicPr>
          <xdr:cNvPr id="5" name="图片 4">
            <a:extLst>
              <a:ext uri="{FF2B5EF4-FFF2-40B4-BE49-F238E27FC236}">
                <a16:creationId xmlns:a16="http://schemas.microsoft.com/office/drawing/2014/main" id="{861E5E1E-A0B6-7898-404F-73FC1F1030F4}"/>
              </a:ext>
            </a:extLst>
          </xdr:cNvPr>
          <xdr:cNvPicPr>
            <a:picLocks noChangeAspect="1"/>
          </xdr:cNvPicPr>
        </xdr:nvPicPr>
        <xdr:blipFill>
          <a:blip xmlns:r="http://schemas.openxmlformats.org/officeDocument/2006/relationships" r:embed="rId2"/>
          <a:stretch>
            <a:fillRect/>
          </a:stretch>
        </xdr:blipFill>
        <xdr:spPr>
          <a:xfrm>
            <a:off x="8639175" y="0"/>
            <a:ext cx="6447619" cy="4076190"/>
          </a:xfrm>
          <a:prstGeom prst="rect">
            <a:avLst/>
          </a:prstGeom>
        </xdr:spPr>
      </xdr:pic>
    </xdr:grpSp>
    <xdr:clientData/>
  </xdr:twoCellAnchor>
  <xdr:twoCellAnchor>
    <xdr:from>
      <xdr:col>0</xdr:col>
      <xdr:colOff>1</xdr:colOff>
      <xdr:row>18</xdr:row>
      <xdr:rowOff>76200</xdr:rowOff>
    </xdr:from>
    <xdr:to>
      <xdr:col>16</xdr:col>
      <xdr:colOff>67236</xdr:colOff>
      <xdr:row>39</xdr:row>
      <xdr:rowOff>44824</xdr:rowOff>
    </xdr:to>
    <xdr:grpSp>
      <xdr:nvGrpSpPr>
        <xdr:cNvPr id="8" name="组合 7">
          <a:extLst>
            <a:ext uri="{FF2B5EF4-FFF2-40B4-BE49-F238E27FC236}">
              <a16:creationId xmlns:a16="http://schemas.microsoft.com/office/drawing/2014/main" id="{53AFA159-98B5-D6CC-F75C-168DB3505EAF}"/>
            </a:ext>
          </a:extLst>
        </xdr:cNvPr>
        <xdr:cNvGrpSpPr/>
      </xdr:nvGrpSpPr>
      <xdr:grpSpPr>
        <a:xfrm>
          <a:off x="1" y="3162300"/>
          <a:ext cx="11040035" cy="3569074"/>
          <a:chOff x="0" y="4352925"/>
          <a:chExt cx="15448719" cy="4466520"/>
        </a:xfrm>
      </xdr:grpSpPr>
      <xdr:pic>
        <xdr:nvPicPr>
          <xdr:cNvPr id="3" name="图片 2">
            <a:extLst>
              <a:ext uri="{FF2B5EF4-FFF2-40B4-BE49-F238E27FC236}">
                <a16:creationId xmlns:a16="http://schemas.microsoft.com/office/drawing/2014/main" id="{498393DD-CAA4-98C7-B073-D779513B35E3}"/>
              </a:ext>
            </a:extLst>
          </xdr:cNvPr>
          <xdr:cNvPicPr>
            <a:picLocks noChangeAspect="1"/>
          </xdr:cNvPicPr>
        </xdr:nvPicPr>
        <xdr:blipFill>
          <a:blip xmlns:r="http://schemas.openxmlformats.org/officeDocument/2006/relationships" r:embed="rId3"/>
          <a:stretch>
            <a:fillRect/>
          </a:stretch>
        </xdr:blipFill>
        <xdr:spPr>
          <a:xfrm>
            <a:off x="0" y="4352925"/>
            <a:ext cx="8910406" cy="4466520"/>
          </a:xfrm>
          <a:prstGeom prst="rect">
            <a:avLst/>
          </a:prstGeom>
        </xdr:spPr>
      </xdr:pic>
      <xdr:pic>
        <xdr:nvPicPr>
          <xdr:cNvPr id="7" name="图片 6">
            <a:extLst>
              <a:ext uri="{FF2B5EF4-FFF2-40B4-BE49-F238E27FC236}">
                <a16:creationId xmlns:a16="http://schemas.microsoft.com/office/drawing/2014/main" id="{DFBD78B6-B7A4-B493-D6E3-137D6A7B37B9}"/>
              </a:ext>
            </a:extLst>
          </xdr:cNvPr>
          <xdr:cNvPicPr>
            <a:picLocks noChangeAspect="1"/>
          </xdr:cNvPicPr>
        </xdr:nvPicPr>
        <xdr:blipFill>
          <a:blip xmlns:r="http://schemas.openxmlformats.org/officeDocument/2006/relationships" r:embed="rId4"/>
          <a:stretch>
            <a:fillRect/>
          </a:stretch>
        </xdr:blipFill>
        <xdr:spPr>
          <a:xfrm>
            <a:off x="8801100" y="4657725"/>
            <a:ext cx="6647619" cy="3371429"/>
          </a:xfrm>
          <a:prstGeom prst="rect">
            <a:avLst/>
          </a:prstGeom>
        </xdr:spPr>
      </xdr:pic>
    </xdr:grpSp>
    <xdr:clientData/>
  </xdr:twoCellAnchor>
  <xdr:twoCellAnchor>
    <xdr:from>
      <xdr:col>0</xdr:col>
      <xdr:colOff>0</xdr:colOff>
      <xdr:row>38</xdr:row>
      <xdr:rowOff>167528</xdr:rowOff>
    </xdr:from>
    <xdr:to>
      <xdr:col>15</xdr:col>
      <xdr:colOff>616324</xdr:colOff>
      <xdr:row>59</xdr:row>
      <xdr:rowOff>145677</xdr:rowOff>
    </xdr:to>
    <xdr:grpSp>
      <xdr:nvGrpSpPr>
        <xdr:cNvPr id="10" name="组合 9">
          <a:extLst>
            <a:ext uri="{FF2B5EF4-FFF2-40B4-BE49-F238E27FC236}">
              <a16:creationId xmlns:a16="http://schemas.microsoft.com/office/drawing/2014/main" id="{D38E7846-31AD-67B2-D719-7F3B0DA0A972}"/>
            </a:ext>
          </a:extLst>
        </xdr:cNvPr>
        <xdr:cNvGrpSpPr/>
      </xdr:nvGrpSpPr>
      <xdr:grpSpPr>
        <a:xfrm>
          <a:off x="0" y="6682628"/>
          <a:ext cx="10903324" cy="3578599"/>
          <a:chOff x="0" y="8810624"/>
          <a:chExt cx="15820137" cy="4523665"/>
        </a:xfrm>
      </xdr:grpSpPr>
      <xdr:pic>
        <xdr:nvPicPr>
          <xdr:cNvPr id="4" name="图片 3">
            <a:extLst>
              <a:ext uri="{FF2B5EF4-FFF2-40B4-BE49-F238E27FC236}">
                <a16:creationId xmlns:a16="http://schemas.microsoft.com/office/drawing/2014/main" id="{4E163227-0A0E-E2CD-0061-659065399C2E}"/>
              </a:ext>
            </a:extLst>
          </xdr:cNvPr>
          <xdr:cNvPicPr>
            <a:picLocks noChangeAspect="1"/>
          </xdr:cNvPicPr>
        </xdr:nvPicPr>
        <xdr:blipFill>
          <a:blip xmlns:r="http://schemas.openxmlformats.org/officeDocument/2006/relationships" r:embed="rId5"/>
          <a:stretch>
            <a:fillRect/>
          </a:stretch>
        </xdr:blipFill>
        <xdr:spPr>
          <a:xfrm>
            <a:off x="0" y="8810624"/>
            <a:ext cx="8910710" cy="4523665"/>
          </a:xfrm>
          <a:prstGeom prst="rect">
            <a:avLst/>
          </a:prstGeom>
        </xdr:spPr>
      </xdr:pic>
      <xdr:pic>
        <xdr:nvPicPr>
          <xdr:cNvPr id="9" name="图片 8">
            <a:extLst>
              <a:ext uri="{FF2B5EF4-FFF2-40B4-BE49-F238E27FC236}">
                <a16:creationId xmlns:a16="http://schemas.microsoft.com/office/drawing/2014/main" id="{40A0C64C-3066-CFAB-1351-D9CA6FD097C8}"/>
              </a:ext>
            </a:extLst>
          </xdr:cNvPr>
          <xdr:cNvPicPr>
            <a:picLocks noChangeAspect="1"/>
          </xdr:cNvPicPr>
        </xdr:nvPicPr>
        <xdr:blipFill>
          <a:blip xmlns:r="http://schemas.openxmlformats.org/officeDocument/2006/relationships" r:embed="rId6"/>
          <a:stretch>
            <a:fillRect/>
          </a:stretch>
        </xdr:blipFill>
        <xdr:spPr>
          <a:xfrm>
            <a:off x="8715375" y="9105900"/>
            <a:ext cx="7104762" cy="3428571"/>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75355</xdr:colOff>
      <xdr:row>18</xdr:row>
      <xdr:rowOff>47625</xdr:rowOff>
    </xdr:to>
    <xdr:grpSp>
      <xdr:nvGrpSpPr>
        <xdr:cNvPr id="12" name="组合 11">
          <a:extLst>
            <a:ext uri="{FF2B5EF4-FFF2-40B4-BE49-F238E27FC236}">
              <a16:creationId xmlns:a16="http://schemas.microsoft.com/office/drawing/2014/main" id="{397957D9-FB67-080F-10AB-278617917575}"/>
            </a:ext>
          </a:extLst>
        </xdr:cNvPr>
        <xdr:cNvGrpSpPr/>
      </xdr:nvGrpSpPr>
      <xdr:grpSpPr>
        <a:xfrm>
          <a:off x="0" y="0"/>
          <a:ext cx="11048155" cy="3133725"/>
          <a:chOff x="0" y="0"/>
          <a:chExt cx="11048155" cy="3133725"/>
        </a:xfrm>
      </xdr:grpSpPr>
      <xdr:pic>
        <xdr:nvPicPr>
          <xdr:cNvPr id="2" name="图片 1">
            <a:extLst>
              <a:ext uri="{FF2B5EF4-FFF2-40B4-BE49-F238E27FC236}">
                <a16:creationId xmlns:a16="http://schemas.microsoft.com/office/drawing/2014/main" id="{0481F769-45F2-8745-5B60-027A590C5472}"/>
              </a:ext>
            </a:extLst>
          </xdr:cNvPr>
          <xdr:cNvPicPr>
            <a:picLocks noChangeAspect="1"/>
          </xdr:cNvPicPr>
        </xdr:nvPicPr>
        <xdr:blipFill>
          <a:blip xmlns:r="http://schemas.openxmlformats.org/officeDocument/2006/relationships" r:embed="rId1"/>
          <a:stretch>
            <a:fillRect/>
          </a:stretch>
        </xdr:blipFill>
        <xdr:spPr>
          <a:xfrm>
            <a:off x="0" y="0"/>
            <a:ext cx="6999415" cy="3133725"/>
          </a:xfrm>
          <a:prstGeom prst="rect">
            <a:avLst/>
          </a:prstGeom>
        </xdr:spPr>
      </xdr:pic>
      <xdr:pic>
        <xdr:nvPicPr>
          <xdr:cNvPr id="3" name="图片 2">
            <a:extLst>
              <a:ext uri="{FF2B5EF4-FFF2-40B4-BE49-F238E27FC236}">
                <a16:creationId xmlns:a16="http://schemas.microsoft.com/office/drawing/2014/main" id="{BF070D24-D396-8B13-2481-D109E37BCB7F}"/>
              </a:ext>
            </a:extLst>
          </xdr:cNvPr>
          <xdr:cNvPicPr>
            <a:picLocks noChangeAspect="1"/>
          </xdr:cNvPicPr>
        </xdr:nvPicPr>
        <xdr:blipFill>
          <a:blip xmlns:r="http://schemas.openxmlformats.org/officeDocument/2006/relationships" r:embed="rId2"/>
          <a:stretch>
            <a:fillRect/>
          </a:stretch>
        </xdr:blipFill>
        <xdr:spPr>
          <a:xfrm>
            <a:off x="5476875" y="0"/>
            <a:ext cx="5571280" cy="2479612"/>
          </a:xfrm>
          <a:prstGeom prst="rect">
            <a:avLst/>
          </a:prstGeom>
        </xdr:spPr>
      </xdr:pic>
    </xdr:grpSp>
    <xdr:clientData/>
  </xdr:twoCellAnchor>
  <xdr:twoCellAnchor>
    <xdr:from>
      <xdr:col>0</xdr:col>
      <xdr:colOff>0</xdr:colOff>
      <xdr:row>18</xdr:row>
      <xdr:rowOff>104775</xdr:rowOff>
    </xdr:from>
    <xdr:to>
      <xdr:col>17</xdr:col>
      <xdr:colOff>27728</xdr:colOff>
      <xdr:row>39</xdr:row>
      <xdr:rowOff>85057</xdr:rowOff>
    </xdr:to>
    <xdr:grpSp>
      <xdr:nvGrpSpPr>
        <xdr:cNvPr id="11" name="组合 10">
          <a:extLst>
            <a:ext uri="{FF2B5EF4-FFF2-40B4-BE49-F238E27FC236}">
              <a16:creationId xmlns:a16="http://schemas.microsoft.com/office/drawing/2014/main" id="{C6C16A4C-0742-2BD4-CD52-1C1D141A3ECB}"/>
            </a:ext>
          </a:extLst>
        </xdr:cNvPr>
        <xdr:cNvGrpSpPr/>
      </xdr:nvGrpSpPr>
      <xdr:grpSpPr>
        <a:xfrm>
          <a:off x="0" y="3190875"/>
          <a:ext cx="11686328" cy="3580732"/>
          <a:chOff x="0" y="3190875"/>
          <a:chExt cx="11686328" cy="3580732"/>
        </a:xfrm>
      </xdr:grpSpPr>
      <xdr:pic>
        <xdr:nvPicPr>
          <xdr:cNvPr id="5" name="图片 4">
            <a:extLst>
              <a:ext uri="{FF2B5EF4-FFF2-40B4-BE49-F238E27FC236}">
                <a16:creationId xmlns:a16="http://schemas.microsoft.com/office/drawing/2014/main" id="{346BD06C-A7E5-D6BF-6D08-53FEAE6A7E4A}"/>
              </a:ext>
            </a:extLst>
          </xdr:cNvPr>
          <xdr:cNvPicPr>
            <a:picLocks noChangeAspect="1"/>
          </xdr:cNvPicPr>
        </xdr:nvPicPr>
        <xdr:blipFill>
          <a:blip xmlns:r="http://schemas.openxmlformats.org/officeDocument/2006/relationships" r:embed="rId3"/>
          <a:stretch>
            <a:fillRect/>
          </a:stretch>
        </xdr:blipFill>
        <xdr:spPr>
          <a:xfrm>
            <a:off x="0" y="3190875"/>
            <a:ext cx="7627406" cy="3580732"/>
          </a:xfrm>
          <a:prstGeom prst="rect">
            <a:avLst/>
          </a:prstGeom>
        </xdr:spPr>
      </xdr:pic>
      <xdr:pic>
        <xdr:nvPicPr>
          <xdr:cNvPr id="6" name="图片 5">
            <a:extLst>
              <a:ext uri="{FF2B5EF4-FFF2-40B4-BE49-F238E27FC236}">
                <a16:creationId xmlns:a16="http://schemas.microsoft.com/office/drawing/2014/main" id="{503F5E16-20FF-F9A2-61BF-79B8FCA7B05B}"/>
              </a:ext>
            </a:extLst>
          </xdr:cNvPr>
          <xdr:cNvPicPr>
            <a:picLocks noChangeAspect="1"/>
          </xdr:cNvPicPr>
        </xdr:nvPicPr>
        <xdr:blipFill>
          <a:blip xmlns:r="http://schemas.openxmlformats.org/officeDocument/2006/relationships" r:embed="rId4"/>
          <a:stretch>
            <a:fillRect/>
          </a:stretch>
        </xdr:blipFill>
        <xdr:spPr>
          <a:xfrm>
            <a:off x="6019800" y="3214613"/>
            <a:ext cx="5666528" cy="2661913"/>
          </a:xfrm>
          <a:prstGeom prst="rect">
            <a:avLst/>
          </a:prstGeom>
        </xdr:spPr>
      </xdr:pic>
    </xdr:grpSp>
    <xdr:clientData/>
  </xdr:twoCellAnchor>
  <xdr:twoCellAnchor>
    <xdr:from>
      <xdr:col>0</xdr:col>
      <xdr:colOff>0</xdr:colOff>
      <xdr:row>39</xdr:row>
      <xdr:rowOff>133350</xdr:rowOff>
    </xdr:from>
    <xdr:to>
      <xdr:col>15</xdr:col>
      <xdr:colOff>542926</xdr:colOff>
      <xdr:row>59</xdr:row>
      <xdr:rowOff>27952</xdr:rowOff>
    </xdr:to>
    <xdr:grpSp>
      <xdr:nvGrpSpPr>
        <xdr:cNvPr id="10" name="组合 9">
          <a:extLst>
            <a:ext uri="{FF2B5EF4-FFF2-40B4-BE49-F238E27FC236}">
              <a16:creationId xmlns:a16="http://schemas.microsoft.com/office/drawing/2014/main" id="{2739BF65-8070-018B-FE2D-D73A096EAACD}"/>
            </a:ext>
          </a:extLst>
        </xdr:cNvPr>
        <xdr:cNvGrpSpPr/>
      </xdr:nvGrpSpPr>
      <xdr:grpSpPr>
        <a:xfrm>
          <a:off x="0" y="6819900"/>
          <a:ext cx="10829926" cy="3323602"/>
          <a:chOff x="0" y="6819900"/>
          <a:chExt cx="10829926" cy="3323602"/>
        </a:xfrm>
      </xdr:grpSpPr>
      <xdr:pic>
        <xdr:nvPicPr>
          <xdr:cNvPr id="8" name="图片 7">
            <a:extLst>
              <a:ext uri="{FF2B5EF4-FFF2-40B4-BE49-F238E27FC236}">
                <a16:creationId xmlns:a16="http://schemas.microsoft.com/office/drawing/2014/main" id="{63F16F48-EA68-FF8C-BE27-6A5AE582683C}"/>
              </a:ext>
            </a:extLst>
          </xdr:cNvPr>
          <xdr:cNvPicPr>
            <a:picLocks noChangeAspect="1"/>
          </xdr:cNvPicPr>
        </xdr:nvPicPr>
        <xdr:blipFill>
          <a:blip xmlns:r="http://schemas.openxmlformats.org/officeDocument/2006/relationships" r:embed="rId5"/>
          <a:stretch>
            <a:fillRect/>
          </a:stretch>
        </xdr:blipFill>
        <xdr:spPr>
          <a:xfrm>
            <a:off x="0" y="6819900"/>
            <a:ext cx="7562307" cy="3323602"/>
          </a:xfrm>
          <a:prstGeom prst="rect">
            <a:avLst/>
          </a:prstGeom>
        </xdr:spPr>
      </xdr:pic>
      <xdr:pic>
        <xdr:nvPicPr>
          <xdr:cNvPr id="9" name="图片 8">
            <a:extLst>
              <a:ext uri="{FF2B5EF4-FFF2-40B4-BE49-F238E27FC236}">
                <a16:creationId xmlns:a16="http://schemas.microsoft.com/office/drawing/2014/main" id="{9C0108DD-3F3E-B616-CA40-B6EEFC228EA6}"/>
              </a:ext>
            </a:extLst>
          </xdr:cNvPr>
          <xdr:cNvPicPr>
            <a:picLocks noChangeAspect="1"/>
          </xdr:cNvPicPr>
        </xdr:nvPicPr>
        <xdr:blipFill>
          <a:blip xmlns:r="http://schemas.openxmlformats.org/officeDocument/2006/relationships" r:embed="rId6"/>
          <a:stretch>
            <a:fillRect/>
          </a:stretch>
        </xdr:blipFill>
        <xdr:spPr>
          <a:xfrm>
            <a:off x="5619749" y="6834186"/>
            <a:ext cx="5210177" cy="260508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估价对象为北京市房地产，为所有。根据《国有土地使用证》[]，估价对象（分摊）出让国有建设用地使用权面积为0平方米，建筑面积为2765.9平方米。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估价对象为北京市房地产,属开发建设的，该项目尚在开发建设中。根据《国有土地使用证》[]，估价对象（分摊）出让国有建设用地使用权面积为0平方米，规划建筑面积为2765.9平方米。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2025年11月28日（评估专业人员实地查勘之日）</v>
      </c>
    </row>
    <row r="13" spans="1:2">
      <c r="A13" s="1118" t="s">
        <v>529</v>
      </c>
      <c r="B13" s="1119"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7588</v>
      </c>
    </row>
    <row r="21" spans="1:2">
      <c r="A21" s="1118" t="s">
        <v>537</v>
      </c>
      <c r="B21" s="1119">
        <f ca="1">'预评函-2'!D7</f>
        <v>27434</v>
      </c>
    </row>
    <row r="22" spans="1:2">
      <c r="A22" s="1118" t="s">
        <v>538</v>
      </c>
      <c r="B22" s="1119" t="str">
        <f ca="1">'预评函-2'!D6</f>
        <v>柒仟伍佰捌拾捌万元整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7588</v>
      </c>
    </row>
    <row r="31" spans="1:2">
      <c r="A31" s="1118" t="s">
        <v>576</v>
      </c>
      <c r="B31" s="1119">
        <f ca="1">'预评函-2'!D15</f>
        <v>27434</v>
      </c>
    </row>
    <row r="32" spans="1:2">
      <c r="A32" s="1118" t="s">
        <v>543</v>
      </c>
      <c r="B32" s="1119" t="str">
        <f ca="1">'预评函-2'!D14</f>
        <v>柒仟伍佰捌拾捌万元整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2765.9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6677</v>
      </c>
    </row>
    <row r="48" spans="1:2">
      <c r="A48" s="1118" t="s">
        <v>549</v>
      </c>
      <c r="B48" s="1119">
        <f ca="1">'预评函-3'!E4</f>
        <v>24140</v>
      </c>
    </row>
    <row r="49" spans="1:2">
      <c r="A49" s="1118" t="s">
        <v>550</v>
      </c>
      <c r="B49" s="1119" t="str">
        <f ca="1">'预评函-3'!D5</f>
        <v>陆仟陆佰柒拾柒万元整</v>
      </c>
    </row>
    <row r="50" spans="1:2">
      <c r="A50" s="1118" t="s">
        <v>574</v>
      </c>
      <c r="B50" s="1119" t="str">
        <f>'预评函-3'!F2</f>
        <v>在建建筑物价值</v>
      </c>
    </row>
    <row r="51" spans="1:2">
      <c r="A51" s="1118" t="s">
        <v>551</v>
      </c>
      <c r="B51" s="1119">
        <f ca="1">'预评函-3'!F4</f>
        <v>911</v>
      </c>
    </row>
    <row r="52" spans="1:2">
      <c r="A52" s="1118" t="s">
        <v>552</v>
      </c>
      <c r="B52" s="1119">
        <f ca="1">'预评函-3'!G4</f>
        <v>3294</v>
      </c>
    </row>
    <row r="53" spans="1:2">
      <c r="A53" s="1118" t="s">
        <v>580</v>
      </c>
      <c r="B53" s="1119" t="str">
        <f ca="1">'预评函-3'!F5</f>
        <v>玖佰壹拾壹万元整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20" t="s">
        <v>2571</v>
      </c>
      <c r="J2" s="3220"/>
      <c r="K2" s="3220"/>
      <c r="L2" s="3220"/>
      <c r="M2" s="3220"/>
      <c r="N2" s="3220"/>
      <c r="O2" s="3220"/>
      <c r="P2" s="3220"/>
      <c r="Q2" s="3220"/>
      <c r="R2" s="3220"/>
    </row>
    <row r="3" spans="1:18">
      <c r="A3" s="2762" t="s">
        <v>2492</v>
      </c>
      <c r="B3" s="2763">
        <f>项目基本情况!D3</f>
        <v>45989</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1.05</v>
      </c>
      <c r="D5" s="2767">
        <f>IF(ISERROR(ROUND(POWER(1+E5,A5-C5)*(POWER(1+E5,C5)-1)/(POWER(1+E5,A5)-1),3)),0,ROUND(POWER(1+E5,A5-C5)*(POWER(1+E5,C5)-1)/(POWER(1+E5,A5)-1),4))</f>
        <v>5.0999999999999997E-2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11.06</v>
      </c>
      <c r="D6" s="2767">
        <f>IF(ISERROR(ROUND(POWER(1+E6,A6-C6)*(POWER(1+E6,C6)-1)/(POWER(1+E6,A6)-1),3)),0,ROUND(POWER(1+E6,A6-C6)*(POWER(1+E6,C6)-1)/(POWER(1+E6,A6)-1),4))</f>
        <v>0.40960000000000002</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31.07</v>
      </c>
      <c r="D7" s="2767">
        <f>IF(ISERROR(ROUND(POWER(1+E7,A7-C7)*(POWER(1+E7,C7)-1)/(POWER(1+E7,A7)-1),3)),0,ROUND(POWER(1+E7,A7-C7)*(POWER(1+E7,C7)-1)/(POWER(1+E7,A7)-1),4))</f>
        <v>0.75270000000000004</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3375</v>
      </c>
    </row>
    <row r="50" spans="1:4">
      <c r="A50" s="3144" t="s">
        <v>3376</v>
      </c>
      <c r="B50" s="3144" t="s">
        <v>3377</v>
      </c>
      <c r="C50" s="3144" t="s">
        <v>3378</v>
      </c>
      <c r="D50" s="3144" t="s">
        <v>3379</v>
      </c>
    </row>
    <row r="51" spans="1:4">
      <c r="A51" s="3144" t="s">
        <v>3380</v>
      </c>
      <c r="B51" s="2764">
        <f>B52+B53</f>
        <v>15000</v>
      </c>
      <c r="C51" s="3145">
        <f>D51/B51</f>
        <v>2666.6666666666665</v>
      </c>
      <c r="D51" s="2764">
        <f>D52+D53</f>
        <v>40000000</v>
      </c>
    </row>
    <row r="52" spans="1:4">
      <c r="A52" s="3146" t="s">
        <v>3381</v>
      </c>
      <c r="B52" s="3147">
        <v>10000</v>
      </c>
      <c r="C52" s="3147">
        <v>1500</v>
      </c>
      <c r="D52" s="3148">
        <f>C52*B52</f>
        <v>15000000</v>
      </c>
    </row>
    <row r="53" spans="1:4">
      <c r="A53" s="3146" t="s">
        <v>3382</v>
      </c>
      <c r="B53" s="3147">
        <v>5000</v>
      </c>
      <c r="C53" s="3147">
        <v>5000</v>
      </c>
      <c r="D53" s="3148">
        <f>C53*B53</f>
        <v>25000000</v>
      </c>
    </row>
    <row r="54" spans="1:4">
      <c r="A54" s="3144" t="s">
        <v>3383</v>
      </c>
      <c r="B54" s="2764">
        <f>B51</f>
        <v>15000</v>
      </c>
      <c r="C54" s="2770">
        <v>700</v>
      </c>
      <c r="D54" s="2764">
        <f t="shared" ref="D54:D55" si="5">C54*B54</f>
        <v>10500000</v>
      </c>
    </row>
    <row r="55" spans="1:4">
      <c r="A55" s="3144" t="s">
        <v>3384</v>
      </c>
      <c r="B55" s="2764">
        <f>B51</f>
        <v>15000</v>
      </c>
      <c r="C55" s="2770">
        <v>1500</v>
      </c>
      <c r="D55" s="2764">
        <f t="shared" si="5"/>
        <v>22500000</v>
      </c>
    </row>
    <row r="56" spans="1:4">
      <c r="A56" s="3144" t="s">
        <v>3385</v>
      </c>
      <c r="B56" s="2764">
        <f>B51</f>
        <v>15000</v>
      </c>
      <c r="C56" s="3149">
        <f>C51+C54+C55</f>
        <v>4866.6666666666661</v>
      </c>
      <c r="D56" s="2764">
        <f>D51+D54+D55</f>
        <v>73000000</v>
      </c>
    </row>
    <row r="58" spans="1:4">
      <c r="A58" s="3144" t="s">
        <v>3386</v>
      </c>
      <c r="B58" s="3150">
        <v>0.05</v>
      </c>
      <c r="C58" s="2764">
        <f>C56*(1+B58)</f>
        <v>5110</v>
      </c>
      <c r="D58" s="2764">
        <f>D56*B58</f>
        <v>3650000</v>
      </c>
    </row>
    <row r="60" spans="1:4">
      <c r="A60" s="3144" t="s">
        <v>3387</v>
      </c>
      <c r="B60" s="2770">
        <v>3500</v>
      </c>
      <c r="C60" s="2770">
        <f>C53</f>
        <v>5000</v>
      </c>
      <c r="D60" s="2764">
        <f>C60*B60</f>
        <v>17500000</v>
      </c>
    </row>
    <row r="62" spans="1:4">
      <c r="A62" s="3144" t="s">
        <v>3388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H21" sqref="H21"/>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3339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3393</v>
      </c>
      <c r="AA1" s="1437" t="s">
        <v>3392</v>
      </c>
      <c r="AB1" s="1437" t="s">
        <v>3</v>
      </c>
    </row>
    <row r="2" spans="1:28">
      <c r="A2" s="1440" t="s">
        <v>19</v>
      </c>
      <c r="B2" s="1440" t="s">
        <v>993</v>
      </c>
      <c r="C2" s="1441" t="s">
        <v>315</v>
      </c>
      <c r="D2" s="1442" t="s">
        <v>994</v>
      </c>
      <c r="E2" s="1442" t="s">
        <v>995</v>
      </c>
      <c r="F2" s="1442" t="s">
        <v>996</v>
      </c>
      <c r="G2" s="1442">
        <v>20</v>
      </c>
      <c r="H2" s="1442" t="s">
        <v>996</v>
      </c>
      <c r="I2" s="1442" t="s">
        <v>3325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2430</v>
      </c>
      <c r="Y2" s="1444" t="s">
        <v>3399</v>
      </c>
      <c r="Z2" s="1444" t="s">
        <v>2443</v>
      </c>
      <c r="AA2" s="1444" t="s">
        <v>3400</v>
      </c>
      <c r="AB2" s="1444" t="s">
        <v>2470</v>
      </c>
    </row>
    <row r="3" spans="1:28">
      <c r="A3" s="1440" t="s">
        <v>1001</v>
      </c>
      <c r="B3" s="1443" t="s">
        <v>448</v>
      </c>
      <c r="C3" s="1441" t="s">
        <v>316</v>
      </c>
      <c r="D3" s="1442" t="s">
        <v>1002</v>
      </c>
      <c r="E3" s="1442" t="s">
        <v>13</v>
      </c>
      <c r="F3" s="1442" t="s">
        <v>1003</v>
      </c>
      <c r="G3" s="1442">
        <v>40</v>
      </c>
      <c r="H3" s="1442" t="s">
        <v>1003</v>
      </c>
      <c r="I3" s="1442" t="s">
        <v>3326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2432</v>
      </c>
      <c r="Z3" s="1444" t="s">
        <v>2445</v>
      </c>
      <c r="AB3" s="1444" t="s">
        <v>2472</v>
      </c>
    </row>
    <row r="4" spans="1:28">
      <c r="A4" s="1440" t="s">
        <v>1008</v>
      </c>
      <c r="B4" s="1440" t="s">
        <v>1009</v>
      </c>
      <c r="C4" s="1441" t="s">
        <v>317</v>
      </c>
      <c r="D4" s="1442" t="s">
        <v>389</v>
      </c>
      <c r="E4" s="1442" t="s">
        <v>1010</v>
      </c>
      <c r="F4" s="1442" t="s">
        <v>1011</v>
      </c>
      <c r="G4" s="1442">
        <v>50</v>
      </c>
      <c r="H4" s="1442" t="s">
        <v>1011</v>
      </c>
      <c r="I4" s="1442" t="s">
        <v>3327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2434</v>
      </c>
      <c r="Z4" s="1444" t="s">
        <v>2447</v>
      </c>
      <c r="AB4" s="1444" t="s">
        <v>2474</v>
      </c>
    </row>
    <row r="5" spans="1:28">
      <c r="A5" s="1440" t="s">
        <v>1014</v>
      </c>
      <c r="B5" s="1440" t="s">
        <v>1015</v>
      </c>
      <c r="C5" s="1441" t="s">
        <v>318</v>
      </c>
      <c r="F5" s="1442" t="s">
        <v>1016</v>
      </c>
      <c r="G5" s="1442">
        <v>70</v>
      </c>
      <c r="H5" s="1442" t="s">
        <v>1017</v>
      </c>
      <c r="I5" s="1442" t="s">
        <v>3328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2436</v>
      </c>
      <c r="Z5" s="1444" t="s">
        <v>2449</v>
      </c>
      <c r="AB5" s="1444" t="s">
        <v>3401</v>
      </c>
    </row>
    <row r="6" spans="1:28">
      <c r="A6" s="1440" t="s">
        <v>1020</v>
      </c>
      <c r="B6" s="1443" t="s">
        <v>449</v>
      </c>
      <c r="C6" s="1445" t="s">
        <v>24</v>
      </c>
      <c r="F6" s="1442" t="s">
        <v>1017</v>
      </c>
      <c r="H6" s="1442" t="s">
        <v>1021</v>
      </c>
      <c r="I6" s="1442" t="s">
        <v>3329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2438</v>
      </c>
      <c r="Z6" s="1444" t="s">
        <v>2451</v>
      </c>
      <c r="AB6" s="1444" t="s">
        <v>2477</v>
      </c>
    </row>
    <row r="7" spans="1:28">
      <c r="A7" s="1440" t="s">
        <v>1023</v>
      </c>
      <c r="B7" s="1443" t="s">
        <v>450</v>
      </c>
      <c r="C7" s="1441" t="s">
        <v>25</v>
      </c>
      <c r="F7" s="1442" t="s">
        <v>1024</v>
      </c>
      <c r="H7" s="1442" t="s">
        <v>1025</v>
      </c>
      <c r="I7" s="1442" t="s">
        <v>3330</v>
      </c>
      <c r="X7" s="1444" t="s">
        <v>2440</v>
      </c>
      <c r="Z7" s="1444" t="s">
        <v>2453</v>
      </c>
      <c r="AB7" s="1444" t="s">
        <v>2479</v>
      </c>
    </row>
    <row r="8" spans="1:28">
      <c r="A8" s="1440" t="s">
        <v>1026</v>
      </c>
      <c r="B8" s="1440" t="s">
        <v>1027</v>
      </c>
      <c r="C8" s="1441" t="s">
        <v>319</v>
      </c>
      <c r="F8" s="1442" t="s">
        <v>1028</v>
      </c>
      <c r="H8" s="1442" t="s">
        <v>2568</v>
      </c>
      <c r="I8" s="1442" t="s">
        <v>3331</v>
      </c>
      <c r="X8" s="1444" t="s">
        <v>3402</v>
      </c>
      <c r="Z8" s="1444" t="s">
        <v>2455</v>
      </c>
      <c r="AB8" s="1444" t="s">
        <v>2481</v>
      </c>
    </row>
    <row r="9" spans="1:28">
      <c r="A9" s="1440" t="s">
        <v>1029</v>
      </c>
      <c r="B9" s="1440" t="s">
        <v>1030</v>
      </c>
      <c r="C9" s="1441" t="s">
        <v>320</v>
      </c>
      <c r="F9" s="1442" t="s">
        <v>1031</v>
      </c>
      <c r="H9" s="1442"/>
      <c r="I9" s="1444" t="s">
        <v>3332</v>
      </c>
      <c r="X9" s="1444" t="s">
        <v>3403</v>
      </c>
      <c r="Z9" s="1444" t="s">
        <v>2457</v>
      </c>
      <c r="AB9" s="1444" t="s">
        <v>2483</v>
      </c>
    </row>
    <row r="10" spans="1:28">
      <c r="A10" s="1440" t="s">
        <v>1032</v>
      </c>
      <c r="B10" s="1440" t="s">
        <v>1033</v>
      </c>
      <c r="C10" s="1441" t="s">
        <v>321</v>
      </c>
      <c r="F10" s="1442" t="s">
        <v>2569</v>
      </c>
      <c r="I10" s="1444" t="s">
        <v>3333</v>
      </c>
      <c r="Z10" s="1444" t="s">
        <v>2459</v>
      </c>
      <c r="AB10" s="1444" t="s">
        <v>2485</v>
      </c>
    </row>
    <row r="11" spans="1:28">
      <c r="A11" s="1440" t="s">
        <v>1034</v>
      </c>
      <c r="B11" s="1440" t="s">
        <v>1035</v>
      </c>
      <c r="C11" s="1441" t="s">
        <v>322</v>
      </c>
      <c r="F11" s="1442" t="s">
        <v>13</v>
      </c>
      <c r="I11" s="1444" t="s">
        <v>3334</v>
      </c>
      <c r="Z11" s="1444" t="s">
        <v>2461</v>
      </c>
      <c r="AB11" s="1444" t="s">
        <v>2487</v>
      </c>
    </row>
    <row r="12" spans="1:28">
      <c r="A12" s="1440" t="s">
        <v>1036</v>
      </c>
      <c r="B12" s="1440" t="s">
        <v>1037</v>
      </c>
      <c r="C12" s="1441" t="s">
        <v>323</v>
      </c>
      <c r="I12" s="1444" t="s">
        <v>3335</v>
      </c>
      <c r="Z12" s="1444" t="s">
        <v>2463</v>
      </c>
      <c r="AB12" s="1444" t="s">
        <v>2489</v>
      </c>
    </row>
    <row r="13" spans="1:28">
      <c r="A13" s="1440" t="s">
        <v>1038</v>
      </c>
      <c r="B13" s="1440" t="s">
        <v>1039</v>
      </c>
      <c r="C13" s="1441" t="s">
        <v>324</v>
      </c>
      <c r="I13" s="1444" t="s">
        <v>3336</v>
      </c>
      <c r="Z13" s="1444" t="s">
        <v>2465</v>
      </c>
    </row>
    <row r="14" spans="1:28">
      <c r="A14" s="1440" t="s">
        <v>1040</v>
      </c>
      <c r="B14" s="1440" t="s">
        <v>1041</v>
      </c>
      <c r="C14" s="1442" t="s">
        <v>13</v>
      </c>
      <c r="I14" s="1444" t="s">
        <v>3337</v>
      </c>
      <c r="Z14" s="1444" t="s">
        <v>2467</v>
      </c>
    </row>
    <row r="15" spans="1:28">
      <c r="A15" s="1440" t="s">
        <v>1042</v>
      </c>
      <c r="B15" s="1440" t="s">
        <v>1043</v>
      </c>
      <c r="C15" s="1441"/>
      <c r="I15" s="1444" t="s">
        <v>3338</v>
      </c>
    </row>
    <row r="16" spans="1:28">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3459</v>
      </c>
      <c r="C19" s="1441"/>
    </row>
    <row r="20" spans="1:3">
      <c r="A20" s="1440" t="s">
        <v>1048</v>
      </c>
      <c r="B20" s="1440" t="s">
        <v>3465</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6" t="s">
        <v>385</v>
      </c>
      <c r="C54" s="1444" t="s">
        <v>583</v>
      </c>
    </row>
    <row r="55" spans="1:4">
      <c r="A55" s="3221"/>
      <c r="B55" s="1446" t="s">
        <v>386</v>
      </c>
      <c r="C55" s="1444" t="s">
        <v>584</v>
      </c>
    </row>
    <row r="56" spans="1:4">
      <c r="A56" s="3221"/>
      <c r="B56" s="1446" t="s">
        <v>387</v>
      </c>
      <c r="C56" s="1444" t="s">
        <v>588</v>
      </c>
    </row>
    <row r="57" spans="1:4">
      <c r="A57" s="322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G23" sqref="G2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22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45989</v>
      </c>
      <c r="C3" s="2185" t="s">
        <v>2171</v>
      </c>
      <c r="D3" s="2184">
        <f>B3</f>
        <v>45989</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3407</v>
      </c>
      <c r="C8" s="2200"/>
      <c r="D8" s="3225" t="s">
        <v>2177</v>
      </c>
      <c r="E8" s="2201" t="s">
        <v>3408</v>
      </c>
      <c r="F8" s="2202"/>
      <c r="G8" s="2441"/>
      <c r="H8" s="2441"/>
      <c r="I8" s="2441"/>
      <c r="J8" s="2244"/>
      <c r="K8" s="2399"/>
      <c r="L8" s="2398"/>
      <c r="M8" s="2398"/>
      <c r="N8" s="2244"/>
      <c r="O8" s="1669"/>
      <c r="P8" s="2244"/>
      <c r="Q8" s="2244"/>
      <c r="R8" s="2244"/>
    </row>
    <row r="9" spans="1:30" ht="13.5" thickBot="1">
      <c r="A9" s="2203" t="s">
        <v>2178</v>
      </c>
      <c r="B9" s="2204" t="s">
        <v>3408</v>
      </c>
      <c r="C9" s="2205"/>
      <c r="D9" s="3226"/>
      <c r="E9" s="2204" t="s">
        <v>43</v>
      </c>
      <c r="F9" s="2206"/>
      <c r="G9" s="2442"/>
      <c r="H9" s="2442"/>
      <c r="I9" s="2442"/>
      <c r="J9" s="2244"/>
      <c r="K9" s="2401"/>
      <c r="L9" s="2398"/>
      <c r="M9" s="2398"/>
      <c r="N9" s="2244"/>
      <c r="O9" s="1669"/>
      <c r="P9" s="2244"/>
      <c r="Q9" s="2244"/>
      <c r="R9" s="2244"/>
    </row>
    <row r="10" spans="1:30" ht="13.5" thickTop="1">
      <c r="A10" s="2207" t="s">
        <v>2179</v>
      </c>
      <c r="B10" s="2208" t="s">
        <v>3409</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3410</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2567</v>
      </c>
      <c r="J12" s="2802"/>
      <c r="K12" s="2398"/>
      <c r="L12" s="2398"/>
      <c r="M12" s="2244"/>
      <c r="N12" s="1669"/>
      <c r="O12" s="2244"/>
      <c r="P12" s="2244"/>
      <c r="Q12" s="2244"/>
      <c r="AD12" s="1617"/>
    </row>
    <row r="13" spans="1:30">
      <c r="A13" s="3121" t="s">
        <v>3321</v>
      </c>
      <c r="B13" s="2217" t="s">
        <v>2190</v>
      </c>
      <c r="C13" s="802"/>
      <c r="D13" s="802">
        <v>52194</v>
      </c>
      <c r="E13" s="802">
        <v>55847</v>
      </c>
      <c r="F13" s="802"/>
      <c r="G13" s="802"/>
      <c r="H13" s="802"/>
      <c r="I13" s="802"/>
      <c r="J13" s="2802"/>
      <c r="K13" s="2398"/>
      <c r="L13" s="2398"/>
      <c r="M13" s="2244"/>
      <c r="N13" s="1669"/>
      <c r="O13" s="2244"/>
      <c r="P13" s="2244"/>
      <c r="Q13" s="2244"/>
      <c r="AD13" s="1617"/>
    </row>
    <row r="14" spans="1:30">
      <c r="A14" s="1017"/>
      <c r="B14" s="2217" t="s">
        <v>2191</v>
      </c>
      <c r="C14" s="2218"/>
      <c r="D14" s="2218">
        <v>40</v>
      </c>
      <c r="E14" s="2218">
        <v>50</v>
      </c>
      <c r="F14" s="2218"/>
      <c r="G14" s="2218"/>
      <c r="H14" s="2218"/>
      <c r="I14" s="2218"/>
      <c r="J14" s="2803"/>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17</v>
      </c>
      <c r="E15" s="2220">
        <f>IF(A13="出让",IF(E13="","",ROUNDDOWN(MIN((E13-$D$3)/365,E14),2)),E14)</f>
        <v>27</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32"/>
      <c r="C16" s="3233"/>
      <c r="D16" s="3234"/>
      <c r="E16" s="2221" t="s">
        <v>2194</v>
      </c>
      <c r="F16" s="3235"/>
      <c r="G16" s="3236"/>
      <c r="H16" s="3236"/>
      <c r="I16" s="3237"/>
      <c r="J16" s="2244"/>
      <c r="K16" s="2402"/>
      <c r="L16" s="1669"/>
      <c r="M16" s="1669"/>
      <c r="N16" s="2244"/>
      <c r="O16" s="1669"/>
      <c r="P16" s="2244"/>
      <c r="Q16" s="2244"/>
      <c r="R16" s="2244"/>
    </row>
    <row r="17" spans="1:28">
      <c r="A17" s="305" t="s">
        <v>2195</v>
      </c>
      <c r="B17" s="294" t="s">
        <v>2196</v>
      </c>
      <c r="C17" s="8">
        <f>'数据-汇总表'!E3</f>
        <v>2765.9</v>
      </c>
      <c r="D17" s="1255" t="s">
        <v>2197</v>
      </c>
      <c r="E17" s="3238" t="s">
        <v>2198</v>
      </c>
      <c r="F17" s="3239"/>
      <c r="G17" s="3239"/>
      <c r="H17" s="3239"/>
      <c r="I17" s="3240"/>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41" t="s">
        <v>2202</v>
      </c>
      <c r="F18" s="3242"/>
      <c r="G18" s="3242"/>
      <c r="H18" s="3242"/>
      <c r="I18" s="3243"/>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28" t="s">
        <v>2206</v>
      </c>
      <c r="C20" s="3229"/>
      <c r="D20" s="3230" t="s">
        <v>2207</v>
      </c>
      <c r="E20" s="3231"/>
      <c r="F20" s="2429" t="s">
        <v>1056</v>
      </c>
      <c r="G20" s="2441"/>
      <c r="H20" s="2441"/>
      <c r="I20" s="2441"/>
      <c r="J20" s="2244"/>
      <c r="K20" s="3227"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2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2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45"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5"/>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5"/>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46"/>
      <c r="B30" s="294" t="s">
        <v>2218</v>
      </c>
      <c r="C30" s="3247"/>
      <c r="D30" s="3248"/>
      <c r="E30" s="2441"/>
      <c r="F30" s="2441"/>
      <c r="G30" s="2441"/>
      <c r="H30" s="2441"/>
      <c r="I30" s="2441"/>
      <c r="J30" s="2244"/>
      <c r="K30" s="2401"/>
      <c r="L30" s="2398"/>
      <c r="M30" s="2398"/>
      <c r="N30" s="2244"/>
      <c r="O30" s="1669"/>
      <c r="P30" s="2244"/>
      <c r="Q30" s="2244"/>
      <c r="R30" s="2244"/>
      <c r="S30" s="2244"/>
      <c r="T30" s="2244"/>
      <c r="U30" s="2244"/>
      <c r="V30" s="2244"/>
    </row>
    <row r="31" spans="1:28">
      <c r="A31" s="3249"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50"/>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50"/>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44" t="s">
        <v>2228</v>
      </c>
      <c r="T34" s="315" t="str">
        <f>NUMBERSTRING(7-K34,1)&amp;"通"</f>
        <v>七通</v>
      </c>
      <c r="U34" s="2244"/>
      <c r="V34" s="2244"/>
    </row>
    <row r="35" spans="1:30">
      <c r="A35" s="2235"/>
      <c r="B35" s="3244" t="s">
        <v>2229</v>
      </c>
      <c r="C35" s="3244"/>
      <c r="D35" s="3244"/>
      <c r="E35" s="324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4"/>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2570</v>
      </c>
      <c r="G36" s="2441"/>
      <c r="H36" s="2441"/>
      <c r="I36" s="2441"/>
      <c r="J36" s="2244"/>
      <c r="K36" s="2401"/>
      <c r="L36" s="2398"/>
      <c r="M36" s="2398"/>
      <c r="N36" s="2244"/>
      <c r="O36" s="1669"/>
      <c r="P36" s="2244"/>
      <c r="Q36" s="2244"/>
      <c r="R36" s="2244"/>
      <c r="S36" s="2244"/>
      <c r="T36" s="2244"/>
      <c r="U36" s="2244"/>
      <c r="V36" s="2244"/>
    </row>
    <row r="37" spans="1:30">
      <c r="A37" s="2414" t="s">
        <v>2230</v>
      </c>
      <c r="B37" s="2236" t="s">
        <v>184</v>
      </c>
      <c r="C37" s="2236" t="s">
        <v>184</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t="s">
        <v>3417</v>
      </c>
      <c r="C38" s="2237" t="s">
        <v>235</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K16"/>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2765.9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2765.9</v>
      </c>
      <c r="H5" s="13">
        <f t="shared" ref="H5:AT5" si="0">SUM(H13:H656)</f>
        <v>2765.9</v>
      </c>
      <c r="I5" s="13">
        <f t="shared" si="0"/>
        <v>598.61</v>
      </c>
      <c r="J5" s="13">
        <f t="shared" si="0"/>
        <v>0</v>
      </c>
      <c r="K5" s="13">
        <f t="shared" si="0"/>
        <v>2167.29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2765.9</v>
      </c>
      <c r="BA5" s="15">
        <f t="shared" si="1"/>
        <v>2765.9</v>
      </c>
      <c r="BB5" s="15">
        <f t="shared" si="1"/>
        <v>598.61</v>
      </c>
      <c r="BC5" s="15">
        <f t="shared" si="1"/>
        <v>2167.29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3412</v>
      </c>
      <c r="J9" s="760"/>
      <c r="K9" s="1490" t="s">
        <v>3412</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t="s">
        <v>21</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76">
        <v>101</v>
      </c>
      <c r="D13" s="1512" t="s">
        <v>3413</v>
      </c>
      <c r="E13" s="13">
        <f>IF($C$3="是",ROUND($A$3*G13/$B$3,2),ROUND($A$3*(G13-AT13)/$B$3,2))</f>
        <v>0</v>
      </c>
      <c r="F13" s="29"/>
      <c r="G13" s="30">
        <f>H13+AC13+AT13</f>
        <v>598.61</v>
      </c>
      <c r="H13" s="17">
        <f>SUMIF(I$12:AB$12,"总值",I13:AB13)</f>
        <v>598.61</v>
      </c>
      <c r="I13" s="1513">
        <v>598.61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101</v>
      </c>
      <c r="AY13" s="1259">
        <f>ROUND($AY$6*AZ13/$AZ$5,2)</f>
        <v>0</v>
      </c>
      <c r="AZ13" s="13">
        <f>BA13+BL13</f>
        <v>598.61</v>
      </c>
      <c r="BA13" s="13">
        <f>SUM(BB13:BK13)</f>
        <v>598.61</v>
      </c>
      <c r="BB13" s="13">
        <f>IF($D13="是",I13-J13,0)</f>
        <v>598.61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3177">
        <v>201</v>
      </c>
      <c r="D14" s="1512" t="s">
        <v>3413</v>
      </c>
      <c r="E14" s="13">
        <f>IF($C$3="是",ROUND($A$3*G14/$B$3,2),ROUND($A$3*(G14-AT14)/$B$3,2))</f>
        <v>0</v>
      </c>
      <c r="F14" s="29"/>
      <c r="G14" s="30">
        <f>H14+AC14+AT14</f>
        <v>1083.8499999999999</v>
      </c>
      <c r="H14" s="17">
        <f>SUMIF(I$12:AB$12,"总值",I14:AB14)</f>
        <v>1083.8499999999999</v>
      </c>
      <c r="I14" s="1513"/>
      <c r="J14" s="1513"/>
      <c r="K14" s="1513">
        <v>1083.8499999999999</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201</v>
      </c>
      <c r="AY14" s="1259">
        <f>ROUND($AY$6*AZ14/$AZ$5,2)</f>
        <v>0</v>
      </c>
      <c r="AZ14" s="13">
        <f>BA14+BL14</f>
        <v>1083.8499999999999</v>
      </c>
      <c r="BA14" s="13">
        <f>SUM(BB14:BK14)</f>
        <v>1083.8499999999999</v>
      </c>
      <c r="BB14" s="13">
        <f>IF($D14="是",I14-J14,0)</f>
        <v>0</v>
      </c>
      <c r="BC14" s="13">
        <f>IF($D14="是",K14-L14,0)</f>
        <v>1083.8499999999999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3177">
        <v>301</v>
      </c>
      <c r="D15" s="1512" t="s">
        <v>3413</v>
      </c>
      <c r="E15" s="13">
        <f>IF($C$3="是",ROUND($A$3*G15/$B$3,2),ROUND($A$3*(G15-AT15)/$B$3,2))</f>
        <v>0</v>
      </c>
      <c r="F15" s="29"/>
      <c r="G15" s="30">
        <f>H15+AC15+AT15</f>
        <v>1083.44</v>
      </c>
      <c r="H15" s="17">
        <f>SUMIF(I$12:AB$12,"总值",I15:AB15)</f>
        <v>1083.44</v>
      </c>
      <c r="I15" s="1513"/>
      <c r="J15" s="1513"/>
      <c r="K15" s="1513">
        <v>1083.44</v>
      </c>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301</v>
      </c>
      <c r="AY15" s="1259">
        <f>ROUND($AY$6*AZ15/$AZ$5,2)</f>
        <v>0</v>
      </c>
      <c r="AZ15" s="13">
        <f>BA15+BL15</f>
        <v>1083.44</v>
      </c>
      <c r="BA15" s="13">
        <f>SUM(BB15:BK15)</f>
        <v>1083.44</v>
      </c>
      <c r="BB15" s="13">
        <f>IF($D15="是",I15-J15,0)</f>
        <v>0</v>
      </c>
      <c r="BC15" s="13">
        <f>IF($D15="是",K15-L15,0)</f>
        <v>1083.44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3177"/>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0" t="s">
        <v>1131</v>
      </c>
      <c r="B2" s="3260"/>
      <c r="C2" s="3260"/>
      <c r="D2" s="747" t="s">
        <v>1107</v>
      </c>
      <c r="E2" s="1522" t="s">
        <v>1108</v>
      </c>
      <c r="F2" s="2438"/>
      <c r="G2" s="2431"/>
      <c r="H2" s="2432"/>
      <c r="I2" s="2145" t="s">
        <v>1132</v>
      </c>
      <c r="J2" s="2438"/>
      <c r="K2" s="2438"/>
      <c r="L2" s="2438"/>
      <c r="M2" s="2438"/>
      <c r="N2" s="2439"/>
      <c r="O2" s="2438"/>
      <c r="P2" s="2438"/>
    </row>
    <row r="3" spans="1:16" ht="15.75" thickBot="1">
      <c r="A3" s="3261" t="s">
        <v>1105</v>
      </c>
      <c r="B3" s="3261"/>
      <c r="C3" s="3261"/>
      <c r="D3" s="41">
        <f>'数据-基础表'!AY6</f>
        <v>0</v>
      </c>
      <c r="E3" s="41">
        <f>'数据-基础表'!AZ5</f>
        <v>2765.9</v>
      </c>
      <c r="F3" s="2438"/>
      <c r="G3" s="42"/>
      <c r="H3" s="43" t="s">
        <v>1106</v>
      </c>
      <c r="I3" s="801" t="e">
        <f>ROUND('数据-基础表'!B3/'数据-基础表'!A3,2)</f>
        <v>#DIV/0!</v>
      </c>
      <c r="J3" s="2438"/>
      <c r="K3" s="2438"/>
      <c r="L3" s="2438"/>
      <c r="M3" s="2438"/>
      <c r="N3" s="2439"/>
      <c r="O3" s="2438"/>
      <c r="P3" s="2438"/>
    </row>
    <row r="4" spans="1:16" ht="15">
      <c r="A4" s="3262"/>
      <c r="B4" s="3263"/>
      <c r="C4" s="3264"/>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65" t="s">
        <v>1110</v>
      </c>
      <c r="C5" s="3265"/>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65" t="s">
        <v>1111</v>
      </c>
      <c r="C6" s="3265"/>
      <c r="D6" s="43">
        <f>ROUND($D$3*E6/$E$3,2)</f>
        <v>0</v>
      </c>
      <c r="E6" s="44">
        <f>E3-E5</f>
        <v>2765.9</v>
      </c>
      <c r="F6" s="2438"/>
      <c r="G6" s="1528" t="s">
        <v>1112</v>
      </c>
      <c r="H6" s="45" t="s">
        <v>1113</v>
      </c>
      <c r="I6" s="2434" t="e">
        <f>ROUND(F31/D31,2)</f>
        <v>#DIV/0!</v>
      </c>
      <c r="J6" s="2438"/>
      <c r="K6" s="2438"/>
      <c r="L6" s="2438"/>
      <c r="M6" s="2438"/>
      <c r="N6" s="2438"/>
      <c r="O6" s="2438"/>
      <c r="P6" s="2438"/>
    </row>
    <row r="7" spans="1:16" ht="15.75" thickBot="1">
      <c r="A7" s="3257"/>
      <c r="B7" s="3258"/>
      <c r="C7" s="3259"/>
      <c r="D7" s="1523" t="s">
        <v>1107</v>
      </c>
      <c r="E7" s="1527" t="s">
        <v>1114</v>
      </c>
      <c r="F7" s="2438"/>
      <c r="G7" s="2435" t="s">
        <v>1115</v>
      </c>
      <c r="H7" s="95"/>
      <c r="I7" s="2436">
        <v>8.23</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2765.9</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2765.9</v>
      </c>
      <c r="F16" s="2438"/>
      <c r="G16" s="2438"/>
      <c r="H16" s="1530" t="s">
        <v>1135</v>
      </c>
      <c r="I16" s="1531"/>
      <c r="J16" s="1070"/>
      <c r="K16" s="3254" t="s">
        <v>1135</v>
      </c>
      <c r="L16" s="3255"/>
      <c r="M16" s="3255"/>
      <c r="N16" s="3255"/>
      <c r="O16" s="3255"/>
      <c r="P16" s="3256"/>
    </row>
    <row r="17" spans="1:19" ht="15">
      <c r="A17" s="1532" t="s">
        <v>1136</v>
      </c>
      <c r="B17" s="1533" t="s">
        <v>1137</v>
      </c>
      <c r="C17" s="1534" t="s">
        <v>1138</v>
      </c>
      <c r="D17" s="1535" t="s">
        <v>1126</v>
      </c>
      <c r="E17" s="1536" t="s">
        <v>1127</v>
      </c>
      <c r="F17" s="1537"/>
      <c r="G17" s="1538"/>
      <c r="H17" s="1539" t="s">
        <v>1139</v>
      </c>
      <c r="I17" s="1540" t="s">
        <v>1124</v>
      </c>
      <c r="J17" s="1070"/>
      <c r="K17" s="3251" t="s">
        <v>1140</v>
      </c>
      <c r="L17" s="3252"/>
      <c r="M17" s="3253"/>
      <c r="N17" s="3251" t="s">
        <v>1141</v>
      </c>
      <c r="O17" s="3252"/>
      <c r="P17" s="3253"/>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3414</v>
      </c>
      <c r="D19" s="43">
        <f>ROUND($D$3*E19/$E$3,2)</f>
        <v>0</v>
      </c>
      <c r="E19" s="51">
        <f t="shared" ref="E19:E26" si="1">SUM(F19:G19)</f>
        <v>598.61</v>
      </c>
      <c r="F19" s="2557">
        <f>'数据-基础表'!I13</f>
        <v>598.61</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598.61</v>
      </c>
    </row>
    <row r="20" spans="1:19">
      <c r="A20" s="1548"/>
      <c r="B20" s="45" t="s">
        <v>1153</v>
      </c>
      <c r="C20" s="3115" t="s">
        <v>3457</v>
      </c>
      <c r="D20" s="43">
        <f t="shared" ref="D20:D26" si="6">ROUND($D$3*E20/$E$3,2)</f>
        <v>0</v>
      </c>
      <c r="E20" s="51">
        <f t="shared" si="1"/>
        <v>2167.29</v>
      </c>
      <c r="F20" s="2557">
        <f>'数据-基础表'!K14+'数据-基础表'!K15</f>
        <v>2167.29</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2167.29</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2765.9</v>
      </c>
      <c r="F27" s="1071">
        <f>IF(SUM(F19:F26)=E8,SUM(F19:F26),"地上面积有误")</f>
        <v>2765.9</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2765.9</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2765.9</v>
      </c>
      <c r="F31" s="643">
        <f>F27+F30</f>
        <v>2765.9</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2" width="8.75" style="1560" customWidth="1"/>
    <col min="33"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45989</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3411</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52194</v>
      </c>
      <c r="F6" s="61">
        <f>SUMIF(项目基本情况!C$12:I$12,C6,项目基本情况!C$15:I$15)</f>
        <v>17</v>
      </c>
      <c r="G6" s="62">
        <f>IF(ISERROR(ROUND(POWER(1+H6,D6-F6)*(POWER(1+H6,F6)-1)/(POWER(1+H6,D6)-1),3)),0,ROUND(POWER(1+H6,D6-F6)*(POWER(1+H6,F6)-1)/(POWER(1+H6,D6)-1),3))</f>
        <v>0.65700000000000003</v>
      </c>
      <c r="H6" s="690">
        <v>0.05</v>
      </c>
      <c r="I6" s="690">
        <v>5.5E-2</v>
      </c>
      <c r="J6" s="63">
        <v>7.0000000000000007E-2</v>
      </c>
      <c r="K6" s="969">
        <f>SUMIF('数据-汇总表'!C$19:C$33,A6,'数据-汇总表'!E$19:E$33)</f>
        <v>598.61</v>
      </c>
      <c r="L6" s="691">
        <v>4000</v>
      </c>
      <c r="M6" s="64">
        <f t="shared" ref="M6:M14" si="0">ROUND(K6*L6/10000,0)</f>
        <v>239</v>
      </c>
      <c r="N6" s="689">
        <f>N20</f>
        <v>0.82</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f>'比较法-商业'!C49</f>
        <v>7.5</v>
      </c>
      <c r="V6" s="67">
        <v>0.02</v>
      </c>
      <c r="W6" s="67">
        <v>0.1</v>
      </c>
      <c r="X6" s="978"/>
      <c r="Y6" s="68">
        <f>N6</f>
        <v>0.82</v>
      </c>
      <c r="Z6" s="69"/>
      <c r="AA6" s="63"/>
      <c r="AB6" s="63"/>
      <c r="AC6" s="978"/>
      <c r="AD6" s="70"/>
      <c r="AE6" s="979">
        <f ca="1">IF(AN6="",0,SUMIF(INDIRECT("'"&amp;AN6&amp;"'"&amp;"!E:E"),$AE$5,INDIRECT("'"&amp;AN6&amp;"'"&amp;"!F:F")))</f>
        <v>17</v>
      </c>
      <c r="AF6" s="74"/>
      <c r="AG6" s="130">
        <f>IF(AF6="",0,AE6-AF6)</f>
        <v>0</v>
      </c>
      <c r="AH6" s="71"/>
      <c r="AI6" s="73">
        <v>365</v>
      </c>
      <c r="AJ6" s="74"/>
      <c r="AK6" s="75">
        <v>2E-3</v>
      </c>
      <c r="AL6" s="76">
        <v>1E-3</v>
      </c>
      <c r="AM6" s="77">
        <v>5.0000000000000001E-3</v>
      </c>
      <c r="AN6" s="1588" t="s">
        <v>3464</v>
      </c>
      <c r="AO6" s="50">
        <f ca="1">SUMIF(INDIRECT("'"&amp;AN6&amp;"'"&amp;"!A:A"),"总价",INDIRECT("'"&amp;AN6&amp;"'"&amp;"!B:B"))</f>
        <v>1553</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办公</v>
      </c>
      <c r="B7" s="1586" t="str">
        <f t="shared" ref="B7:B13" si="1">IF(A7=0,"","经营性")</f>
        <v>经营性</v>
      </c>
      <c r="C7" s="1587" t="s">
        <v>21</v>
      </c>
      <c r="D7" s="804">
        <f>SUMIF(项目基本情况!C$12:I$12,C7,项目基本情况!C$14:I$14)</f>
        <v>50</v>
      </c>
      <c r="E7" s="803">
        <f>IF(B7="","",SUMIF(项目基本情况!C$12:I$12,C7,项目基本情况!C$13:I$13))</f>
        <v>55847</v>
      </c>
      <c r="F7" s="61">
        <f>SUMIF(项目基本情况!C$12:I$12,C7,项目基本情况!C$15:I$15)</f>
        <v>27</v>
      </c>
      <c r="G7" s="62">
        <f t="shared" ref="G7:G11" si="2">IF(ISERROR(ROUND(POWER(1+H7,D7-F7)*(POWER(1+H7,F7)-1)/(POWER(1+H7,D7)-1),3)),0,ROUND(POWER(1+H7,D7-F7)*(POWER(1+H7,F7)-1)/(POWER(1+H7,D7)-1),3))</f>
        <v>0.80200000000000005</v>
      </c>
      <c r="H7" s="690">
        <v>0.05</v>
      </c>
      <c r="I7" s="690">
        <v>5.5E-2</v>
      </c>
      <c r="J7" s="63">
        <v>7.0000000000000007E-2</v>
      </c>
      <c r="K7" s="969">
        <f>SUMIF('数据-汇总表'!C$19:C$33,A7,'数据-汇总表'!E$19:E$33)</f>
        <v>2167.29</v>
      </c>
      <c r="L7" s="691">
        <f>L6</f>
        <v>4000</v>
      </c>
      <c r="M7" s="64">
        <f t="shared" si="0"/>
        <v>867</v>
      </c>
      <c r="N7" s="689">
        <f>N6</f>
        <v>0.82</v>
      </c>
      <c r="O7" s="64" t="str">
        <f t="shared" ref="O7:O14" si="3">IF($N$5="成新度","——",ROUND(M7*N7,0))</f>
        <v>——</v>
      </c>
      <c r="P7" s="65" t="str">
        <f t="shared" ref="P7:P14" si="4">IF($N$5="成新度","——",M7-O7)</f>
        <v>——</v>
      </c>
      <c r="Q7" s="692">
        <v>0.15</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f>'比较法-办公'!C50</f>
        <v>3.5</v>
      </c>
      <c r="V7" s="67">
        <v>0.02</v>
      </c>
      <c r="W7" s="67">
        <v>0.1</v>
      </c>
      <c r="X7" s="978"/>
      <c r="Y7" s="68">
        <f>Y6</f>
        <v>0.82</v>
      </c>
      <c r="Z7" s="69"/>
      <c r="AA7" s="63"/>
      <c r="AB7" s="63"/>
      <c r="AC7" s="978"/>
      <c r="AD7" s="70"/>
      <c r="AE7" s="979">
        <f t="shared" ref="AE7:AE13" ca="1" si="6">IF(AN7="",0,SUMIF(INDIRECT("'"&amp;AN7&amp;"'"&amp;"!E:E"),$AE$5,INDIRECT("'"&amp;AN7&amp;"'"&amp;"!F:F")))</f>
        <v>27</v>
      </c>
      <c r="AF7" s="74"/>
      <c r="AG7" s="130">
        <f t="shared" ref="AG7:AG13" si="7">IF(AF7="",0,AE7-AF7)</f>
        <v>0</v>
      </c>
      <c r="AH7" s="71"/>
      <c r="AI7" s="73">
        <v>365</v>
      </c>
      <c r="AJ7" s="74"/>
      <c r="AK7" s="75">
        <v>2E-3</v>
      </c>
      <c r="AL7" s="76">
        <v>1E-3</v>
      </c>
      <c r="AM7" s="77">
        <v>5.0000000000000001E-3</v>
      </c>
      <c r="AN7" s="1588" t="s">
        <v>3458</v>
      </c>
      <c r="AO7" s="50">
        <f t="shared" ref="AO7:AO13" ca="1" si="8">SUMIF(INDIRECT("'"&amp;AN7&amp;"'"&amp;"!A:A"),"总价",INDIRECT("'"&amp;AN7&amp;"'"&amp;"!B:B"))</f>
        <v>3524</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0.77100000000000002</v>
      </c>
      <c r="H16" s="84">
        <f>ROUND(SUMPRODUCT(H6:H13,K6:K13)/SUMPRODUCT((H6:H13&gt;0)*(K6:K13)),3)</f>
        <v>0.05</v>
      </c>
      <c r="I16" s="85"/>
      <c r="J16" s="85"/>
      <c r="K16" s="86">
        <f>SUM(K6:K15)</f>
        <v>2765.9</v>
      </c>
      <c r="L16" s="87">
        <f>ROUND(M16*10000/SUM(K6:K14),0)</f>
        <v>3999</v>
      </c>
      <c r="M16" s="87">
        <f>SUM(M6:M14)</f>
        <v>1106</v>
      </c>
      <c r="N16" s="88">
        <f>ROUND(SUMPRODUCT(M6:M14,N6:N14)/M16,3)</f>
        <v>0.82</v>
      </c>
      <c r="O16" s="87">
        <f>SUM(O6:O14)</f>
        <v>0</v>
      </c>
      <c r="P16" s="87">
        <f>SUM(P6:P14)</f>
        <v>0</v>
      </c>
      <c r="Q16" s="89">
        <f>ROUND(SUMPRODUCT(Q6:Q13,K6:K13)/SUMPRODUCT((Q6:Q13&gt;0)*(K6:K13)),2)</f>
        <v>0.16</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3169" t="s">
        <v>3415</v>
      </c>
      <c r="N18" s="2448">
        <f>ROUND(1-(1-0%)*(2025-2002)/60,2)</f>
        <v>0.62</v>
      </c>
      <c r="O18" s="2448">
        <v>0.3</v>
      </c>
      <c r="P18" s="2448"/>
      <c r="Q18" s="2448"/>
      <c r="R18" s="2448"/>
      <c r="S18" s="2448"/>
      <c r="T18" s="2448"/>
      <c r="U18" s="3169"/>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2293</v>
      </c>
      <c r="D19" s="2451"/>
      <c r="E19" s="2438"/>
      <c r="F19" s="2438"/>
      <c r="G19" s="2438"/>
      <c r="H19" s="2438"/>
      <c r="I19" s="2438"/>
      <c r="J19" s="2438"/>
      <c r="K19" s="2449"/>
      <c r="L19" s="2449"/>
      <c r="M19" s="3169" t="s">
        <v>3416</v>
      </c>
      <c r="N19" s="2448">
        <v>0.9</v>
      </c>
      <c r="O19" s="2448">
        <v>0.7</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2291</v>
      </c>
      <c r="D20" s="2451"/>
      <c r="E20" s="2438"/>
      <c r="F20" s="2438"/>
      <c r="G20" s="2438"/>
      <c r="H20" s="2438"/>
      <c r="I20" s="2438"/>
      <c r="J20" s="2438"/>
      <c r="K20" s="2449"/>
      <c r="L20" s="2449"/>
      <c r="M20" s="2448"/>
      <c r="N20" s="2448">
        <f>ROUND(N18*O18+N19*O19,2)</f>
        <v>0.82</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3169"/>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3169"/>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成本法!C10</f>
        <v>55</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4" t="s">
        <v>3371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2286</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3389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0.03</v>
      </c>
      <c r="C37" s="2564" t="s">
        <v>3372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0.03</v>
      </c>
      <c r="C38" s="2564" t="s">
        <v>3373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3374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24</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184</v>
      </c>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66" t="s">
        <v>2277</v>
      </c>
      <c r="B1" s="3267"/>
      <c r="C1" s="3267"/>
      <c r="D1" s="3267"/>
      <c r="E1" s="3267"/>
      <c r="F1" s="3267"/>
      <c r="G1" s="326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5" t="s">
        <v>2254</v>
      </c>
      <c r="C4" s="2268"/>
      <c r="D4" s="2265"/>
      <c r="E4" s="2269"/>
      <c r="F4" s="1280" t="s">
        <v>2255</v>
      </c>
      <c r="G4" s="2270"/>
      <c r="H4" s="750"/>
      <c r="I4" s="750"/>
      <c r="J4" s="750"/>
      <c r="K4" s="750"/>
      <c r="L4" s="750"/>
      <c r="M4" s="750"/>
      <c r="N4" s="750"/>
      <c r="O4" s="750"/>
      <c r="P4" s="750"/>
      <c r="Q4" s="750"/>
    </row>
    <row r="5" spans="1:29">
      <c r="A5" s="2247"/>
      <c r="B5" s="315" t="s">
        <v>2256</v>
      </c>
      <c r="C5" s="2268"/>
      <c r="D5" s="2265"/>
      <c r="E5" s="2269"/>
      <c r="F5" s="315" t="s">
        <v>2257</v>
      </c>
      <c r="G5" s="2270"/>
      <c r="H5" s="750"/>
      <c r="I5" s="750"/>
      <c r="J5" s="750"/>
      <c r="K5" s="750"/>
      <c r="L5" s="750"/>
      <c r="M5" s="750"/>
      <c r="N5" s="750"/>
      <c r="O5" s="750"/>
      <c r="P5" s="750"/>
      <c r="Q5" s="750"/>
    </row>
    <row r="6" spans="1:29">
      <c r="A6" s="2247"/>
      <c r="B6" s="315" t="s">
        <v>2258</v>
      </c>
      <c r="C6" s="2270"/>
      <c r="D6" s="2265"/>
      <c r="E6" s="2269"/>
      <c r="F6" s="315" t="s">
        <v>2259</v>
      </c>
      <c r="G6" s="2270"/>
      <c r="H6" s="750"/>
      <c r="I6" s="750"/>
      <c r="J6" s="750"/>
      <c r="K6" s="750"/>
      <c r="L6" s="750"/>
      <c r="M6" s="750"/>
      <c r="N6" s="750"/>
      <c r="O6" s="750"/>
      <c r="P6" s="750"/>
      <c r="Q6" s="750"/>
    </row>
    <row r="7" spans="1:29" ht="15" thickBot="1">
      <c r="A7" s="2247"/>
      <c r="B7" s="315" t="s">
        <v>2257</v>
      </c>
      <c r="C7" s="2270"/>
      <c r="D7" s="2244"/>
      <c r="E7" s="2271"/>
      <c r="F7" s="2272" t="s">
        <v>2260</v>
      </c>
      <c r="G7" s="2273"/>
      <c r="H7" s="750"/>
      <c r="I7" s="750"/>
      <c r="J7" s="750"/>
      <c r="K7" s="750"/>
      <c r="L7" s="750"/>
      <c r="M7" s="750"/>
      <c r="N7" s="750"/>
      <c r="O7" s="750"/>
      <c r="P7" s="750"/>
      <c r="Q7" s="750"/>
    </row>
    <row r="8" spans="1:29">
      <c r="A8" s="2247"/>
      <c r="B8" s="315" t="s">
        <v>2259</v>
      </c>
      <c r="C8" s="2270"/>
      <c r="D8" s="2244"/>
      <c r="E8" s="2244"/>
      <c r="F8" s="121"/>
      <c r="G8" s="121"/>
      <c r="H8" s="750"/>
      <c r="I8" s="750"/>
      <c r="J8" s="750"/>
      <c r="K8" s="750"/>
      <c r="L8" s="750"/>
      <c r="M8" s="750"/>
      <c r="N8" s="750"/>
      <c r="O8" s="750"/>
      <c r="P8" s="750"/>
      <c r="Q8" s="750"/>
    </row>
    <row r="9" spans="1:29">
      <c r="A9" s="2247"/>
      <c r="B9" s="315" t="s">
        <v>2261</v>
      </c>
      <c r="C9" s="2268"/>
      <c r="D9" s="2265"/>
      <c r="E9" s="2244"/>
      <c r="F9" s="121"/>
      <c r="G9" s="121"/>
      <c r="H9" s="750"/>
      <c r="I9" s="750"/>
      <c r="J9" s="750"/>
      <c r="K9" s="750"/>
      <c r="L9" s="750"/>
      <c r="M9" s="750"/>
      <c r="N9" s="750"/>
      <c r="O9" s="750"/>
      <c r="P9" s="750"/>
      <c r="Q9" s="750"/>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0"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B42E7-9F87-4936-8778-BD4543BA166D}">
  <sheetPr>
    <tabColor rgb="FFFFFF00"/>
  </sheetPr>
  <dimension ref="A1:R16"/>
  <sheetViews>
    <sheetView workbookViewId="0">
      <selection activeCell="C14" sqref="C14"/>
    </sheetView>
  </sheetViews>
  <sheetFormatPr defaultRowHeight="13.5"/>
  <cols>
    <col min="1" max="1" width="9" style="2813"/>
    <col min="2" max="3" width="11.625" style="2813" bestFit="1" customWidth="1"/>
    <col min="4" max="4" width="13" style="2813" bestFit="1" customWidth="1"/>
    <col min="5" max="5" width="11.625" style="2813" bestFit="1" customWidth="1"/>
    <col min="6" max="8" width="9" style="2813"/>
    <col min="9" max="18" width="11.625" style="2813" bestFit="1" customWidth="1"/>
    <col min="19" max="16384" width="9" style="2813"/>
  </cols>
  <sheetData>
    <row r="1" spans="1:18">
      <c r="A1" s="1420" t="s">
        <v>3439</v>
      </c>
      <c r="B1" s="3170">
        <f>项目基本情况!D3</f>
        <v>45989</v>
      </c>
      <c r="G1" s="1420" t="s">
        <v>3463</v>
      </c>
      <c r="J1" s="3170"/>
      <c r="K1" s="3170"/>
      <c r="L1" s="3174"/>
      <c r="M1" s="3170"/>
      <c r="N1" s="3170"/>
      <c r="O1" s="3170"/>
      <c r="P1" s="3170"/>
      <c r="Q1" s="3174"/>
      <c r="R1" s="3170"/>
    </row>
    <row r="2" spans="1:18">
      <c r="A2" s="1428" t="s">
        <v>3435</v>
      </c>
      <c r="B2" s="1428" t="s">
        <v>3431</v>
      </c>
      <c r="C2" s="1428" t="s">
        <v>3432</v>
      </c>
      <c r="D2" s="1428" t="s">
        <v>3433</v>
      </c>
      <c r="E2" s="1428" t="s">
        <v>3434</v>
      </c>
      <c r="F2" s="1428" t="s">
        <v>3437</v>
      </c>
      <c r="G2" s="1428" t="s">
        <v>3438</v>
      </c>
      <c r="I2" s="3170"/>
      <c r="J2" s="3170"/>
      <c r="K2" s="3170"/>
      <c r="L2" s="3170"/>
      <c r="M2" s="3170"/>
      <c r="N2" s="3170"/>
      <c r="O2" s="3170"/>
      <c r="P2" s="3170"/>
      <c r="Q2" s="3170"/>
      <c r="R2" s="3170"/>
    </row>
    <row r="3" spans="1:18">
      <c r="A3" s="3178">
        <f>(C3-B3)/365</f>
        <v>3</v>
      </c>
      <c r="B3" s="3179">
        <v>45945</v>
      </c>
      <c r="C3" s="3179">
        <v>47040</v>
      </c>
      <c r="D3" s="3178">
        <v>325000</v>
      </c>
      <c r="E3" s="3178">
        <f>3900000*3</f>
        <v>11700000</v>
      </c>
      <c r="F3" s="3178">
        <f>ROUND(D3/A9/30,2)</f>
        <v>3.92</v>
      </c>
      <c r="G3" s="3178"/>
    </row>
    <row r="4" spans="1:18">
      <c r="A4" s="3178">
        <f>ROUND((C4-B4)/365,0)</f>
        <v>3</v>
      </c>
      <c r="B4" s="3179">
        <v>47041</v>
      </c>
      <c r="C4" s="3179">
        <v>48135</v>
      </c>
      <c r="D4" s="3178">
        <v>341250</v>
      </c>
      <c r="E4" s="3178">
        <f>4095000*3</f>
        <v>12285000</v>
      </c>
      <c r="F4" s="3178">
        <f>ROUND(D4/A9/30,2)</f>
        <v>4.1100000000000003</v>
      </c>
      <c r="G4" s="3178">
        <f>ROUND(F4/F3-1,2)</f>
        <v>0.05</v>
      </c>
    </row>
    <row r="5" spans="1:18">
      <c r="A5" s="3178">
        <f>(C5-B5)/365</f>
        <v>3</v>
      </c>
      <c r="B5" s="3179">
        <v>48136</v>
      </c>
      <c r="C5" s="3179">
        <v>49231</v>
      </c>
      <c r="D5" s="3178">
        <v>358312.5</v>
      </c>
      <c r="E5" s="3178">
        <f>4299750*3</f>
        <v>12899250</v>
      </c>
      <c r="F5" s="3178">
        <f>ROUND(D5/A9/30,2)</f>
        <v>4.32</v>
      </c>
      <c r="G5" s="3178">
        <f>ROUND(F5/F4-1,2)</f>
        <v>0.05</v>
      </c>
    </row>
    <row r="6" spans="1:18">
      <c r="A6" s="3178">
        <f>ROUND((C6-B6)/365,0)</f>
        <v>1</v>
      </c>
      <c r="B6" s="3179">
        <v>49232</v>
      </c>
      <c r="C6" s="3179">
        <v>49596</v>
      </c>
      <c r="D6" s="3178">
        <v>376228.13</v>
      </c>
      <c r="E6" s="3178">
        <f>4514737.56</f>
        <v>4514737.5599999996</v>
      </c>
      <c r="F6" s="3178">
        <f>ROUND(D6/A9/30,2)</f>
        <v>4.53</v>
      </c>
      <c r="G6" s="3178">
        <f>ROUND(F6/F5-1,2)</f>
        <v>0.05</v>
      </c>
    </row>
    <row r="7" spans="1:18">
      <c r="A7" s="3178"/>
      <c r="B7" s="1428" t="s">
        <v>3462</v>
      </c>
      <c r="C7" s="3178"/>
      <c r="D7" s="3178"/>
      <c r="E7" s="3178">
        <f>SUM(E3:E6)</f>
        <v>41398987.560000002</v>
      </c>
      <c r="F7" s="3178">
        <f>ROUND(E7/A9/10/365,2)</f>
        <v>4.0999999999999996</v>
      </c>
      <c r="G7" s="3178"/>
    </row>
    <row r="8" spans="1:18">
      <c r="A8" s="1420" t="s">
        <v>3436</v>
      </c>
    </row>
    <row r="9" spans="1:18">
      <c r="A9" s="2813">
        <f>'数据-汇总表'!E3</f>
        <v>2765.9</v>
      </c>
    </row>
    <row r="11" spans="1:18">
      <c r="B11" s="3171" t="s">
        <v>3440</v>
      </c>
      <c r="C11" s="3172">
        <f>ROUND((C6-B1)/365,2)</f>
        <v>9.8800000000000008</v>
      </c>
      <c r="D11" s="3172" t="s">
        <v>3441</v>
      </c>
      <c r="F11" s="1420"/>
      <c r="G11" s="1420" t="s">
        <v>3450</v>
      </c>
      <c r="H11" s="1420" t="s">
        <v>3451</v>
      </c>
      <c r="I11" s="1420" t="s">
        <v>3452</v>
      </c>
    </row>
    <row r="12" spans="1:18">
      <c r="B12" s="3171" t="s">
        <v>3442</v>
      </c>
      <c r="C12" s="3172">
        <f>A9*F7*C11*365</f>
        <v>40894993.178000003</v>
      </c>
      <c r="D12" s="3172">
        <f>ROUND(C12/C13/C11/365,2)</f>
        <v>4.0999999999999996</v>
      </c>
      <c r="F12" s="1420" t="s">
        <v>3447</v>
      </c>
      <c r="G12" s="2813">
        <f>'数据-基础表'!I13</f>
        <v>598.61</v>
      </c>
      <c r="I12" s="2813">
        <v>7.5</v>
      </c>
      <c r="J12" s="2813">
        <f>G12*I12</f>
        <v>4489.5749999999998</v>
      </c>
    </row>
    <row r="13" spans="1:18">
      <c r="B13" s="3171" t="s">
        <v>3443</v>
      </c>
      <c r="C13" s="3172">
        <f>A9</f>
        <v>2765.9</v>
      </c>
      <c r="D13" s="3172"/>
      <c r="F13" s="1420" t="s">
        <v>3448</v>
      </c>
      <c r="G13" s="2813">
        <f>'数据-基础表'!K14</f>
        <v>1083.8499999999999</v>
      </c>
      <c r="H13" s="2813">
        <f>I13/I12</f>
        <v>0.46666666666666667</v>
      </c>
      <c r="I13" s="2813">
        <v>3.5</v>
      </c>
      <c r="J13" s="2813">
        <f t="shared" ref="J13:J14" si="0">G13*I13</f>
        <v>3793.4749999999995</v>
      </c>
    </row>
    <row r="14" spans="1:18">
      <c r="B14" s="3171" t="s">
        <v>3444</v>
      </c>
      <c r="C14" s="3172">
        <f>I15</f>
        <v>4.37</v>
      </c>
      <c r="D14" s="3172"/>
      <c r="F14" s="1420" t="s">
        <v>3449</v>
      </c>
      <c r="G14" s="2813">
        <f>'数据-基础表'!K15</f>
        <v>1083.44</v>
      </c>
      <c r="H14" s="2813">
        <f>I14/I12</f>
        <v>0.46666666666666667</v>
      </c>
      <c r="I14" s="2813">
        <v>3.5</v>
      </c>
      <c r="J14" s="2813">
        <f t="shared" si="0"/>
        <v>3792.04</v>
      </c>
    </row>
    <row r="15" spans="1:18">
      <c r="B15" s="3171" t="s">
        <v>3445</v>
      </c>
      <c r="C15" s="3173">
        <v>0.02</v>
      </c>
      <c r="D15" s="3172"/>
      <c r="G15" s="2813">
        <f>SUM(G12:G14)</f>
        <v>2765.9</v>
      </c>
      <c r="I15" s="2813">
        <f>ROUND(J15/G15,2)</f>
        <v>4.37</v>
      </c>
      <c r="J15" s="2813">
        <f>SUM(J12:J14)</f>
        <v>12075.09</v>
      </c>
    </row>
    <row r="16" spans="1:18">
      <c r="B16" s="3171" t="s">
        <v>3446</v>
      </c>
      <c r="C16" s="3172">
        <f>ROUND(C14*(1+C15)^C11,2)</f>
        <v>5.31</v>
      </c>
      <c r="D16" s="3172"/>
      <c r="G16" s="1420" t="s">
        <v>3461</v>
      </c>
      <c r="H16" s="3175">
        <v>0.1</v>
      </c>
      <c r="I16" s="2813">
        <f>I15*(1-H16)</f>
        <v>3.9330000000000003</v>
      </c>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23" sqref="N23"/>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2765.9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45989</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7588</v>
      </c>
      <c r="C5" s="2299">
        <f ca="1">IF(B5=D14,结果表!H102,ROUND(B5*10000/$B$1,0))</f>
        <v>27434</v>
      </c>
      <c r="D5" s="2299" t="e">
        <f ca="1">ROUND(B5*10000/$B$2,0)</f>
        <v>#DIV/0!</v>
      </c>
      <c r="E5" s="2461"/>
      <c r="F5" s="2462"/>
      <c r="G5" s="2462"/>
      <c r="H5" s="2462"/>
      <c r="I5" s="2462"/>
      <c r="J5" s="2462"/>
      <c r="K5" s="2462"/>
    </row>
    <row r="6" spans="1:11" ht="16.5">
      <c r="A6" s="2299" t="s">
        <v>656</v>
      </c>
      <c r="B6" s="2299">
        <f ca="1">SUM(G14:G23)</f>
        <v>7588</v>
      </c>
      <c r="C6" s="2299">
        <f ca="1">IF(B6=G14,结果表!H108,ROUND(B6*10000/$B$1,0))</f>
        <v>27434</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3344</v>
      </c>
      <c r="D10" s="2299" t="s">
        <v>3345</v>
      </c>
      <c r="E10" s="3136"/>
      <c r="F10" s="3140" t="s">
        <v>3346</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2765.9</v>
      </c>
      <c r="C14" s="2305"/>
      <c r="D14" s="2305">
        <f ca="1">结果表!G19</f>
        <v>7588</v>
      </c>
      <c r="E14" s="2305">
        <f ca="1">ROUND(D14*10000/B14,0)</f>
        <v>27434</v>
      </c>
      <c r="F14" s="2305" t="e">
        <f ca="1">ROUND(D14*10000/C14,0)</f>
        <v>#DIV/0!</v>
      </c>
      <c r="G14" s="2305">
        <f ca="1">D14</f>
        <v>7588</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22" sqref="I22"/>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35" t="str">
        <f>项目基本情况!S2</f>
        <v>北京市房地产</v>
      </c>
      <c r="B2" s="3336"/>
      <c r="C2" s="3336"/>
      <c r="D2" s="3336"/>
      <c r="E2" s="3336"/>
      <c r="F2" s="3336"/>
      <c r="G2" s="3336"/>
      <c r="H2" s="3336"/>
      <c r="I2" s="3337"/>
    </row>
    <row r="3" spans="1:12" ht="12.75">
      <c r="A3" s="3339" t="s">
        <v>1264</v>
      </c>
      <c r="B3" s="3340"/>
      <c r="C3" s="3340"/>
      <c r="D3" s="3340"/>
      <c r="E3" s="3340"/>
      <c r="F3" s="3340"/>
      <c r="G3" s="3340"/>
      <c r="H3" s="3340"/>
      <c r="I3" s="3340"/>
    </row>
    <row r="4" spans="1:12" ht="14.25">
      <c r="A4" s="1623" t="s">
        <v>1265</v>
      </c>
      <c r="B4" s="1624" t="s">
        <v>1266</v>
      </c>
      <c r="C4" s="1625" t="s">
        <v>3430</v>
      </c>
      <c r="D4" s="1625" t="s">
        <v>3460</v>
      </c>
      <c r="E4" s="3344" t="s">
        <v>1267</v>
      </c>
      <c r="F4" s="3345"/>
      <c r="G4" s="3345"/>
      <c r="H4" s="3345"/>
      <c r="I4" s="334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3" t="s">
        <v>1268</v>
      </c>
      <c r="B5" s="3338">
        <v>25</v>
      </c>
      <c r="C5" s="3341"/>
      <c r="D5" s="3329"/>
      <c r="E5" s="123" t="s">
        <v>1269</v>
      </c>
      <c r="F5" s="1626"/>
      <c r="G5" s="1626"/>
      <c r="H5" s="1626"/>
      <c r="I5" s="1280"/>
    </row>
    <row r="6" spans="1:12" ht="12.75">
      <c r="A6" s="3283"/>
      <c r="B6" s="3338"/>
      <c r="C6" s="3343"/>
      <c r="D6" s="3329"/>
      <c r="E6" s="123" t="s">
        <v>1270</v>
      </c>
      <c r="F6" s="1626"/>
      <c r="G6" s="1626"/>
      <c r="H6" s="1626"/>
      <c r="I6" s="1280"/>
    </row>
    <row r="7" spans="1:12" ht="12.75">
      <c r="A7" s="3283"/>
      <c r="B7" s="3338"/>
      <c r="C7" s="3342"/>
      <c r="D7" s="3329"/>
      <c r="E7" s="123" t="s">
        <v>1271</v>
      </c>
      <c r="F7" s="1626"/>
      <c r="G7" s="1626"/>
      <c r="H7" s="1626"/>
      <c r="I7" s="1280"/>
    </row>
    <row r="8" spans="1:12" ht="12.75">
      <c r="A8" s="3283" t="s">
        <v>1272</v>
      </c>
      <c r="B8" s="3338">
        <v>15</v>
      </c>
      <c r="C8" s="3341"/>
      <c r="D8" s="3329"/>
      <c r="E8" s="123" t="s">
        <v>1273</v>
      </c>
      <c r="F8" s="1626"/>
      <c r="G8" s="1626"/>
      <c r="H8" s="1626"/>
      <c r="I8" s="1280"/>
    </row>
    <row r="9" spans="1:12" ht="12.75">
      <c r="A9" s="3283"/>
      <c r="B9" s="3338"/>
      <c r="C9" s="3342"/>
      <c r="D9" s="3329"/>
      <c r="E9" s="123" t="s">
        <v>1274</v>
      </c>
      <c r="F9" s="1626"/>
      <c r="G9" s="1626"/>
      <c r="H9" s="1626"/>
      <c r="I9" s="1280"/>
    </row>
    <row r="10" spans="1:12" ht="12.75">
      <c r="A10" s="3283" t="s">
        <v>1275</v>
      </c>
      <c r="B10" s="3338">
        <v>15</v>
      </c>
      <c r="C10" s="3341"/>
      <c r="D10" s="3329"/>
      <c r="E10" s="123" t="s">
        <v>1276</v>
      </c>
      <c r="F10" s="1626"/>
      <c r="G10" s="1626"/>
      <c r="H10" s="1626"/>
      <c r="I10" s="1280"/>
    </row>
    <row r="11" spans="1:12" ht="12.75">
      <c r="A11" s="3283"/>
      <c r="B11" s="3338"/>
      <c r="C11" s="3342"/>
      <c r="D11" s="3329"/>
      <c r="E11" s="123" t="s">
        <v>1277</v>
      </c>
      <c r="F11" s="1626"/>
      <c r="G11" s="1626"/>
      <c r="H11" s="1626"/>
      <c r="I11" s="1280"/>
    </row>
    <row r="12" spans="1:12" ht="12.75">
      <c r="A12" s="3283" t="s">
        <v>1278</v>
      </c>
      <c r="B12" s="3338">
        <v>15</v>
      </c>
      <c r="C12" s="3341"/>
      <c r="D12" s="3329"/>
      <c r="E12" s="123" t="s">
        <v>1279</v>
      </c>
      <c r="F12" s="1626"/>
      <c r="G12" s="1626"/>
      <c r="H12" s="1626"/>
      <c r="I12" s="1280"/>
    </row>
    <row r="13" spans="1:12" ht="12.75">
      <c r="A13" s="3283"/>
      <c r="B13" s="3338"/>
      <c r="C13" s="3342"/>
      <c r="D13" s="3329"/>
      <c r="E13" s="123" t="s">
        <v>1280</v>
      </c>
      <c r="F13" s="1626"/>
      <c r="G13" s="1626"/>
      <c r="H13" s="1626"/>
      <c r="I13" s="1280"/>
    </row>
    <row r="14" spans="1:12" ht="12.75">
      <c r="A14" s="3283" t="s">
        <v>1281</v>
      </c>
      <c r="B14" s="3338">
        <v>30</v>
      </c>
      <c r="C14" s="3341">
        <v>4</v>
      </c>
      <c r="D14" s="3329">
        <v>6</v>
      </c>
      <c r="E14" s="123" t="s">
        <v>1282</v>
      </c>
      <c r="F14" s="1626"/>
      <c r="G14" s="1626"/>
      <c r="H14" s="1626"/>
      <c r="I14" s="1280"/>
    </row>
    <row r="15" spans="1:12" ht="12.75">
      <c r="A15" s="3283"/>
      <c r="B15" s="3338"/>
      <c r="C15" s="3343"/>
      <c r="D15" s="3329"/>
      <c r="E15" s="123" t="s">
        <v>1283</v>
      </c>
      <c r="F15" s="1626"/>
      <c r="G15" s="1626"/>
      <c r="H15" s="1626"/>
      <c r="I15" s="1280"/>
    </row>
    <row r="16" spans="1:12" ht="12.75">
      <c r="A16" s="3283"/>
      <c r="B16" s="3338"/>
      <c r="C16" s="3342"/>
      <c r="D16" s="3329"/>
      <c r="E16" s="123" t="s">
        <v>1284</v>
      </c>
      <c r="F16" s="1626"/>
      <c r="G16" s="1626"/>
      <c r="H16" s="1626"/>
      <c r="I16" s="1280"/>
    </row>
    <row r="17" spans="1:36" ht="15">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360" t="s">
        <v>2131</v>
      </c>
      <c r="F18" s="3361"/>
      <c r="G18" s="3361"/>
      <c r="H18" s="3361"/>
      <c r="I18" s="3361"/>
      <c r="K18" s="294" t="s">
        <v>1289</v>
      </c>
      <c r="L18" s="294">
        <f>IF(C1="",'数据-汇总表'!E3,SUMIF(项目类型,C1,'数据-汇总表'!E17:E26)+SUMIF(项目类型,C1,'数据-汇总表'!I17:I26))</f>
        <v>2765.9</v>
      </c>
      <c r="M18" s="294">
        <f>IF(C1="",'数据-汇总表'!E3,SUMIF(项目类型,C1,'数据-汇总表'!E17:E26))</f>
        <v>2765.9</v>
      </c>
    </row>
    <row r="19" spans="1:36" ht="15">
      <c r="A19" s="1629" t="s">
        <v>1290</v>
      </c>
      <c r="B19" s="1630" t="s">
        <v>1291</v>
      </c>
      <c r="C19" s="126">
        <f ca="1">SUMIF(INDIRECT("'"&amp;C4&amp;"'"&amp;"!A:A"),结果表!B19,INDIRECT("'"&amp;C4&amp;"'"&amp;"!B:B"))</f>
        <v>11354</v>
      </c>
      <c r="D19" s="127">
        <f ca="1">SUMIF(INDIRECT("'"&amp;D4&amp;"'"&amp;"!A:A"),结果表!B19,INDIRECT("'"&amp;D4&amp;"'"&amp;"!B:B"))</f>
        <v>5077</v>
      </c>
      <c r="E19" s="1629" t="s">
        <v>1292</v>
      </c>
      <c r="F19" s="1630" t="s">
        <v>1291</v>
      </c>
      <c r="G19" s="128">
        <f ca="1">ROUND(C19*$C$18+D19*$D$18,0)</f>
        <v>7588</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41050</v>
      </c>
      <c r="D20" s="130">
        <f ca="1">SUMIF(INDIRECT("'"&amp;D4&amp;"'"&amp;"!A:A"),结果表!B20,INDIRECT("'"&amp;D4&amp;"'"&amp;"!B:B"))</f>
        <v>18356</v>
      </c>
      <c r="E20" s="1632"/>
      <c r="F20" s="43" t="s">
        <v>1295</v>
      </c>
      <c r="G20" s="131">
        <f ca="1">ROUND(C20*$C$18+D20*$D$18,0)</f>
        <v>27434</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1.2363600551506795</v>
      </c>
      <c r="E22" s="121"/>
      <c r="F22" s="121"/>
      <c r="G22" s="121"/>
      <c r="H22" s="121"/>
      <c r="I22" s="121"/>
    </row>
    <row r="23" spans="1:36" ht="13.5" thickBot="1">
      <c r="A23" s="645"/>
      <c r="B23" s="645"/>
      <c r="C23" s="645"/>
      <c r="D23" s="645"/>
      <c r="E23" s="121"/>
      <c r="F23" s="121"/>
      <c r="G23" s="121"/>
      <c r="H23" s="121"/>
      <c r="I23" s="121"/>
    </row>
    <row r="24" spans="1:36" ht="14.25">
      <c r="A24" s="3353" t="s">
        <v>1299</v>
      </c>
      <c r="B24" s="1630" t="s">
        <v>1291</v>
      </c>
      <c r="C24" s="128">
        <f>IF(B30=0,0,D30)</f>
        <v>0</v>
      </c>
      <c r="D24" s="1636"/>
      <c r="E24" s="121"/>
      <c r="F24" s="121"/>
      <c r="G24" s="121"/>
      <c r="H24" s="121"/>
      <c r="I24" s="121"/>
    </row>
    <row r="25" spans="1:36" ht="14.25">
      <c r="A25" s="335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7588</v>
      </c>
      <c r="D32" s="1640" t="s">
        <v>3542</v>
      </c>
      <c r="E32" s="121"/>
      <c r="F32" s="121"/>
      <c r="G32" s="121"/>
      <c r="H32" s="121"/>
      <c r="I32" s="121"/>
    </row>
    <row r="33" spans="1:15" ht="15">
      <c r="A33" s="739" t="s">
        <v>1306</v>
      </c>
      <c r="B33" s="123"/>
      <c r="C33" s="1641" t="s">
        <v>3543</v>
      </c>
      <c r="D33" s="1642" t="s">
        <v>3430</v>
      </c>
      <c r="E33" s="1643" t="s">
        <v>1307</v>
      </c>
      <c r="F33" s="1644" t="str">
        <f>IF(D32="楼面单价","取值（单价）","取值（总价）")</f>
        <v>取值（总价）</v>
      </c>
      <c r="G33" s="121"/>
      <c r="H33" s="121"/>
      <c r="I33" s="121"/>
    </row>
    <row r="34" spans="1:15" ht="15">
      <c r="A34" s="1645"/>
      <c r="B34" s="1646" t="s">
        <v>1308</v>
      </c>
      <c r="C34" s="140">
        <f ca="1">IF(C33="自定义",F34,C32-C35)</f>
        <v>6677</v>
      </c>
      <c r="D34" s="807">
        <f ca="1">IF(C33="自定义",ROUND(C34/C32,3),IF(C33="收益比率",SUMIF(INDIRECT("'"&amp;D33&amp;"'"&amp;"!b:b"),"土地收益比率",INDIRECT("'"&amp;D33&amp;"'"&amp;"!c:c")),SUMIF(INDIRECT("'"&amp;D33&amp;"'"&amp;"!b:b"),"土地成本比率",INDIRECT("'"&amp;D33&amp;"'"&amp;"!c:c"))))</f>
        <v>0.88</v>
      </c>
      <c r="E34" s="1647" t="s">
        <v>1309</v>
      </c>
      <c r="F34" s="1242"/>
      <c r="G34" s="121"/>
      <c r="H34" s="121"/>
      <c r="I34" s="121"/>
    </row>
    <row r="35" spans="1:15" ht="15.75" thickBot="1">
      <c r="A35" s="1648"/>
      <c r="B35" s="1649" t="s">
        <v>1310</v>
      </c>
      <c r="C35" s="1089">
        <f ca="1">IF(C33="自定义",F35,ROUND(C32*D35,0))</f>
        <v>911</v>
      </c>
      <c r="D35" s="1090">
        <f ca="1">IF(C33="自定义",ROUND(C35/C32,3),IF(C33="收益比率",SUMIF(INDIRECT("'"&amp;D33&amp;"'"&amp;"!b:b"),"建筑物收益比率",INDIRECT("'"&amp;D33&amp;"'"&amp;"!c:c")),SUMIF(INDIRECT("'"&amp;D33&amp;"'"&amp;"!b:b"),"建筑物成本比率",INDIRECT("'"&amp;D33&amp;"'"&amp;"!c:c"))))</f>
        <v>0.12</v>
      </c>
      <c r="E35" s="1650" t="s">
        <v>1311</v>
      </c>
      <c r="F35" s="146"/>
      <c r="G35" s="121"/>
      <c r="H35" s="121"/>
      <c r="I35" s="121"/>
    </row>
    <row r="36" spans="1:15" ht="15.75" thickBot="1">
      <c r="A36" s="3330" t="s">
        <v>1312</v>
      </c>
      <c r="B36" s="1651" t="s">
        <v>1313</v>
      </c>
      <c r="C36" s="137"/>
      <c r="D36" s="1652"/>
      <c r="E36" s="1566"/>
      <c r="F36" s="1653"/>
      <c r="G36" s="121"/>
      <c r="H36" s="121"/>
      <c r="I36" s="121"/>
    </row>
    <row r="37" spans="1:15" ht="15.75" thickBot="1">
      <c r="A37" s="3331"/>
      <c r="B37" s="1554" t="s">
        <v>1314</v>
      </c>
      <c r="C37" s="139"/>
      <c r="D37" s="1070"/>
      <c r="E37" s="1070"/>
      <c r="F37" s="1653"/>
      <c r="G37" s="121"/>
      <c r="H37" s="121"/>
      <c r="I37" s="121"/>
    </row>
    <row r="38" spans="1:15" ht="15.75" thickBot="1">
      <c r="A38" s="3332"/>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50" t="s">
        <v>1326</v>
      </c>
      <c r="B45" s="3351"/>
      <c r="C45" s="3352"/>
      <c r="D45" s="147">
        <f ca="1">ROUND(H101*F45,0)</f>
        <v>7588</v>
      </c>
      <c r="E45" s="148" t="s">
        <v>1327</v>
      </c>
      <c r="F45" s="149">
        <v>1</v>
      </c>
      <c r="G45" s="150" t="s">
        <v>1328</v>
      </c>
      <c r="H45" s="121"/>
      <c r="I45" s="121"/>
      <c r="J45" s="3270" t="s">
        <v>1329</v>
      </c>
      <c r="K45" s="3270"/>
      <c r="L45" s="3270"/>
      <c r="M45" s="3270"/>
      <c r="N45" s="3270"/>
      <c r="O45" s="3270"/>
    </row>
    <row r="46" spans="1:15" ht="14.25" customHeight="1">
      <c r="A46" s="3347" t="s">
        <v>1330</v>
      </c>
      <c r="B46" s="3348"/>
      <c r="C46" s="3348"/>
      <c r="D46" s="3348"/>
      <c r="E46" s="3348"/>
      <c r="F46" s="3348"/>
      <c r="G46" s="3349"/>
      <c r="H46" s="1667"/>
      <c r="I46" s="151"/>
      <c r="J46" s="2309">
        <v>1</v>
      </c>
      <c r="K46" s="3271" t="s">
        <v>1331</v>
      </c>
      <c r="L46" s="3271"/>
      <c r="M46" s="3272"/>
      <c r="N46" s="3272"/>
      <c r="O46" s="3272"/>
    </row>
    <row r="47" spans="1:15" ht="12" customHeight="1">
      <c r="A47" s="152" t="s">
        <v>1332</v>
      </c>
      <c r="B47" s="153"/>
      <c r="C47" s="154"/>
      <c r="D47" s="1023" t="s">
        <v>1333</v>
      </c>
      <c r="E47" s="294" t="s">
        <v>1334</v>
      </c>
      <c r="F47" s="155" t="s">
        <v>1335</v>
      </c>
      <c r="G47" s="2332" t="s">
        <v>1336</v>
      </c>
      <c r="H47" s="2333"/>
      <c r="I47" s="151"/>
      <c r="J47" s="2309">
        <v>2</v>
      </c>
      <c r="K47" s="3271" t="s">
        <v>1337</v>
      </c>
      <c r="L47" s="3271"/>
      <c r="M47" s="3273">
        <f>'数据-取费表'!B2</f>
        <v>45989</v>
      </c>
      <c r="N47" s="3273"/>
      <c r="O47" s="3273"/>
    </row>
    <row r="48" spans="1:15" ht="25.5">
      <c r="A48" s="3333" t="s">
        <v>1338</v>
      </c>
      <c r="B48" s="3334"/>
      <c r="C48" s="3334"/>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71" t="s">
        <v>1340</v>
      </c>
      <c r="L48" s="3271"/>
      <c r="M48" s="3274">
        <f ca="1">H101</f>
        <v>7588</v>
      </c>
      <c r="N48" s="3274"/>
      <c r="O48" s="3274"/>
    </row>
    <row r="49" spans="1:35" ht="25.5" customHeight="1">
      <c r="A49" s="2151" t="s">
        <v>1341</v>
      </c>
      <c r="B49" s="3319" t="s">
        <v>1342</v>
      </c>
      <c r="C49" s="3319"/>
      <c r="D49" s="1477">
        <v>0</v>
      </c>
      <c r="E49" s="316" t="s">
        <v>1343</v>
      </c>
      <c r="F49" s="2232" t="s">
        <v>28</v>
      </c>
      <c r="G49" s="3302"/>
      <c r="H49" s="2133" t="s">
        <v>2134</v>
      </c>
      <c r="I49" s="2134"/>
      <c r="J49" s="2309">
        <v>4</v>
      </c>
      <c r="K49" s="3271" t="str">
        <f>IF(项目基本情况!E8="房地产抵押价值","房地产抵押价值","抵押担保权已注销时的房地产抵押价值")</f>
        <v>房地产抵押价值</v>
      </c>
      <c r="L49" s="3271"/>
      <c r="M49" s="3274">
        <f ca="1">IF(项目基本情况!E8="房地产抵押价值",H107,H109)</f>
        <v>7588</v>
      </c>
      <c r="N49" s="3274"/>
      <c r="O49" s="3274"/>
    </row>
    <row r="50" spans="1:35" ht="25.5" customHeight="1">
      <c r="A50" s="2337"/>
      <c r="B50" s="3319" t="s">
        <v>1344</v>
      </c>
      <c r="C50" s="3319"/>
      <c r="D50" s="2188"/>
      <c r="E50" s="323"/>
      <c r="F50" s="2232"/>
      <c r="G50" s="3303"/>
      <c r="H50" s="2135" t="s">
        <v>2135</v>
      </c>
      <c r="I50" s="2134"/>
      <c r="J50" s="3270" t="s">
        <v>1345</v>
      </c>
      <c r="K50" s="3270"/>
      <c r="L50" s="3270"/>
      <c r="M50" s="3270"/>
      <c r="N50" s="3270"/>
      <c r="O50" s="3270"/>
    </row>
    <row r="51" spans="1:35" ht="20.45" customHeight="1">
      <c r="A51" s="2338"/>
      <c r="B51" s="3319" t="s">
        <v>1346</v>
      </c>
      <c r="C51" s="3319"/>
      <c r="D51" s="1023"/>
      <c r="E51" s="319"/>
      <c r="F51" s="2232"/>
      <c r="G51" s="3304"/>
      <c r="H51" s="2135" t="s">
        <v>2136</v>
      </c>
      <c r="I51" s="2134"/>
      <c r="J51" s="2310" t="s">
        <v>1347</v>
      </c>
      <c r="K51" s="3271" t="s">
        <v>1348</v>
      </c>
      <c r="L51" s="3271"/>
      <c r="M51" s="2310" t="s">
        <v>1349</v>
      </c>
      <c r="N51" s="2310" t="s">
        <v>1350</v>
      </c>
      <c r="O51" s="2310" t="s">
        <v>1351</v>
      </c>
    </row>
    <row r="52" spans="1:35" ht="24" customHeight="1">
      <c r="A52" s="2152" t="s">
        <v>1352</v>
      </c>
      <c r="B52" s="3319" t="s">
        <v>1353</v>
      </c>
      <c r="C52" s="3319"/>
      <c r="D52" s="1023">
        <f ca="1">ROUND(D45*'数据-取费表'!B41/(1+'数据-取费表'!C42),0)</f>
        <v>405</v>
      </c>
      <c r="E52" s="1255" t="s">
        <v>1354</v>
      </c>
      <c r="F52" s="2339">
        <f>'数据-取费表'!B41</f>
        <v>5.6000000000000001E-2</v>
      </c>
      <c r="G52" s="2340"/>
      <c r="H52" s="2330"/>
      <c r="I52" s="1668"/>
      <c r="J52" s="2309">
        <v>1</v>
      </c>
      <c r="K52" s="3296" t="s">
        <v>1355</v>
      </c>
      <c r="L52" s="3296"/>
      <c r="M52" s="2311" t="b">
        <f>D48</f>
        <v>0</v>
      </c>
      <c r="N52" s="2309" t="str">
        <f>E48</f>
        <v>销售额×税（费）率</v>
      </c>
      <c r="O52" s="2312">
        <f>F48</f>
        <v>5.6000000000000001E-2</v>
      </c>
    </row>
    <row r="53" spans="1:35" ht="12" customHeight="1">
      <c r="A53" s="2152" t="s">
        <v>1356</v>
      </c>
      <c r="B53" s="3320" t="s">
        <v>2282</v>
      </c>
      <c r="C53" s="3321"/>
      <c r="D53" s="1023">
        <f ca="1">ROUND(D45*'数据-取费表'!B41/(1+'数据-取费表'!C42),0)</f>
        <v>405</v>
      </c>
      <c r="E53" s="1255" t="s">
        <v>1354</v>
      </c>
      <c r="F53" s="2339">
        <f>'数据-取费表'!B41</f>
        <v>5.6000000000000001E-2</v>
      </c>
      <c r="G53" s="2340"/>
      <c r="H53" s="2330"/>
      <c r="I53" s="1668"/>
      <c r="J53" s="2309">
        <v>2</v>
      </c>
      <c r="K53" s="3296" t="s">
        <v>1357</v>
      </c>
      <c r="L53" s="3296"/>
      <c r="M53" s="2311">
        <f t="shared" ref="M53:O54" ca="1" si="0">D55</f>
        <v>4</v>
      </c>
      <c r="N53" s="2309" t="str">
        <f t="shared" si="0"/>
        <v>销售额×税（费）率</v>
      </c>
      <c r="O53" s="2312" t="str">
        <f t="shared" si="0"/>
        <v>免征</v>
      </c>
    </row>
    <row r="54" spans="1:35" ht="12" customHeight="1">
      <c r="A54" s="2152" t="s">
        <v>1358</v>
      </c>
      <c r="B54" s="3320" t="s">
        <v>2283</v>
      </c>
      <c r="C54" s="3321"/>
      <c r="D54" s="1023">
        <f ca="1">C68</f>
        <v>405</v>
      </c>
      <c r="E54" s="319" t="s">
        <v>1359</v>
      </c>
      <c r="F54" s="2339">
        <f>'数据-取费表'!B41</f>
        <v>5.6000000000000001E-2</v>
      </c>
      <c r="G54" s="2340"/>
      <c r="H54" s="2341"/>
      <c r="I54" s="1668"/>
      <c r="J54" s="2309">
        <v>3</v>
      </c>
      <c r="K54" s="3296" t="s">
        <v>1360</v>
      </c>
      <c r="L54" s="3296"/>
      <c r="M54" s="2311">
        <f t="shared" ca="1" si="0"/>
        <v>4295</v>
      </c>
      <c r="N54" s="2309" t="str">
        <f t="shared" si="0"/>
        <v>增值额×税（费）率</v>
      </c>
      <c r="O54" s="2313" t="str">
        <f t="shared" si="0"/>
        <v>免征</v>
      </c>
    </row>
    <row r="55" spans="1:35" ht="24" customHeight="1">
      <c r="A55" s="3356" t="s">
        <v>1361</v>
      </c>
      <c r="B55" s="3334"/>
      <c r="C55" s="3334"/>
      <c r="D55" s="12">
        <f ca="1">IF(H55="个人住宅",0,ROUND(D45*I55,0))</f>
        <v>4</v>
      </c>
      <c r="E55" s="1255" t="s">
        <v>1362</v>
      </c>
      <c r="F55" s="2339" t="str">
        <f>IF(H55="正常",I55,"免征")</f>
        <v>免征</v>
      </c>
      <c r="G55" s="2340"/>
      <c r="H55" s="2336"/>
      <c r="I55" s="157">
        <f>'数据-取费表'!B49</f>
        <v>5.0000000000000001E-4</v>
      </c>
      <c r="J55" s="2309">
        <f>IF(H59="非个人房产","",4)</f>
        <v>4</v>
      </c>
      <c r="K55" s="3296" t="str">
        <f>IF(H59="非个人房产","——","个人所得税")</f>
        <v>个人所得税</v>
      </c>
      <c r="L55" s="3296"/>
      <c r="M55" s="2314">
        <f ca="1">D59</f>
        <v>72</v>
      </c>
      <c r="N55" s="1882" t="str">
        <f>E59</f>
        <v>差额计税</v>
      </c>
      <c r="O55" s="2315">
        <f>F59</f>
        <v>0.01</v>
      </c>
    </row>
    <row r="56" spans="1:35" ht="24.75">
      <c r="A56" s="3356" t="s">
        <v>1363</v>
      </c>
      <c r="B56" s="3334"/>
      <c r="C56" s="3334"/>
      <c r="D56" s="12">
        <f ca="1">IF(H56="个人住宅",D57,D58)</f>
        <v>4295</v>
      </c>
      <c r="E56" s="1255" t="s">
        <v>1364</v>
      </c>
      <c r="F56" s="2339" t="str">
        <f>IF(H56="正常",F58,"免征")</f>
        <v>免征</v>
      </c>
      <c r="G56" s="2342" t="s">
        <v>1365</v>
      </c>
      <c r="H56" s="2343"/>
      <c r="I56" s="1669"/>
      <c r="J56" s="2309" t="str">
        <f>IF(项目基本情况!K6="上海银行",IF(J55="",4,J55+1),"")</f>
        <v/>
      </c>
      <c r="K56" s="3277" t="str">
        <f>IF(项目基本情况!K6="上海银行","其他处置费用","")</f>
        <v/>
      </c>
      <c r="L56" s="3278"/>
      <c r="M56" s="2311" t="str">
        <f>IF(项目基本情况!K6="上海银行",M69,"")</f>
        <v/>
      </c>
      <c r="N56" s="3277" t="str">
        <f>IF(项目基本情况!K6="上海银行","包含处置中涉及的律师、诉讼、拍卖、评估等费用","")</f>
        <v/>
      </c>
      <c r="O56" s="3280"/>
    </row>
    <row r="57" spans="1:35" ht="12.75">
      <c r="A57" s="2152" t="s">
        <v>1341</v>
      </c>
      <c r="B57" s="3320" t="s">
        <v>1366</v>
      </c>
      <c r="C57" s="3321"/>
      <c r="D57" s="1477">
        <v>0</v>
      </c>
      <c r="E57" s="316" t="s">
        <v>1343</v>
      </c>
      <c r="F57" s="294"/>
      <c r="G57" s="2340"/>
      <c r="H57" s="2344"/>
      <c r="I57" s="1669"/>
      <c r="J57" s="3296">
        <f>IF(AND(J55="",J56=""),4,IF(项目基本情况!K6="上海银行",结果表!J56+1,结果表!J55+1))</f>
        <v>5</v>
      </c>
      <c r="K57" s="3296" t="s">
        <v>1367</v>
      </c>
      <c r="L57" s="2316" t="s">
        <v>1368</v>
      </c>
      <c r="M57" s="2317"/>
      <c r="N57" s="2318">
        <f ca="1">SUMIF(M52:M56,"&lt;9e307")</f>
        <v>4371</v>
      </c>
      <c r="O57" s="2319"/>
      <c r="P57" s="2464">
        <f ca="1">N57/M49</f>
        <v>0.57604111755403264</v>
      </c>
    </row>
    <row r="58" spans="1:35" ht="24.75">
      <c r="A58" s="2152" t="s">
        <v>1352</v>
      </c>
      <c r="B58" s="3320" t="s">
        <v>1369</v>
      </c>
      <c r="C58" s="3319"/>
      <c r="D58" s="12">
        <f ca="1">IF(H58="转让取得",C81,C97)</f>
        <v>4295</v>
      </c>
      <c r="E58" s="1255" t="s">
        <v>1364</v>
      </c>
      <c r="F58" s="294" t="s">
        <v>28</v>
      </c>
      <c r="G58" s="2340"/>
      <c r="H58" s="2343"/>
      <c r="I58" s="1669"/>
      <c r="J58" s="3296"/>
      <c r="K58" s="3296"/>
      <c r="L58" s="2316" t="s">
        <v>1370</v>
      </c>
      <c r="M58" s="2320"/>
      <c r="N58" s="2321" t="str">
        <f ca="1">NUMBERSTRING(INT(N57*10000),2)&amp;"元整"</f>
        <v>肆仟叁佰柒拾壹万元整</v>
      </c>
      <c r="O58" s="2322"/>
    </row>
    <row r="59" spans="1:35" ht="24.75" thickBot="1">
      <c r="A59" s="3300" t="s">
        <v>1371</v>
      </c>
      <c r="B59" s="3301"/>
      <c r="C59" s="3301"/>
      <c r="D59" s="2345">
        <f ca="1">IF(H59="非个人房产","——",IF(H59="个人住宅（满五唯一有凭证）",0,IF(H59="个人其他（无凭证）",ROUND(D45/(1+'数据-取费表'!C42)*F59,0),ROUND(C67*F59,0))))</f>
        <v>72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98">
        <f>J57+1</f>
        <v>6</v>
      </c>
      <c r="K59" s="3296" t="s">
        <v>1372</v>
      </c>
      <c r="L59" s="2309" t="s">
        <v>1368</v>
      </c>
      <c r="M59" s="2323"/>
      <c r="N59" s="2324">
        <f ca="1">M49-N57</f>
        <v>3217</v>
      </c>
      <c r="O59" s="2325"/>
    </row>
    <row r="60" spans="1:35" ht="12" customHeight="1">
      <c r="A60" s="1670"/>
      <c r="B60" s="645"/>
      <c r="C60" s="645"/>
      <c r="D60" s="645"/>
      <c r="E60" s="1465"/>
      <c r="F60" s="1669"/>
      <c r="G60" s="1669"/>
      <c r="H60" s="151"/>
      <c r="I60" s="121"/>
      <c r="J60" s="3299"/>
      <c r="K60" s="3296"/>
      <c r="L60" s="2316" t="s">
        <v>1370</v>
      </c>
      <c r="M60" s="2320"/>
      <c r="N60" s="2321" t="str">
        <f ca="1">NUMBERSTRING(INT(N59*10000),2)&amp;"元整"</f>
        <v>叁仟贰佰壹拾柒万元整</v>
      </c>
      <c r="O60" s="2322"/>
    </row>
    <row r="61" spans="1:35" ht="13.5" thickBot="1">
      <c r="A61" s="3355" t="s">
        <v>1373</v>
      </c>
      <c r="B61" s="3355"/>
      <c r="C61" s="3355"/>
      <c r="D61" s="3355"/>
      <c r="E61" s="3355"/>
      <c r="F61" s="1669"/>
      <c r="G61" s="1669"/>
      <c r="H61" s="151"/>
      <c r="I61" s="121"/>
      <c r="J61" s="2309">
        <f>J59+1</f>
        <v>7</v>
      </c>
      <c r="K61" s="3296" t="s">
        <v>1374</v>
      </c>
      <c r="L61" s="3296"/>
      <c r="M61" s="2326"/>
      <c r="N61" s="2327">
        <f ca="1">ROUND(N59*10000/'数据-汇总表'!E3,0)</f>
        <v>11631</v>
      </c>
      <c r="O61" s="2328"/>
    </row>
    <row r="62" spans="1:35" ht="12.75">
      <c r="A62" s="3315" t="s">
        <v>1375</v>
      </c>
      <c r="B62" s="3316"/>
      <c r="C62" s="1864"/>
      <c r="D62" s="1864" t="s">
        <v>1376</v>
      </c>
      <c r="E62" s="158" t="s">
        <v>1377</v>
      </c>
      <c r="F62" s="1669"/>
      <c r="G62" s="1669"/>
      <c r="H62" s="151"/>
      <c r="I62" s="121"/>
    </row>
    <row r="63" spans="1:35" ht="12.75">
      <c r="A63" s="165" t="s">
        <v>330</v>
      </c>
      <c r="B63" s="159" t="s">
        <v>1378</v>
      </c>
      <c r="C63" s="2349">
        <f ca="1">ROUND((C64+C65)/(1+'数据-取费表'!C42),0)</f>
        <v>7227</v>
      </c>
      <c r="D63" s="159"/>
      <c r="E63" s="160"/>
      <c r="F63" s="1669"/>
      <c r="G63" s="1669"/>
      <c r="H63" s="151"/>
      <c r="I63" s="121"/>
      <c r="J63" s="3279" t="s">
        <v>1379</v>
      </c>
      <c r="K63" s="1244" t="s">
        <v>1380</v>
      </c>
      <c r="L63" s="1244">
        <f ca="1">IF(M49&gt;10000,M49*0.5%,IF(AND(M49&gt;1000,M49&lt;=10000),M49*1%,IF(AND(M49&gt;100,M49&lt;=1000),M49*3%,IF(AND(M49&gt;10,M49&lt;=100),M49*5%,M49*8%))))</f>
        <v>75.88</v>
      </c>
      <c r="M63" s="294">
        <f ca="1">ROUND(L63,1)</f>
        <v>75.900000000000006</v>
      </c>
      <c r="N63" s="2329"/>
      <c r="Z63" s="1622"/>
      <c r="AI63" s="1560"/>
    </row>
    <row r="64" spans="1:35" ht="14.25" customHeight="1">
      <c r="A64" s="161" t="s">
        <v>325</v>
      </c>
      <c r="B64" s="162" t="s">
        <v>1381</v>
      </c>
      <c r="C64" s="2350">
        <f ca="1">D45</f>
        <v>7588</v>
      </c>
      <c r="D64" s="162" t="s">
        <v>26</v>
      </c>
      <c r="E64" s="164"/>
      <c r="F64" s="1669"/>
      <c r="G64" s="1669"/>
      <c r="H64" s="151"/>
      <c r="I64" s="121"/>
      <c r="J64" s="3279"/>
      <c r="K64" s="1244" t="s">
        <v>1382</v>
      </c>
      <c r="L64" s="1244">
        <f ca="1">IF(M49&gt;2000,M49*0.5%,IF(AND(M49&gt;1000,M49&lt;=2000),M49*0.6%,IF(AND(M49&gt;500,M49&lt;=1000),M49*0.7%,IF(AND(M49&gt;200,M49&lt;=500),M49*0.8%,IF(AND(M49&gt;100,M49&lt;=200),M49*0.9%,IF(AND(M49&gt;50,M49&lt;=100),M49*1%,IF(AND(M49&gt;20,M49&lt;=50),M49*1.5%,IF(AND(M49&gt;10,M49&lt;=20),M49*2%,IF(AND(M49&gt;1,M49&lt;=10),M49*2.5%)))))))))</f>
        <v>37.94</v>
      </c>
      <c r="M64" s="294">
        <f t="shared" ref="M64:M65" ca="1" si="1">ROUND(L64,1)</f>
        <v>37.9</v>
      </c>
      <c r="N64" s="2330" t="s">
        <v>1383</v>
      </c>
      <c r="Z64" s="1622"/>
      <c r="AI64" s="1560"/>
    </row>
    <row r="65" spans="1:35" ht="14.25" customHeight="1">
      <c r="A65" s="161" t="s">
        <v>326</v>
      </c>
      <c r="B65" s="162" t="s">
        <v>1384</v>
      </c>
      <c r="C65" s="2351"/>
      <c r="D65" s="162"/>
      <c r="E65" s="164"/>
      <c r="F65" s="1669"/>
      <c r="G65" s="1669"/>
      <c r="H65" s="151"/>
      <c r="I65" s="121"/>
      <c r="J65" s="3279"/>
      <c r="K65" s="1244" t="s">
        <v>1385</v>
      </c>
      <c r="L65" s="1244">
        <f ca="1">IF(M49&gt;1000,M49*0.1%,IF(AND(M49&gt;500,M49&lt;=1000),M49*0.5%,IF(AND(M49&gt;50,M49&lt;=500),M49*1%,IF(AND(M49&gt;1,M49&lt;=50),M49*1.5%))))</f>
        <v>7.5880000000000001</v>
      </c>
      <c r="M65" s="294">
        <f t="shared" ca="1" si="1"/>
        <v>7.6</v>
      </c>
      <c r="N65" s="2330" t="s">
        <v>1383</v>
      </c>
      <c r="Z65" s="1622"/>
      <c r="AI65" s="1560"/>
    </row>
    <row r="66" spans="1:35" ht="14.25" customHeight="1">
      <c r="A66" s="165" t="s">
        <v>327</v>
      </c>
      <c r="B66" s="166" t="s">
        <v>1386</v>
      </c>
      <c r="C66" s="2352"/>
      <c r="D66" s="166" t="s">
        <v>26</v>
      </c>
      <c r="E66" s="1250" t="s">
        <v>671</v>
      </c>
      <c r="F66" s="1669"/>
      <c r="G66" s="1669"/>
      <c r="H66" s="151"/>
      <c r="I66" s="121"/>
      <c r="J66" s="3279"/>
      <c r="K66" s="1244" t="s">
        <v>1387</v>
      </c>
      <c r="L66" s="1244">
        <f ca="1">M49*0.5%</f>
        <v>37.94</v>
      </c>
      <c r="M66" s="294">
        <f ca="1">IF(L66&gt;0.5,0.5,ROUND(L66,0))</f>
        <v>0.5</v>
      </c>
      <c r="N66" s="2330" t="s">
        <v>1388</v>
      </c>
      <c r="Z66" s="1622"/>
      <c r="AI66" s="1560"/>
    </row>
    <row r="67" spans="1:35" ht="14.25" customHeight="1">
      <c r="A67" s="165" t="s">
        <v>328</v>
      </c>
      <c r="B67" s="166" t="s">
        <v>1389</v>
      </c>
      <c r="C67" s="2353">
        <f ca="1">C63-C66</f>
        <v>7227</v>
      </c>
      <c r="D67" s="162" t="s">
        <v>26</v>
      </c>
      <c r="E67" s="164"/>
      <c r="F67" s="1669"/>
      <c r="G67" s="1669"/>
      <c r="H67" s="151"/>
      <c r="I67" s="121"/>
      <c r="J67" s="3279"/>
      <c r="K67" s="1244" t="s">
        <v>1390</v>
      </c>
      <c r="L67" s="1244">
        <f ca="1">IF(M49&gt;=10000,(8.25+(M49-10000)*0.01%),IF(AND(M49&gt;=8000,M49&lt;10000),(7.85+(M49-8000)*0.02%),IF(AND(M49&gt;=5000,M49&lt;8000),(6.65+(M49-5000)*0.04%),IF(AND(M49&gt;=2000,M49&lt;5000),(4.25+(PM49-2000)*0.08%),IF(AND(M49&gt;=1000,M49&lt;2000),(2.75+(M49-1000)*0.15%),IF(AND(M49&gt;=100,M49&lt;1000),(0.5+(M49-100)*0.25%),IF(AND(M49&gt;0,M49&lt;100),M49*0.5%)))))))</f>
        <v>7.6852</v>
      </c>
      <c r="M67" s="294">
        <f ca="1">ROUND(L67*0.9,1)</f>
        <v>6.9</v>
      </c>
      <c r="N67" s="2329"/>
      <c r="Z67" s="1622"/>
      <c r="AI67" s="1560"/>
    </row>
    <row r="68" spans="1:35" ht="14.25" customHeight="1" thickBot="1">
      <c r="A68" s="168" t="s">
        <v>329</v>
      </c>
      <c r="B68" s="169" t="s">
        <v>1391</v>
      </c>
      <c r="C68" s="2354">
        <f ca="1">IF(C67&lt;=0,0,ROUND(C67*D68,0))</f>
        <v>405</v>
      </c>
      <c r="D68" s="2355">
        <f>'数据-取费表'!B41</f>
        <v>5.6000000000000001E-2</v>
      </c>
      <c r="E68" s="170"/>
      <c r="F68" s="1669"/>
      <c r="G68" s="1669"/>
      <c r="H68" s="151"/>
      <c r="I68" s="121"/>
      <c r="J68" s="3279"/>
      <c r="K68" s="1244" t="s">
        <v>1392</v>
      </c>
      <c r="L68" s="1244">
        <f ca="1">IF(M49&gt;10000,M49*0.5%,IF(AND(M49&gt;5000,M49&lt;=10000),M49*1%,IF(AND(M49&gt;1000,M49&lt;=5000),M49*2%,IF(AND(M49&gt;200,M49&lt;=1000),M49*3%,M49*5%))))</f>
        <v>75.88</v>
      </c>
      <c r="M68" s="294">
        <f ca="1">ROUND(L68,1)</f>
        <v>75.900000000000006</v>
      </c>
      <c r="N68" s="2329"/>
      <c r="Z68" s="1622"/>
      <c r="AI68" s="1560"/>
    </row>
    <row r="69" spans="1:35" ht="16.5" customHeight="1">
      <c r="A69" s="1671"/>
      <c r="B69" s="1672"/>
      <c r="C69" s="1673"/>
      <c r="D69" s="1674"/>
      <c r="E69" s="1675"/>
      <c r="F69" s="1465"/>
      <c r="G69" s="1465"/>
      <c r="H69" s="1466"/>
      <c r="I69" s="645"/>
      <c r="J69" s="3279"/>
      <c r="K69" s="1244" t="s">
        <v>1393</v>
      </c>
      <c r="L69" s="1244"/>
      <c r="M69" s="294">
        <f ca="1">ROUND(SUM(M63:M68),0)</f>
        <v>205</v>
      </c>
      <c r="N69" s="2331">
        <f ca="1">M69/M49</f>
        <v>2.7016341591987347E-2</v>
      </c>
      <c r="Z69" s="1622"/>
      <c r="AI69" s="1560"/>
    </row>
    <row r="70" spans="1:35" s="641" customFormat="1" ht="15" thickBot="1">
      <c r="A70" s="3323" t="s">
        <v>1394</v>
      </c>
      <c r="B70" s="3324"/>
      <c r="C70" s="3324"/>
      <c r="D70" s="3324"/>
      <c r="E70" s="3324"/>
      <c r="F70" s="3324"/>
      <c r="G70" s="3324"/>
      <c r="H70" s="332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5" t="s">
        <v>1375</v>
      </c>
      <c r="B71" s="3316"/>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f ca="1">ROUND(D45/(1+'数据-取费表'!C42),0)</f>
        <v>7227</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f ca="1">C74+C78</f>
        <v>43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320" t="s">
        <v>1402</v>
      </c>
      <c r="F76" s="3319"/>
      <c r="G76" s="3319"/>
      <c r="H76" s="332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f ca="1">ROUND(D45*D78/(1+'数据-取费表'!C42),0)</f>
        <v>43</v>
      </c>
      <c r="D78" s="2362">
        <f>'数据-取费表'!B43</f>
        <v>6.000000000000001E-3</v>
      </c>
      <c r="E78" s="3312" t="s">
        <v>1406</v>
      </c>
      <c r="F78" s="3313"/>
      <c r="G78" s="3313"/>
      <c r="H78" s="331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f ca="1">C72-C73</f>
        <v>7184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f ca="1">IF(C79&lt;=0,0,C79/C73)</f>
        <v>167.06976744186048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f ca="1">ROUND(IF(C79&lt;=0,0,IF(C80&gt;=200%,C79*60%-C73*35%,IF(C80&gt;=100%,C79*50%-C73*15%,IF(C80&gt;=50%,C79*40%-C73*5%,IF(C80&lt;50%,C79*30%,0))))),0)</f>
        <v>4295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3" t="s">
        <v>1410</v>
      </c>
      <c r="B83" s="3324"/>
      <c r="C83" s="3324"/>
      <c r="D83" s="3324"/>
      <c r="E83" s="3324"/>
      <c r="F83" s="3324"/>
      <c r="G83" s="3324"/>
      <c r="H83" s="332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5" t="s">
        <v>1375</v>
      </c>
      <c r="B84" s="3316"/>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f ca="1">ROUND(D45/(1+'数据-取费表'!C42),0)</f>
        <v>7227</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f ca="1">IF(H88="仅含出让金",C87+C90+C91+C92+C93+C94,C87+C91+C92+C93+C94)</f>
        <v>43</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281" t="s">
        <v>2129</v>
      </c>
      <c r="H90" s="3282"/>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312" t="s">
        <v>1419</v>
      </c>
      <c r="F91" s="3313"/>
      <c r="G91" s="331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312" t="s">
        <v>1422</v>
      </c>
      <c r="F92" s="3313"/>
      <c r="G92" s="3313"/>
      <c r="H92" s="3314"/>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f ca="1">ROUND(D45*D93/(1+'数据-取费表'!C42),0)</f>
        <v>43</v>
      </c>
      <c r="D93" s="2362">
        <f>'数据-取费表'!B43</f>
        <v>6.000000000000001E-3</v>
      </c>
      <c r="E93" s="3312" t="s">
        <v>1406</v>
      </c>
      <c r="F93" s="3313"/>
      <c r="G93" s="3313"/>
      <c r="H93" s="331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357" t="s">
        <v>1426</v>
      </c>
      <c r="F94" s="3358"/>
      <c r="G94" s="3358"/>
      <c r="H94" s="335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f ca="1">ROUND(C85-C86,0)</f>
        <v>7184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f ca="1">IF(C95&lt;=0,0,C95/C86)</f>
        <v>167.06976744186048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f ca="1">ROUND(IF(C95&lt;=0,0,IF(C96&gt;=200%,C95*60%-C86*35%,IF(C96&gt;=100%,C95*50%-C86*15%,IF(C96&gt;=50%,C95*40%-C86*5%,IF(C96&lt;50%,C95*30%,0))))),0)</f>
        <v>4295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2" t="s">
        <v>1428</v>
      </c>
      <c r="B100" s="3263"/>
      <c r="C100" s="3263"/>
      <c r="D100" s="3297"/>
      <c r="E100" s="3263" t="s">
        <v>1429</v>
      </c>
      <c r="F100" s="3263"/>
      <c r="G100" s="3263"/>
      <c r="H100" s="3297"/>
      <c r="I100" s="121"/>
    </row>
    <row r="101" spans="1:35" ht="18.75" customHeight="1">
      <c r="A101" s="3305" t="s">
        <v>1430</v>
      </c>
      <c r="B101" s="3306"/>
      <c r="C101" s="2370" t="str">
        <f>C4</f>
        <v>成本法</v>
      </c>
      <c r="D101" s="2371" t="str">
        <f>D4</f>
        <v>收益法（汇总）</v>
      </c>
      <c r="E101" s="3275" t="s">
        <v>1431</v>
      </c>
      <c r="F101" s="3276"/>
      <c r="G101" s="1686" t="s">
        <v>1432</v>
      </c>
      <c r="H101" s="2380">
        <f ca="1">H118</f>
        <v>7588</v>
      </c>
      <c r="I101" s="121"/>
    </row>
    <row r="102" spans="1:35" ht="18.75" customHeight="1">
      <c r="A102" s="3307" t="s">
        <v>1433</v>
      </c>
      <c r="B102" s="2369" t="s">
        <v>1432</v>
      </c>
      <c r="C102" s="2370">
        <f ca="1">IF(D32="楼面单价",ROUND(C19,0),C19)</f>
        <v>11354</v>
      </c>
      <c r="D102" s="2371">
        <f ca="1">IF(D32="楼面单价",ROUND(D19,0),D19)</f>
        <v>5077</v>
      </c>
      <c r="E102" s="3275"/>
      <c r="F102" s="3276"/>
      <c r="G102" s="1686" t="s">
        <v>1434</v>
      </c>
      <c r="H102" s="2340">
        <f ca="1">I118</f>
        <v>27434</v>
      </c>
      <c r="I102" s="121"/>
    </row>
    <row r="103" spans="1:35" ht="42.75" customHeight="1">
      <c r="A103" s="3307"/>
      <c r="B103" s="2369" t="s">
        <v>1434</v>
      </c>
      <c r="C103" s="2372">
        <f ca="1">C20</f>
        <v>41050</v>
      </c>
      <c r="D103" s="2373">
        <f ca="1">D20</f>
        <v>18356</v>
      </c>
      <c r="E103" s="3268" t="s">
        <v>1435</v>
      </c>
      <c r="F103" s="3269"/>
      <c r="G103" s="1687" t="s">
        <v>1436</v>
      </c>
      <c r="H103" s="2380">
        <f>IF(D36="正常操作",H104+H105+H106,H105+H106)</f>
        <v>0</v>
      </c>
      <c r="I103" s="121"/>
    </row>
    <row r="104" spans="1:35" ht="18.75" customHeight="1">
      <c r="A104" s="3307" t="s">
        <v>1437</v>
      </c>
      <c r="B104" s="2374" t="s">
        <v>1432</v>
      </c>
      <c r="C104" s="2375">
        <f ca="1">H118</f>
        <v>7588</v>
      </c>
      <c r="D104" s="2376"/>
      <c r="E104" s="1554" t="s">
        <v>1438</v>
      </c>
      <c r="F104" s="1547"/>
      <c r="G104" s="1687" t="s">
        <v>1436</v>
      </c>
      <c r="H104" s="2381">
        <f>IF(D36="同一抵押权人同一抵押物续贷",C36&amp;"（续贷，未扣减，详见特别提示）",C36)</f>
        <v>0</v>
      </c>
      <c r="I104" s="121"/>
    </row>
    <row r="105" spans="1:35" ht="18.75" customHeight="1" thickBot="1">
      <c r="A105" s="3317"/>
      <c r="B105" s="2377" t="s">
        <v>1434</v>
      </c>
      <c r="C105" s="2378">
        <f ca="1">I118</f>
        <v>27434</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08" t="str">
        <f>IF(项目基本情况!E8="已注销","——","3.房地产抵押价值")</f>
        <v>3.房地产抵押价值</v>
      </c>
      <c r="F107" s="3276"/>
      <c r="G107" s="1686" t="s">
        <v>1432</v>
      </c>
      <c r="H107" s="2380">
        <f ca="1">IF(E107="——","——",H101-H103)</f>
        <v>7588</v>
      </c>
      <c r="I107" s="121"/>
    </row>
    <row r="108" spans="1:35" ht="18.75" customHeight="1">
      <c r="A108" s="121"/>
      <c r="B108" s="121"/>
      <c r="C108" s="121"/>
      <c r="D108" s="121"/>
      <c r="E108" s="3308"/>
      <c r="F108" s="3276"/>
      <c r="G108" s="1686" t="s">
        <v>1434</v>
      </c>
      <c r="H108" s="2340">
        <f ca="1">IF(H107=H101,H102,ROUND(H107*10000/'数据-汇总表'!E3,0))</f>
        <v>27434</v>
      </c>
      <c r="I108" s="121"/>
    </row>
    <row r="109" spans="1:35" ht="18.75" customHeight="1">
      <c r="A109" s="121"/>
      <c r="B109" s="121"/>
      <c r="C109" s="121"/>
      <c r="D109" s="121"/>
      <c r="E109" s="3308" t="str">
        <f>IF(项目基本情况!E8="已注销及未注销","4.抵押担保权已注销时的房地产抵押价值",IF(项目基本情况!E8="已注销","3.抵押担保权已注销时的房地产抵押价值","——"))</f>
        <v>——</v>
      </c>
      <c r="F109" s="3276"/>
      <c r="G109" s="1686" t="s">
        <v>1432</v>
      </c>
      <c r="H109" s="2383" t="str">
        <f>IF(E109="——","——",H101-H105-H106)</f>
        <v>——</v>
      </c>
      <c r="I109" s="121"/>
    </row>
    <row r="110" spans="1:35" ht="18.75" customHeight="1">
      <c r="A110" s="121"/>
      <c r="B110" s="121"/>
      <c r="C110" s="121"/>
      <c r="D110" s="121"/>
      <c r="E110" s="3308"/>
      <c r="F110" s="3276"/>
      <c r="G110" s="1686" t="s">
        <v>1434</v>
      </c>
      <c r="H110" s="2340" t="str">
        <f>IF(H109="——","——",ROUND(H109*10000/'数据-汇总表'!E3,0))</f>
        <v>——</v>
      </c>
      <c r="I110" s="121"/>
    </row>
    <row r="111" spans="1:35" ht="18.75" customHeight="1">
      <c r="A111" s="121"/>
      <c r="B111" s="121"/>
      <c r="C111" s="121"/>
      <c r="D111" s="121"/>
      <c r="E111" s="3309" t="str">
        <f>IF(项目基本情况!E9="抵押净值",IF(OR(项目基本情况!E8="已注销",项目基本情况!E8="房地产抵押价值"),"4.抵押净值","5.抵押净值"),"——")</f>
        <v>——</v>
      </c>
      <c r="F111" s="3295"/>
      <c r="G111" s="1686" t="s">
        <v>1432</v>
      </c>
      <c r="H111" s="2380" t="str">
        <f>IF(E111="——","——",N59)</f>
        <v>——</v>
      </c>
      <c r="I111" s="121"/>
    </row>
    <row r="112" spans="1:35" ht="18.75" customHeight="1" thickBot="1">
      <c r="A112" s="121"/>
      <c r="B112" s="121"/>
      <c r="C112" s="121"/>
      <c r="D112" s="121"/>
      <c r="E112" s="3310"/>
      <c r="F112" s="3311"/>
      <c r="G112" s="1689" t="s">
        <v>1434</v>
      </c>
      <c r="H112" s="2384" t="str">
        <f>IF(E111="——","——",N61)</f>
        <v>——</v>
      </c>
      <c r="I112" s="121"/>
    </row>
    <row r="113" spans="1:27" ht="18.75" customHeight="1">
      <c r="A113" s="121"/>
      <c r="B113" s="121"/>
      <c r="C113" s="121"/>
      <c r="D113" s="121"/>
      <c r="E113" s="3318" t="s">
        <v>1440</v>
      </c>
      <c r="F113" s="3318"/>
      <c r="G113" s="3318"/>
      <c r="H113" s="3318"/>
      <c r="I113" s="121"/>
    </row>
    <row r="114" spans="1:27" ht="3.75" customHeight="1">
      <c r="A114" s="645"/>
      <c r="B114" s="645"/>
      <c r="C114" s="645"/>
      <c r="D114" s="645"/>
      <c r="E114" s="1670"/>
      <c r="F114" s="1670"/>
      <c r="G114" s="1670"/>
      <c r="H114" s="1670"/>
      <c r="I114" s="645"/>
    </row>
    <row r="115" spans="1:27" ht="18.75" customHeight="1">
      <c r="A115" s="3326" t="s">
        <v>1442</v>
      </c>
      <c r="B115" s="3327"/>
      <c r="C115" s="3327"/>
      <c r="D115" s="3327"/>
      <c r="E115" s="3327"/>
      <c r="F115" s="3327"/>
      <c r="G115" s="3327"/>
      <c r="H115" s="3327"/>
      <c r="I115" s="3328"/>
    </row>
    <row r="116" spans="1:27" ht="27" customHeight="1">
      <c r="A116" s="3283" t="s">
        <v>1443</v>
      </c>
      <c r="B116" s="3287" t="s">
        <v>1444</v>
      </c>
      <c r="C116" s="3287" t="s">
        <v>1445</v>
      </c>
      <c r="D116" s="3293" t="s">
        <v>1446</v>
      </c>
      <c r="E116" s="3294"/>
      <c r="F116" s="3325" t="s">
        <v>1447</v>
      </c>
      <c r="G116" s="3325"/>
      <c r="H116" s="3283" t="s">
        <v>1448</v>
      </c>
      <c r="I116" s="3283"/>
    </row>
    <row r="117" spans="1:27" ht="18.75" customHeight="1">
      <c r="A117" s="3283"/>
      <c r="B117" s="3288"/>
      <c r="C117" s="3288"/>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2765.9</v>
      </c>
      <c r="C118" s="2149">
        <f>M19</f>
        <v>0</v>
      </c>
      <c r="D118" s="2149">
        <f ca="1">ROUND(IF(D32="总价",C34,E118*B118/10000),0)</f>
        <v>6677</v>
      </c>
      <c r="E118" s="2149">
        <f ca="1">ROUND(IF(C33="自定义",IF(D32="楼面单价",C34,D118*10000/B118),I118-G118),0)</f>
        <v>24140</v>
      </c>
      <c r="F118" s="2149">
        <f ca="1">ROUND(IF(D32="总价",C35,G118*B118/10000),0)</f>
        <v>911</v>
      </c>
      <c r="G118" s="2149">
        <f ca="1">ROUND(IF(D32="楼面单价",C35,F118*10000/B118),0)</f>
        <v>3294</v>
      </c>
      <c r="H118" s="2149">
        <f ca="1">ROUND(IF(D32="总价",C32,I118*B118/10000),0)</f>
        <v>7588</v>
      </c>
      <c r="I118" s="2149">
        <f ca="1">ROUND(IF(D32="楼面单价",C32,H118*10000/B118),0)</f>
        <v>27434</v>
      </c>
    </row>
    <row r="119" spans="1:27" ht="18.75" customHeight="1">
      <c r="A119" s="3283" t="s">
        <v>1452</v>
      </c>
      <c r="B119" s="3283"/>
      <c r="C119" s="3283"/>
      <c r="D119" s="3289" t="str">
        <f ca="1">NUMBERSTRING(INT(D118*10000),2)&amp;"元整"</f>
        <v>陆仟陆佰柒拾柒万元整</v>
      </c>
      <c r="E119" s="3290"/>
      <c r="F119" s="3289" t="str">
        <f ca="1">NUMBERSTRING(INT(F118*10000),2)&amp;"元整"</f>
        <v>玖佰壹拾壹万元整</v>
      </c>
      <c r="G119" s="3290"/>
      <c r="H119" s="3289" t="str">
        <f ca="1">NUMBERSTRING(INT(H118*10000),2)&amp;"元整"</f>
        <v>柒仟伍佰捌拾捌万元整</v>
      </c>
      <c r="I119" s="3290"/>
    </row>
    <row r="120" spans="1:27" ht="18.75" customHeight="1">
      <c r="A120" s="3284" t="str">
        <f>IF(项目基本情况!B9="房地产市场价值","",MID(E103,3,LEN(E103)-2))</f>
        <v>估价师知悉的法定优先受偿款</v>
      </c>
      <c r="B120" s="3285"/>
      <c r="C120" s="3286"/>
      <c r="D120" s="3284">
        <f>H103</f>
        <v>0</v>
      </c>
      <c r="E120" s="3285"/>
      <c r="F120" s="3285"/>
      <c r="G120" s="3285"/>
      <c r="H120" s="3285"/>
      <c r="I120" s="328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9" t="s">
        <v>1452</v>
      </c>
      <c r="B121" s="3291"/>
      <c r="C121" s="3290"/>
      <c r="D121" s="3289" t="str">
        <f>IF(D120=0,"零元整",NUMBERSTRING(INT(D120*10000),2)&amp;"元整")</f>
        <v>零元整</v>
      </c>
      <c r="E121" s="3291"/>
      <c r="F121" s="3291"/>
      <c r="G121" s="3291"/>
      <c r="H121" s="3291"/>
      <c r="I121" s="3290"/>
      <c r="AA121" s="683"/>
    </row>
    <row r="122" spans="1:27" ht="18.75" customHeight="1">
      <c r="A122" s="3295" t="str">
        <f>IF(项目基本情况!B9="房地产市场价值","",MID(E107,3,LEN(E107)-2))</f>
        <v>房地产抵押价值</v>
      </c>
      <c r="B122" s="3295"/>
      <c r="C122" s="3295"/>
      <c r="D122" s="3284">
        <f ca="1">H107</f>
        <v>7588</v>
      </c>
      <c r="E122" s="3285"/>
      <c r="F122" s="3285"/>
      <c r="G122" s="3285"/>
      <c r="H122" s="3285"/>
      <c r="I122" s="3286"/>
      <c r="AA122" s="683"/>
    </row>
    <row r="123" spans="1:27" ht="18.75" customHeight="1">
      <c r="A123" s="3283" t="s">
        <v>1452</v>
      </c>
      <c r="B123" s="3283"/>
      <c r="C123" s="3283"/>
      <c r="D123" s="3289" t="str">
        <f ca="1">NUMBERSTRING(INT(D122*10000),2)&amp;"元整"</f>
        <v>柒仟伍佰捌拾捌万元整</v>
      </c>
      <c r="E123" s="3291"/>
      <c r="F123" s="3291"/>
      <c r="G123" s="3291"/>
      <c r="H123" s="3291"/>
      <c r="I123" s="3290"/>
      <c r="AA123" s="683"/>
    </row>
    <row r="124" spans="1:27" ht="18.75" customHeight="1">
      <c r="A124" s="3295" t="str">
        <f>IF(项目基本情况!B9="房地产市场价值","",MID(E109,3,LEN(E109)-2))</f>
        <v/>
      </c>
      <c r="B124" s="3295"/>
      <c r="C124" s="3295"/>
      <c r="D124" s="3284" t="str">
        <f>H109</f>
        <v>——</v>
      </c>
      <c r="E124" s="3285"/>
      <c r="F124" s="3285"/>
      <c r="G124" s="3285"/>
      <c r="H124" s="3285"/>
      <c r="I124" s="3286"/>
      <c r="AA124" s="683"/>
    </row>
    <row r="125" spans="1:27" ht="18.75" customHeight="1">
      <c r="A125" s="3283" t="s">
        <v>1452</v>
      </c>
      <c r="B125" s="3283"/>
      <c r="C125" s="3283"/>
      <c r="D125" s="3289" t="e">
        <f>NUMBERSTRING(INT(D124*10000),2)&amp;"元整"</f>
        <v>#VALUE!</v>
      </c>
      <c r="E125" s="3291"/>
      <c r="F125" s="3291"/>
      <c r="G125" s="3291"/>
      <c r="H125" s="3291"/>
      <c r="I125" s="3290"/>
      <c r="AA125" s="683"/>
    </row>
    <row r="126" spans="1:27" ht="18.75" customHeight="1">
      <c r="A126" s="3295" t="str">
        <f>IF(项目基本情况!B9="房地产市场价值","",MID(E111,3,LEN(E111)-2))</f>
        <v/>
      </c>
      <c r="B126" s="3295"/>
      <c r="C126" s="3295"/>
      <c r="D126" s="3284" t="str">
        <f>H111</f>
        <v>——</v>
      </c>
      <c r="E126" s="3285"/>
      <c r="F126" s="3285"/>
      <c r="G126" s="3285"/>
      <c r="H126" s="3285"/>
      <c r="I126" s="3286"/>
      <c r="AA126" s="683"/>
    </row>
    <row r="127" spans="1:27" ht="18.75" customHeight="1">
      <c r="A127" s="3283" t="s">
        <v>1452</v>
      </c>
      <c r="B127" s="3283"/>
      <c r="C127" s="3283"/>
      <c r="D127" s="3289" t="e">
        <f>NUMBERSTRING(INT(D126*10000),2)&amp;"元整"</f>
        <v>#VALUE!</v>
      </c>
      <c r="E127" s="3291"/>
      <c r="F127" s="3291"/>
      <c r="G127" s="3291"/>
      <c r="H127" s="3291"/>
      <c r="I127" s="3290"/>
      <c r="AA127" s="683"/>
    </row>
    <row r="128" spans="1:27" ht="21.75" customHeight="1">
      <c r="A128" s="3292" t="s">
        <v>1453</v>
      </c>
      <c r="B128" s="3292"/>
      <c r="C128" s="3292"/>
      <c r="D128" s="3292"/>
      <c r="E128" s="3292"/>
      <c r="F128" s="3292"/>
      <c r="G128" s="3292"/>
      <c r="H128" s="3292"/>
      <c r="I128" s="3292"/>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0" t="str">
        <f>项目基本情况!B1</f>
        <v>北京市房地产抵押价值预评估</v>
      </c>
      <c r="C37" s="3180"/>
      <c r="D37" s="3180"/>
      <c r="E37" s="3180"/>
      <c r="F37" s="3180"/>
      <c r="G37" s="3180"/>
      <c r="H37" s="3180"/>
      <c r="I37" s="3180"/>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8</v>
      </c>
    </row>
    <row r="2" spans="1:9" s="192" customFormat="1" ht="18" customHeight="1">
      <c r="A2" s="193" t="s">
        <v>1462</v>
      </c>
      <c r="B2" s="194">
        <f ca="1">IF(D2="——",C52,C52-E2)</f>
        <v>11354</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41050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7224</v>
      </c>
      <c r="D5" s="203" t="s">
        <v>1469</v>
      </c>
      <c r="E5" s="204" t="s">
        <v>1470</v>
      </c>
      <c r="F5" s="204" t="s">
        <v>1471</v>
      </c>
      <c r="G5" s="205"/>
    </row>
    <row r="6" spans="1:9" s="206" customFormat="1" ht="13.5" customHeight="1">
      <c r="A6" s="731" t="s">
        <v>1472</v>
      </c>
      <c r="B6" s="207" t="s">
        <v>1473</v>
      </c>
      <c r="C6" s="208">
        <f>'商业-基准地价修正'!B2+'办公-基准地价修正'!B2</f>
        <v>6957</v>
      </c>
      <c r="D6" s="209"/>
      <c r="E6" s="210"/>
      <c r="F6" s="210"/>
      <c r="G6" s="211"/>
    </row>
    <row r="7" spans="1:9" s="206" customFormat="1" ht="13.5" customHeight="1">
      <c r="A7" s="731" t="s">
        <v>1474</v>
      </c>
      <c r="B7" s="207" t="s">
        <v>1475</v>
      </c>
      <c r="C7" s="212">
        <f>ROUND(C6*F7,0)</f>
        <v>212</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55</v>
      </c>
      <c r="D8" s="214"/>
      <c r="E8" s="212"/>
      <c r="F8" s="213"/>
      <c r="G8" s="1713" t="s">
        <v>3423</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t="s">
        <v>3424</v>
      </c>
      <c r="H9" s="1069"/>
      <c r="I9" s="1715" t="s">
        <v>1479</v>
      </c>
    </row>
    <row r="10" spans="1:9" s="206" customFormat="1" ht="13.5" customHeight="1">
      <c r="A10" s="732" t="s">
        <v>356</v>
      </c>
      <c r="B10" s="216" t="s">
        <v>1480</v>
      </c>
      <c r="C10" s="217">
        <f ca="1">ROUND(D10*E10/10000,0)</f>
        <v>55</v>
      </c>
      <c r="D10" s="794">
        <f ca="1">IF(B1="",'数据-汇总表'!E6,IF(INDIRECT("'数据-取费表'!c"&amp;$G$1)="住宅",INDIRECT("'数据-取费表'!s"&amp;$G$1),INDIRECT("'数据-取费表'!k"&amp;$G$1)+INDIRECT("'数据-取费表'!s"&amp;$G$1)))</f>
        <v>2765.9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2765.9</v>
      </c>
      <c r="E19" s="203">
        <f>'数据-取费表'!B31</f>
        <v>200</v>
      </c>
      <c r="F19" s="223"/>
      <c r="G19" s="1713" t="s">
        <v>3425</v>
      </c>
    </row>
    <row r="20" spans="1:7" s="206" customFormat="1" ht="13.5" customHeight="1">
      <c r="A20" s="247" t="s">
        <v>1493</v>
      </c>
      <c r="B20" s="202" t="s">
        <v>1494</v>
      </c>
      <c r="C20" s="224">
        <f ca="1">ROUND((C5+C19)*F20,0)</f>
        <v>217</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0">
        <f ca="1">ROUND(SUM(C23:C25),0)</f>
        <v>466</v>
      </c>
      <c r="D22" s="227">
        <f ca="1">C26</f>
        <v>8.9999999999999998E-4</v>
      </c>
      <c r="E22" s="228" t="s">
        <v>1498</v>
      </c>
      <c r="F22" s="229">
        <f ca="1">'数据-取费表'!B40</f>
        <v>3.1300000000000001E-2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459</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7</v>
      </c>
      <c r="D25" s="230"/>
      <c r="E25" s="233"/>
      <c r="F25" s="231"/>
      <c r="G25" s="234" t="s">
        <v>1510</v>
      </c>
    </row>
    <row r="26" spans="1:7" s="206" customFormat="1">
      <c r="A26" s="733"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1191</v>
      </c>
      <c r="D27" s="227">
        <f ca="1">C29</f>
        <v>4.7999999999999996E-3</v>
      </c>
      <c r="E27" s="228" t="s">
        <v>1514</v>
      </c>
      <c r="F27" s="238">
        <f ca="1">IF(B1="",'数据-取费表'!Q16,INDIRECT("'数据-取费表'!q"&amp;$G$1))</f>
        <v>0.16</v>
      </c>
      <c r="G27" s="239" t="s">
        <v>1515</v>
      </c>
    </row>
    <row r="28" spans="1:7" s="206" customFormat="1" ht="13.5" customHeight="1">
      <c r="A28" s="733" t="s">
        <v>346</v>
      </c>
      <c r="B28" s="240" t="s">
        <v>1516</v>
      </c>
      <c r="C28" s="241">
        <f ca="1">ROUND((C5+C19+C20)*F27*'数据-取费表'!B21/'数据-取费表'!B20,0)</f>
        <v>1191</v>
      </c>
      <c r="D28" s="227"/>
      <c r="E28" s="228"/>
      <c r="F28" s="238"/>
      <c r="G28" s="239"/>
    </row>
    <row r="29" spans="1:7" s="206" customFormat="1" ht="13.5" customHeight="1">
      <c r="A29" s="733" t="s">
        <v>347</v>
      </c>
      <c r="B29" s="240" t="s">
        <v>1517</v>
      </c>
      <c r="C29" s="230">
        <f ca="1">ROUND(C21*F27*'数据-取费表'!B21/'数据-取费表'!B20,4)</f>
        <v>4.7999999999999996E-3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9987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1238</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1106</v>
      </c>
      <c r="D34" s="209"/>
      <c r="E34" s="212"/>
      <c r="F34" s="249">
        <f ca="1">IF('数据-取费表'!B24=0,1,IF(B1="",'数据-取费表'!N16,INDIRECT("'数据-取费表'!n"&amp;$G$1)))</f>
        <v>1</v>
      </c>
      <c r="G34" s="211" t="s">
        <v>1526</v>
      </c>
    </row>
    <row r="35" spans="1:7" ht="13.5" customHeight="1">
      <c r="A35" s="733" t="s">
        <v>351</v>
      </c>
      <c r="B35" s="207" t="s">
        <v>1527</v>
      </c>
      <c r="C35" s="212">
        <f ca="1">ROUND(C34*F35,0)</f>
        <v>55</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55</v>
      </c>
      <c r="D37" s="209">
        <f ca="1">D19</f>
        <v>2765.9</v>
      </c>
      <c r="E37" s="241">
        <f>'数据-取费表'!B35</f>
        <v>200</v>
      </c>
      <c r="F37" s="251"/>
      <c r="G37" s="253" t="s">
        <v>1532</v>
      </c>
    </row>
    <row r="38" spans="1:7" ht="13.5" customHeight="1">
      <c r="A38" s="733" t="s">
        <v>354</v>
      </c>
      <c r="B38" s="207" t="s">
        <v>1533</v>
      </c>
      <c r="C38" s="212">
        <f ca="1">ROUND(C34*F38,0)</f>
        <v>22</v>
      </c>
      <c r="D38" s="212"/>
      <c r="E38" s="212"/>
      <c r="F38" s="251">
        <f>'数据-取费表'!B36</f>
        <v>0.02</v>
      </c>
      <c r="G38" s="211" t="s">
        <v>1528</v>
      </c>
    </row>
    <row r="39" spans="1:7" s="206" customFormat="1" ht="13.5" customHeight="1">
      <c r="A39" s="247" t="s">
        <v>1534</v>
      </c>
      <c r="B39" s="202" t="s">
        <v>1535</v>
      </c>
      <c r="C39" s="224">
        <f ca="1">ROUND(C33*F20,0)</f>
        <v>37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40</v>
      </c>
      <c r="D41" s="227">
        <f ca="1">C44</f>
        <v>8.9999999999999998E-4</v>
      </c>
      <c r="E41" s="228" t="s">
        <v>1539</v>
      </c>
      <c r="F41" s="229">
        <f ca="1">F22</f>
        <v>3.1300000000000001E-2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39</v>
      </c>
      <c r="D42" s="230"/>
      <c r="E42" s="230"/>
      <c r="F42" s="231"/>
      <c r="G42" s="3362" t="s">
        <v>1544</v>
      </c>
    </row>
    <row r="43" spans="1:7" ht="13.5" customHeight="1">
      <c r="A43" s="733" t="s">
        <v>347</v>
      </c>
      <c r="B43" s="207" t="s">
        <v>1545</v>
      </c>
      <c r="C43" s="230">
        <f ca="1">ROUND(IF('数据-取费表'!B22&lt;=1,C39*F22*'数据-取费表'!B21/2,C39*(POWER((1+F22),'数据-取费表'!B21/2)-1)),0)</f>
        <v>1</v>
      </c>
      <c r="D43" s="230"/>
      <c r="E43" s="230"/>
      <c r="F43" s="231"/>
      <c r="G43" s="3363"/>
    </row>
    <row r="44" spans="1:7" ht="13.5" customHeight="1">
      <c r="A44" s="733" t="s">
        <v>348</v>
      </c>
      <c r="B44" s="207" t="s">
        <v>1546</v>
      </c>
      <c r="C44" s="230">
        <f ca="1">ROUND(IF('数据-取费表'!B22&lt;=1,C40*F22*'数据-取费表'!B21/2,C40*(POWER((1+F22),'数据-取费表'!B21/2)-1)),4)</f>
        <v>8.9999999999999998E-4</v>
      </c>
      <c r="D44" s="230"/>
      <c r="E44" s="230"/>
      <c r="F44" s="231"/>
      <c r="G44" s="3364"/>
    </row>
    <row r="45" spans="1:7" s="206" customFormat="1" ht="13.5" customHeight="1">
      <c r="A45" s="247" t="s">
        <v>1547</v>
      </c>
      <c r="B45" s="236" t="s">
        <v>1513</v>
      </c>
      <c r="C45" s="237">
        <f ca="1">C46</f>
        <v>204</v>
      </c>
      <c r="D45" s="227">
        <f ca="1">C47</f>
        <v>4.7999999999999996E-3</v>
      </c>
      <c r="E45" s="228" t="s">
        <v>1539</v>
      </c>
      <c r="F45" s="238">
        <f ca="1">F27</f>
        <v>0.16</v>
      </c>
      <c r="G45" s="239" t="s">
        <v>1548</v>
      </c>
    </row>
    <row r="46" spans="1:7" s="206" customFormat="1" ht="13.5" customHeight="1">
      <c r="A46" s="733" t="s">
        <v>346</v>
      </c>
      <c r="B46" s="240" t="s">
        <v>1549</v>
      </c>
      <c r="C46" s="241">
        <f ca="1">ROUND((C33+C39)*F27,0)</f>
        <v>204</v>
      </c>
      <c r="D46" s="255"/>
      <c r="E46" s="228"/>
      <c r="F46" s="238"/>
      <c r="G46" s="239"/>
    </row>
    <row r="47" spans="1:7" s="206" customFormat="1" ht="13.5" customHeight="1">
      <c r="A47" s="733" t="s">
        <v>347</v>
      </c>
      <c r="B47" s="240" t="s">
        <v>1550</v>
      </c>
      <c r="C47" s="230">
        <f ca="1">ROUND(C40*F27,4)</f>
        <v>4.7999999999999996E-3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1667</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1367</v>
      </c>
      <c r="D51" s="224"/>
      <c r="E51" s="224"/>
      <c r="F51" s="256"/>
      <c r="G51" s="226" t="s">
        <v>1560</v>
      </c>
    </row>
    <row r="52" spans="1:7" s="200" customFormat="1" ht="16.5" thickBot="1">
      <c r="A52" s="257" t="s">
        <v>1561</v>
      </c>
      <c r="B52" s="258"/>
      <c r="C52" s="259">
        <f ca="1">C31+C51</f>
        <v>11354</v>
      </c>
      <c r="D52" s="258"/>
      <c r="E52" s="258"/>
      <c r="F52" s="258"/>
      <c r="G52" s="260"/>
    </row>
    <row r="55" spans="1:7" ht="15">
      <c r="B55" s="262" t="s">
        <v>1562</v>
      </c>
      <c r="C55" s="263"/>
    </row>
    <row r="56" spans="1:7">
      <c r="B56" s="265" t="s">
        <v>802</v>
      </c>
      <c r="C56" s="267">
        <f ca="1">1-C57</f>
        <v>0.88</v>
      </c>
    </row>
    <row r="57" spans="1:7">
      <c r="B57" s="265" t="s">
        <v>803</v>
      </c>
      <c r="C57" s="266">
        <f ca="1">ROUND(C51/C52,3)</f>
        <v>0.12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8</v>
      </c>
      <c r="H1" s="997" t="str">
        <f>IF(ISERROR(FIND("住宅",B1)),"非住宅","住宅")</f>
        <v>非住宅</v>
      </c>
    </row>
    <row r="2" spans="1:8" s="192" customFormat="1" ht="18" customHeight="1">
      <c r="A2" s="193" t="s">
        <v>1462</v>
      </c>
      <c r="B2" s="3122">
        <f ca="1">ROUND(IF(D2="——",C52/10000,C52/10000-E2),4)</f>
        <v>1521.5116</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5501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553180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553180</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553180</v>
      </c>
      <c r="D10" s="794">
        <f ca="1">IF(B1="",'数据-汇总表'!E6,IF(INDIRECT("'数据-取费表'!c"&amp;$G$1)="住宅",INDIRECT("'数据-取费表'!s"&amp;$G$1),INDIRECT("'数据-取费表'!k"&amp;$G$1)+INDIRECT("'数据-取费表'!s"&amp;$G$1)))</f>
        <v>2765.9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553180</v>
      </c>
      <c r="D19" s="204">
        <f ca="1">D9+D10</f>
        <v>2765.9</v>
      </c>
      <c r="E19" s="203">
        <f>'数据-取费表'!B31</f>
        <v>200</v>
      </c>
      <c r="F19" s="223"/>
      <c r="G19" s="1713"/>
    </row>
    <row r="20" spans="1:7" s="206" customFormat="1" ht="13.5" customHeight="1">
      <c r="A20" s="247" t="s">
        <v>1574</v>
      </c>
      <c r="B20" s="202" t="s">
        <v>1575</v>
      </c>
      <c r="C20" s="224">
        <f ca="1">ROUND((C5+C19)*F20,0)</f>
        <v>33191</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71381</v>
      </c>
      <c r="D22" s="227">
        <f ca="1">C26</f>
        <v>8.9999999999999998E-4</v>
      </c>
      <c r="E22" s="228" t="s">
        <v>1579</v>
      </c>
      <c r="F22" s="229">
        <f ca="1">'数据-取费表'!B40</f>
        <v>3.1300000000000001E-2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35171</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35171</v>
      </c>
      <c r="D24" s="230"/>
      <c r="E24" s="230"/>
      <c r="F24" s="231"/>
      <c r="G24" s="232" t="s">
        <v>1586</v>
      </c>
    </row>
    <row r="25" spans="1:7" s="206" customFormat="1" ht="24">
      <c r="A25" s="733" t="s">
        <v>1476</v>
      </c>
      <c r="B25" s="207" t="s">
        <v>1587</v>
      </c>
      <c r="C25" s="230">
        <f ca="1">ROUND(IF('数据-取费表'!B22&lt;=1,C20*F22*'数据-取费表'!B22/2,C20*(POWER((1+F22),'数据-取费表'!B22/2)-1)),0)</f>
        <v>1039</v>
      </c>
      <c r="D25" s="230"/>
      <c r="E25" s="233"/>
      <c r="F25" s="231"/>
      <c r="G25" s="234" t="s">
        <v>1588</v>
      </c>
    </row>
    <row r="26" spans="1:7" s="206" customFormat="1">
      <c r="A26" s="733"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182328</v>
      </c>
      <c r="D27" s="227">
        <f ca="1">C29</f>
        <v>4.7999999999999996E-3</v>
      </c>
      <c r="E27" s="228" t="s">
        <v>1514</v>
      </c>
      <c r="F27" s="238">
        <f ca="1">IF(B1="",'数据-取费表'!Q16,INDIRECT("'数据-取费表'!q"&amp;$G$1))</f>
        <v>0.16</v>
      </c>
      <c r="G27" s="239" t="s">
        <v>1515</v>
      </c>
    </row>
    <row r="28" spans="1:7" s="206" customFormat="1" ht="13.5" customHeight="1">
      <c r="A28" s="733" t="s">
        <v>346</v>
      </c>
      <c r="B28" s="240" t="s">
        <v>1516</v>
      </c>
      <c r="C28" s="241">
        <f ca="1">ROUND((C5+C19+C20)*F27,0)</f>
        <v>182328</v>
      </c>
      <c r="D28" s="227"/>
      <c r="E28" s="228"/>
      <c r="F28" s="238"/>
      <c r="G28" s="239"/>
    </row>
    <row r="29" spans="1:7" s="206" customFormat="1" ht="13.5" customHeight="1">
      <c r="A29" s="733" t="s">
        <v>347</v>
      </c>
      <c r="B29" s="240" t="s">
        <v>1517</v>
      </c>
      <c r="C29" s="230">
        <f ca="1">ROUND(C21*F27,4)</f>
        <v>4.7999999999999996E-3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1529374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12391232</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11063600</v>
      </c>
      <c r="D34" s="209"/>
      <c r="E34" s="212"/>
      <c r="F34" s="249"/>
      <c r="G34" s="211"/>
    </row>
    <row r="35" spans="1:7" ht="13.5" customHeight="1">
      <c r="A35" s="733" t="s">
        <v>351</v>
      </c>
      <c r="B35" s="207" t="s">
        <v>1527</v>
      </c>
      <c r="C35" s="212">
        <f ca="1">ROUND(C34*F35,0)</f>
        <v>553180</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553180</v>
      </c>
      <c r="D37" s="209">
        <f ca="1">D19</f>
        <v>2765.9</v>
      </c>
      <c r="E37" s="241">
        <f>'数据-取费表'!B35</f>
        <v>200</v>
      </c>
      <c r="F37" s="251"/>
      <c r="G37" s="253"/>
    </row>
    <row r="38" spans="1:7" ht="13.5" customHeight="1">
      <c r="A38" s="733" t="s">
        <v>354</v>
      </c>
      <c r="B38" s="207" t="s">
        <v>1533</v>
      </c>
      <c r="C38" s="212">
        <f ca="1">ROUND(C34*F38,0)</f>
        <v>221272</v>
      </c>
      <c r="D38" s="212"/>
      <c r="E38" s="212"/>
      <c r="F38" s="251">
        <f>'数据-取费表'!B36</f>
        <v>0.02</v>
      </c>
      <c r="G38" s="211" t="s">
        <v>1528</v>
      </c>
    </row>
    <row r="39" spans="1:7" s="206" customFormat="1" ht="13.5" customHeight="1">
      <c r="A39" s="247" t="s">
        <v>1534</v>
      </c>
      <c r="B39" s="202" t="s">
        <v>1535</v>
      </c>
      <c r="C39" s="224">
        <f ca="1">ROUND(C33*F20,0)</f>
        <v>371737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399481</v>
      </c>
      <c r="D41" s="227">
        <f ca="1">C44</f>
        <v>8.9999999999999998E-4</v>
      </c>
      <c r="E41" s="228" t="s">
        <v>1539</v>
      </c>
      <c r="F41" s="229">
        <f ca="1">F22</f>
        <v>3.1300000000000001E-2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387846</v>
      </c>
      <c r="D42" s="230"/>
      <c r="E42" s="230"/>
      <c r="F42" s="231"/>
      <c r="G42" s="3362" t="s">
        <v>1591</v>
      </c>
    </row>
    <row r="43" spans="1:7" ht="13.5" customHeight="1">
      <c r="A43" s="733" t="s">
        <v>347</v>
      </c>
      <c r="B43" s="207" t="s">
        <v>1545</v>
      </c>
      <c r="C43" s="230">
        <f ca="1">ROUND(IF('数据-取费表'!B22&lt;=1,C39*F22*'数据-取费表'!B20/2,C39*(POWER((1+F22),'数据-取费表'!B20/2)-1)),0)</f>
        <v>11635</v>
      </c>
      <c r="D43" s="230"/>
      <c r="E43" s="230"/>
      <c r="F43" s="231"/>
      <c r="G43" s="3363"/>
    </row>
    <row r="44" spans="1:7" ht="13.5" customHeight="1">
      <c r="A44" s="733" t="s">
        <v>348</v>
      </c>
      <c r="B44" s="207" t="s">
        <v>1546</v>
      </c>
      <c r="C44" s="230">
        <f ca="1">ROUND(IF('数据-取费表'!B22&lt;=1,C40*F22*'数据-取费表'!B20/2,C40*(POWER((1+F22),'数据-取费表'!B20/2)-1)),4)</f>
        <v>8.9999999999999998E-4</v>
      </c>
      <c r="D44" s="230"/>
      <c r="E44" s="230"/>
      <c r="F44" s="231"/>
      <c r="G44" s="3364"/>
    </row>
    <row r="45" spans="1:7" s="206" customFormat="1" ht="13.5" customHeight="1">
      <c r="A45" s="247" t="s">
        <v>1547</v>
      </c>
      <c r="B45" s="236" t="s">
        <v>1513</v>
      </c>
      <c r="C45" s="237">
        <f ca="1">C46</f>
        <v>2042075</v>
      </c>
      <c r="D45" s="227">
        <f ca="1">C47</f>
        <v>4.7999999999999996E-3</v>
      </c>
      <c r="E45" s="228" t="s">
        <v>1539</v>
      </c>
      <c r="F45" s="238">
        <f ca="1">F27</f>
        <v>0.16</v>
      </c>
      <c r="G45" s="239" t="s">
        <v>1548</v>
      </c>
    </row>
    <row r="46" spans="1:7" s="206" customFormat="1" ht="13.5" customHeight="1">
      <c r="A46" s="733" t="s">
        <v>346</v>
      </c>
      <c r="B46" s="240" t="s">
        <v>1549</v>
      </c>
      <c r="C46" s="241">
        <f ca="1">ROUND((C33+C39)*F27,0)</f>
        <v>2042075</v>
      </c>
      <c r="D46" s="255"/>
      <c r="E46" s="228"/>
      <c r="F46" s="238"/>
      <c r="G46" s="239"/>
    </row>
    <row r="47" spans="1:7" s="206" customFormat="1" ht="13.5" customHeight="1">
      <c r="A47" s="733" t="s">
        <v>347</v>
      </c>
      <c r="B47" s="240" t="s">
        <v>1550</v>
      </c>
      <c r="C47" s="230">
        <f ca="1">ROUND(C40*F27,4)</f>
        <v>4.7999999999999996E-3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16689929</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13685742</v>
      </c>
      <c r="D51" s="224"/>
      <c r="E51" s="224"/>
      <c r="F51" s="256"/>
      <c r="G51" s="226" t="s">
        <v>1560</v>
      </c>
    </row>
    <row r="52" spans="1:7" s="200" customFormat="1" ht="16.5" thickBot="1">
      <c r="A52" s="257" t="s">
        <v>1561</v>
      </c>
      <c r="B52" s="258"/>
      <c r="C52" s="259">
        <f ca="1">C31+C51</f>
        <v>15215116</v>
      </c>
      <c r="D52" s="258"/>
      <c r="E52" s="258"/>
      <c r="F52" s="258"/>
      <c r="G52" s="260"/>
    </row>
    <row r="55" spans="1:7" ht="15">
      <c r="B55" s="262" t="s">
        <v>1562</v>
      </c>
      <c r="C55" s="263"/>
    </row>
    <row r="56" spans="1:7">
      <c r="B56" s="265" t="s">
        <v>802</v>
      </c>
      <c r="C56" s="267">
        <f ca="1">1-C57</f>
        <v>0.10099999999999998</v>
      </c>
    </row>
    <row r="57" spans="1:7">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8</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2765.9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2765.9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55</v>
      </c>
      <c r="D20" s="795">
        <f ca="1">IF(C1="",'数据-汇总表'!E6,IF(INDIRECT("'数据-取费表'!c"&amp;$K$1)="住宅",INDIRECT("'数据-取费表'!s"&amp;$K$1),INDIRECT("'数据-取费表'!k"&amp;$K$1)+INDIRECT("'数据-取费表'!s"&amp;$K$1)))</f>
        <v>2765.9</v>
      </c>
      <c r="E20" s="21">
        <f>'数据-取费表'!B28</f>
        <v>200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0.03</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0.03</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0.16</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G9" sqref="G9"/>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598.61</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1981</v>
      </c>
      <c r="C2" s="1845" t="s">
        <v>1935</v>
      </c>
      <c r="D2" s="162" t="s">
        <v>1936</v>
      </c>
      <c r="E2" s="3120"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Ⅱ—13</v>
      </c>
      <c r="J2" s="1841"/>
      <c r="K2" s="1055"/>
      <c r="L2" s="1846" t="s">
        <v>1939</v>
      </c>
      <c r="M2" s="810">
        <f>SUMPRODUCT((区片价!B10:B29=I2)*(区片价!C3:G3=E2)*(区片价!C10:G29))</f>
        <v>29830</v>
      </c>
      <c r="N2" s="812">
        <f>SUMPRODUCT((因素修正幅度!B10:B29=I2)*(因素修正幅度!C3:G3=E2)*(因素修正幅度!C10:G29))</f>
        <v>9.5000000000000001E-2</v>
      </c>
      <c r="O2" s="1055"/>
      <c r="P2" s="1055"/>
      <c r="Q2" s="1055"/>
      <c r="R2" s="1128">
        <v>1</v>
      </c>
      <c r="S2" s="3063">
        <f>ROUND(SUMPRODUCT((B106:B110=R2)*(C105:N105=G2)*(C106:N110)),4)</f>
        <v>1.5206</v>
      </c>
      <c r="T2" s="3063">
        <f t="shared" ref="T2:T16" si="0">ROUND($C$5*$C$22*$C$23*$C$24*S2*$C$28,0)</f>
        <v>33090</v>
      </c>
      <c r="U2" s="1129">
        <f>'数据-基础表'!I13</f>
        <v>598.61</v>
      </c>
      <c r="V2" s="3063">
        <f>ROUND(T2*U2/10000,0)</f>
        <v>1981</v>
      </c>
      <c r="W2" s="1132"/>
      <c r="X2" s="1132"/>
      <c r="Y2" s="1132"/>
      <c r="Z2" s="1132"/>
      <c r="AA2" s="1132"/>
      <c r="AB2" s="1132"/>
      <c r="AC2" s="1133"/>
      <c r="AD2" s="1134"/>
      <c r="AE2" s="1134"/>
      <c r="AF2" s="1134"/>
      <c r="AG2" s="1134"/>
      <c r="AH2" s="1134"/>
      <c r="AI2" s="1134"/>
      <c r="AJ2" s="1135"/>
    </row>
    <row r="3" spans="1:36" ht="15.75">
      <c r="A3" s="195" t="s">
        <v>1940</v>
      </c>
      <c r="B3" s="196">
        <f>ROUND(B2*10000/D1,0)</f>
        <v>33093</v>
      </c>
      <c r="C3" s="1845" t="s">
        <v>1941</v>
      </c>
      <c r="D3" s="162" t="s">
        <v>1942</v>
      </c>
      <c r="E3" s="3118" t="s">
        <v>2430</v>
      </c>
      <c r="F3" s="1847"/>
      <c r="G3" s="707">
        <f>IF(F3="宗地容积率",'数据-汇总表'!I4,IF(F3="估价对象容积率",'数据-汇总表'!I6,'数据-汇总表'!I7))</f>
        <v>8.23</v>
      </c>
      <c r="H3" s="162" t="s">
        <v>1943</v>
      </c>
      <c r="I3" s="728">
        <v>1</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1.2072000000000001</v>
      </c>
      <c r="T3" s="3063">
        <f t="shared" si="0"/>
        <v>26270</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372"/>
      <c r="B4" s="3373"/>
      <c r="C4" s="3373"/>
      <c r="D4" s="3374"/>
      <c r="E4" s="3374"/>
      <c r="F4" s="3374"/>
      <c r="G4" s="3374"/>
      <c r="H4" s="3374"/>
      <c r="I4" s="3374"/>
      <c r="J4" s="3375"/>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1.0430999999999999</v>
      </c>
      <c r="T4" s="3063">
        <f t="shared" si="0"/>
        <v>22699</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29830</v>
      </c>
      <c r="D5" s="1251">
        <f>ROUND(C6*C17+C20,0)</f>
        <v>29830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0.94389999999999996</v>
      </c>
      <c r="T5" s="3063">
        <f t="shared" si="0"/>
        <v>20540</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29830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0.89959999999999996</v>
      </c>
      <c r="T6" s="3063">
        <f t="shared" si="0"/>
        <v>19576</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3228</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二级</v>
      </c>
      <c r="Y7" s="1130" t="s">
        <v>1956</v>
      </c>
      <c r="Z7" s="1131">
        <f>G3</f>
        <v>8.23</v>
      </c>
      <c r="AA7" s="1132"/>
      <c r="AB7" s="1132"/>
      <c r="AC7" s="1133"/>
      <c r="AD7" s="1134"/>
      <c r="AE7" s="1134"/>
      <c r="AF7" s="1134"/>
      <c r="AG7" s="1134"/>
      <c r="AH7" s="1134"/>
      <c r="AI7" s="1134"/>
      <c r="AJ7" s="1135"/>
    </row>
    <row r="8" spans="1:36" ht="25.5">
      <c r="A8" s="3009"/>
      <c r="B8" s="162" t="s">
        <v>1957</v>
      </c>
      <c r="C8" s="1869" t="s">
        <v>3419</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369" t="s">
        <v>1960</v>
      </c>
      <c r="X8" s="337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SUMIF(修正!C73:C140,C8,修正!E73:E140)</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371"/>
      <c r="X9" s="3064" t="s">
        <v>3257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37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3233</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3234</v>
      </c>
      <c r="G14" s="3020" t="s">
        <v>3234</v>
      </c>
      <c r="H14" s="3020" t="s">
        <v>3234</v>
      </c>
      <c r="I14" s="3020" t="s">
        <v>3234</v>
      </c>
      <c r="J14" s="3020" t="s">
        <v>3234</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3235</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f>ROUND(G18/I18,2)</f>
        <v>0</v>
      </c>
      <c r="F17" s="3028" t="s">
        <v>3241</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3239</v>
      </c>
      <c r="E18" s="2356"/>
      <c r="F18" s="3030" t="s">
        <v>3242</v>
      </c>
      <c r="G18" s="3034">
        <f>ROUND(1-(1/(POWER(1+G24,E18))),4)</f>
        <v>0</v>
      </c>
      <c r="H18" s="3030" t="s">
        <v>3244</v>
      </c>
      <c r="I18" s="3034">
        <f>ROUND(1-(1/(POWER(1+G24,J24))),4)</f>
        <v>0.88249999999999995</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3240</v>
      </c>
      <c r="E19" s="3043"/>
      <c r="F19" s="3044" t="s">
        <v>3243</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376" t="s">
        <v>3245</v>
      </c>
      <c r="B20" s="159" t="s">
        <v>1994</v>
      </c>
      <c r="C20" s="3031">
        <f>ROUND(IF(F21="与级别开发程度一致",0,(G21-E21)/C21),0)</f>
        <v>0</v>
      </c>
      <c r="D20" s="3046" t="s">
        <v>1998</v>
      </c>
      <c r="E20" s="3047"/>
      <c r="F20" s="3382" t="s">
        <v>1995</v>
      </c>
      <c r="G20" s="3383"/>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377"/>
      <c r="B21" s="2001" t="s">
        <v>1997</v>
      </c>
      <c r="C21" s="2002">
        <f>IF(E3="M4科研用地",SUMPRODUCT((修正!A2:A7=E3)*(修正!B1:M1=G2)*(修正!B2:M7)),SUMPRODUCT((修正!A2:A7=E2)*(修正!B1:M1=G2)*(修正!B2:M7)))</f>
        <v>3.5</v>
      </c>
      <c r="D21" s="179" t="str">
        <f>IF(OR(G2="八级",G2="九级",G2="十级",G2="十一级",G2="十二级"),"五通一平","七通一平")</f>
        <v>七通一平</v>
      </c>
      <c r="E21" s="1992">
        <f>SUMPRODUCT((修正!B1:M1=G2)*(修正!B17:M17))</f>
        <v>375</v>
      </c>
      <c r="F21" s="1993" t="s">
        <v>3420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1</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5" t="s">
        <v>2002</v>
      </c>
      <c r="E23" s="716">
        <v>44197</v>
      </c>
      <c r="F23" s="1895" t="s">
        <v>2003</v>
      </c>
      <c r="G23" s="717">
        <f>'数据-取费表'!B2</f>
        <v>45989</v>
      </c>
      <c r="H23" s="3048" t="s">
        <v>3421</v>
      </c>
      <c r="I23" s="3049" t="str">
        <f>IF(H23="季度增幅（自定义）",SUMIF(N25:N28,E2,O25:O28),"")</f>
        <v/>
      </c>
      <c r="J23" s="3141" t="s">
        <v>3422</v>
      </c>
      <c r="K23" s="1060"/>
      <c r="L23" s="1896" t="s">
        <v>2004</v>
      </c>
      <c r="M23" s="1240">
        <f>ROUND(SUMIF(地价!B2:G2,E2,地价!B16:G16),0)</f>
        <v>350</v>
      </c>
      <c r="N23" s="1897" t="s">
        <v>2005</v>
      </c>
      <c r="O23" s="718">
        <f>ROUNDDOWN(DATEDIF(E23,G23,"M")/3,0)</f>
        <v>19</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0.67710000000000004</v>
      </c>
      <c r="D24" s="1901" t="s">
        <v>2007</v>
      </c>
      <c r="E24" s="1247">
        <f>存贷款利率!E28/100</f>
        <v>4.3499999999999997E-2</v>
      </c>
      <c r="F24" s="1901" t="s">
        <v>1999</v>
      </c>
      <c r="G24" s="723">
        <f>SUMIF(M30:Q30,E2,M33:Q33)</f>
        <v>5.5E-2</v>
      </c>
      <c r="H24" s="1901" t="s">
        <v>2008</v>
      </c>
      <c r="I24" s="724">
        <f>SUMIF('数据-取费表'!C6:C15,E2,'数据-取费表'!F6:F15)/COUNTIF('数据-取费表'!C6:C15,E2)</f>
        <v>17</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3418</v>
      </c>
      <c r="C25" s="461">
        <f>IF(B25="容积率修正",IF(G3&lt;10,D26,J26),C27)</f>
        <v>1.5206</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3246</v>
      </c>
      <c r="D26" s="1262">
        <f>IF(E26=G26,F26,IF(G3&lt;10,ROUND(F26+(H26-F26)*(G3-E26)/(G26-E26),4),"——"))</f>
        <v>0.90790000000000004</v>
      </c>
      <c r="E26" s="707">
        <f>ROUNDDOWN(G3,1)</f>
        <v>8.1999999999999993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0.9083</v>
      </c>
      <c r="G26" s="707">
        <f>ROUNDUP(G3,1)</f>
        <v>8.2999999999999989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0.90700000000000003</v>
      </c>
      <c r="I26" s="1911" t="s">
        <v>3247</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1.5206</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1.0508999999999999</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1981</v>
      </c>
      <c r="D30" s="1924"/>
      <c r="E30" s="1841"/>
      <c r="F30" s="1925"/>
      <c r="G30" s="1841"/>
      <c r="H30" s="1841"/>
      <c r="I30" s="1841"/>
      <c r="J30" s="1926"/>
      <c r="K30" s="1055"/>
      <c r="L30" s="3055" t="s">
        <v>1936</v>
      </c>
      <c r="M30" s="3056" t="s">
        <v>1990</v>
      </c>
      <c r="N30" s="3056" t="s">
        <v>1991</v>
      </c>
      <c r="O30" s="3056" t="s">
        <v>1992</v>
      </c>
      <c r="P30" s="3056" t="s">
        <v>1993</v>
      </c>
      <c r="Q30" s="3059" t="s">
        <v>3251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33090</v>
      </c>
      <c r="D33" s="1939">
        <f>'数据-基础表'!I13</f>
        <v>598.61</v>
      </c>
      <c r="E33" s="726">
        <f>ROUND(C33*D33/10000,0)</f>
        <v>1981</v>
      </c>
      <c r="F33" s="3050" t="s">
        <v>3249</v>
      </c>
      <c r="G33" s="1940"/>
      <c r="H33" s="1940"/>
      <c r="I33" s="1940"/>
      <c r="J33" s="1941"/>
      <c r="K33" s="1055"/>
      <c r="L33" s="3053" t="s">
        <v>3252</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f>ROUND(IF(B25="楼层修正",SUM(V2:V16)*M40,C34*D34/10000),0)</f>
        <v>0</v>
      </c>
      <c r="F34" s="1945" t="s">
        <v>2032</v>
      </c>
      <c r="G34" s="1946"/>
      <c r="H34" s="1946"/>
      <c r="I34" s="1946"/>
      <c r="J34" s="1947"/>
      <c r="K34" s="1055"/>
      <c r="L34" s="3053" t="s">
        <v>3253</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3254</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80"/>
      <c r="B37" s="1954" t="s">
        <v>2036</v>
      </c>
      <c r="C37" s="167">
        <f>ROUND(D5*C22*C23*C24*C28*F37,0)</f>
        <v>15233</v>
      </c>
      <c r="D37" s="1939"/>
      <c r="E37" s="163">
        <f>ROUND(C37*D37/10000,0)</f>
        <v>0</v>
      </c>
      <c r="F37" s="163">
        <f>SUMIF(修正!A59:A70,G2,修正!B59:B70)</f>
        <v>0.7</v>
      </c>
      <c r="G37" s="163">
        <f>ROUND(IF(E2="工业",C37*$M$42,C37*$M$41),0)</f>
        <v>3808</v>
      </c>
      <c r="H37" s="163">
        <f>D37</f>
        <v>0</v>
      </c>
      <c r="I37" s="163">
        <f>ROUND(G37*H37/10000,0)</f>
        <v>0</v>
      </c>
      <c r="J37" s="2754"/>
      <c r="K37" s="3061" t="s">
        <v>3255</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81"/>
      <c r="B38" s="1883" t="s">
        <v>2037</v>
      </c>
      <c r="C38" s="167">
        <f>ROUND(D5*C22*C23*C24*C28*F38,0)</f>
        <v>8704</v>
      </c>
      <c r="D38" s="1939"/>
      <c r="E38" s="163">
        <f t="shared" ref="E38:E42" si="4">ROUND(C38*D38/10000,0)</f>
        <v>0</v>
      </c>
      <c r="F38" s="163">
        <f>SUMIF(修正!A59:A70,G2,修正!C59:C70)</f>
        <v>0.4</v>
      </c>
      <c r="G38" s="163">
        <f>ROUND(IF(E2="工业",C38*$M$42,C38*$M$41),0)</f>
        <v>2176</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81"/>
      <c r="B39" s="1883" t="s">
        <v>3248</v>
      </c>
      <c r="C39" s="167">
        <f>ROUND(D5*C22*C23*C24*C28*F39,0)</f>
        <v>6528</v>
      </c>
      <c r="D39" s="1939"/>
      <c r="E39" s="163">
        <f t="shared" si="4"/>
        <v>0</v>
      </c>
      <c r="F39" s="163">
        <f>SUMIF(修正!A59:A70,G2,修正!D59:D70)</f>
        <v>0.3</v>
      </c>
      <c r="G39" s="163">
        <f>ROUND(IF(E2="工业",C39*$M$42,C39*$M$41),0)</f>
        <v>1632</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6528</v>
      </c>
      <c r="D40" s="1939"/>
      <c r="E40" s="163">
        <f t="shared" si="4"/>
        <v>0</v>
      </c>
      <c r="F40" s="167">
        <f>SUMIF(修正!A59:A70,G2,修正!E59:E70)</f>
        <v>0.3</v>
      </c>
      <c r="G40" s="163">
        <f>ROUND(IF(E2="工业",C40*$M$42,C40*$M$41),0)</f>
        <v>1632</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6187</v>
      </c>
      <c r="D41" s="1939"/>
      <c r="E41" s="163">
        <f t="shared" si="4"/>
        <v>0</v>
      </c>
      <c r="F41" s="167">
        <f>SUMIF(修正!A59:A70,G2,修正!F59:F70)</f>
        <v>0.3</v>
      </c>
      <c r="G41" s="163">
        <f>ROUND(IF(E2="工业",C41*$M$42,C41*$M$41),0)</f>
        <v>1547</v>
      </c>
      <c r="H41" s="163">
        <f t="shared" si="5"/>
        <v>0</v>
      </c>
      <c r="I41" s="163">
        <f t="shared" si="6"/>
        <v>0</v>
      </c>
      <c r="J41" s="938"/>
      <c r="L41" s="3062" t="s">
        <v>3256</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4125</v>
      </c>
      <c r="D42" s="1944"/>
      <c r="E42" s="179">
        <f t="shared" si="4"/>
        <v>0</v>
      </c>
      <c r="F42" s="722">
        <f>SUMIF(修正!A59:A70,G2,修正!G59:G70)</f>
        <v>0.2</v>
      </c>
      <c r="G42" s="179">
        <f>ROUND(IF(E2="工业",C42*$M$42,C42*$M$41),0)</f>
        <v>1031</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f>ROUND(POWER(1+E44,H44-G44)*(POWER(1+E44,G44)-1)/(POWER(1+E44,H44)-1),4)</f>
        <v>0.64170000000000005</v>
      </c>
      <c r="D44" s="163" t="s">
        <v>1999</v>
      </c>
      <c r="E44" s="1990">
        <f>G24</f>
        <v>5.5E-2</v>
      </c>
      <c r="F44" s="163" t="s">
        <v>2008</v>
      </c>
      <c r="G44" s="175">
        <f>项目基本情况!D15</f>
        <v>17</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1.0508999999999999</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t="s">
        <v>3455</v>
      </c>
      <c r="D50" s="1001">
        <f t="shared" ref="D50:D58" si="7">SUMIF($J$49:$N$49,C50,J50:N50)</f>
        <v>1.4200000000000001E-2</v>
      </c>
      <c r="E50" s="701">
        <f>ROUND(SUM(D50:D58),4)</f>
        <v>5.0900000000000001E-2</v>
      </c>
      <c r="F50" s="1674">
        <f>IF(E2="商业",SUMIF(L1:L12,G2,N1:N12),"——")</f>
        <v>9.5000000000000001E-2</v>
      </c>
      <c r="G50" s="999">
        <f>H50</f>
        <v>1.4200000000000001E-2</v>
      </c>
      <c r="H50" s="1002">
        <f t="shared" ref="H50:H58" si="8">IFERROR(ROUNDDOWN($F$50*I50/2,4),"——")</f>
        <v>1.4200000000000001E-2</v>
      </c>
      <c r="I50" s="3068">
        <v>0.3</v>
      </c>
      <c r="J50" s="1000">
        <f t="shared" ref="J50:J58" si="9">K50+$G50</f>
        <v>2.8400000000000002E-2</v>
      </c>
      <c r="K50" s="1000">
        <f t="shared" ref="K50:K58" si="10">$L50+$G50</f>
        <v>1.4200000000000001E-2</v>
      </c>
      <c r="L50" s="1000">
        <v>0</v>
      </c>
      <c r="M50" s="1000">
        <f t="shared" ref="M50:N58" si="11">L50-$G50</f>
        <v>-1.4200000000000001E-2</v>
      </c>
      <c r="N50" s="1000">
        <f t="shared" si="11"/>
        <v>-2.8400000000000002E-2</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t="s">
        <v>3455</v>
      </c>
      <c r="D51" s="1001">
        <f t="shared" si="7"/>
        <v>1.04E-2</v>
      </c>
      <c r="E51" s="702"/>
      <c r="F51" s="1674"/>
      <c r="G51" s="999">
        <f t="shared" ref="G51:G58" si="12">H51</f>
        <v>1.04E-2</v>
      </c>
      <c r="H51" s="1002">
        <f t="shared" si="8"/>
        <v>1.04E-2</v>
      </c>
      <c r="I51" s="3068">
        <v>0.22</v>
      </c>
      <c r="J51" s="1000">
        <f t="shared" si="9"/>
        <v>2.0799999999999999E-2</v>
      </c>
      <c r="K51" s="1000">
        <f t="shared" si="10"/>
        <v>1.04E-2</v>
      </c>
      <c r="L51" s="1000">
        <v>0</v>
      </c>
      <c r="M51" s="1000">
        <f t="shared" si="11"/>
        <v>-1.04E-2</v>
      </c>
      <c r="N51" s="1000">
        <f t="shared" si="11"/>
        <v>-2.0799999999999999E-2</v>
      </c>
      <c r="AA51" s="1056"/>
      <c r="AB51" s="1056"/>
      <c r="AC51" s="1056"/>
      <c r="AD51" s="1056"/>
      <c r="AE51" s="1056"/>
      <c r="AF51" s="1056"/>
      <c r="AG51" s="1056"/>
      <c r="AH51" s="1056"/>
      <c r="AI51" s="1056"/>
      <c r="AJ51" s="1056"/>
      <c r="AK51" s="1056"/>
    </row>
    <row r="52" spans="1:37" s="1055" customFormat="1" ht="36">
      <c r="A52" s="3070" t="s">
        <v>3258</v>
      </c>
      <c r="B52" s="1261">
        <f>估价对象房地状况!C19</f>
        <v>0</v>
      </c>
      <c r="C52" s="1886" t="s">
        <v>3455</v>
      </c>
      <c r="D52" s="1001">
        <f t="shared" si="7"/>
        <v>5.7000000000000002E-3</v>
      </c>
      <c r="E52" s="702"/>
      <c r="F52" s="1674"/>
      <c r="G52" s="999">
        <f t="shared" si="12"/>
        <v>5.7000000000000002E-3</v>
      </c>
      <c r="H52" s="1002">
        <f t="shared" si="8"/>
        <v>5.7000000000000002E-3</v>
      </c>
      <c r="I52" s="3068">
        <v>0.12</v>
      </c>
      <c r="J52" s="1000">
        <f t="shared" si="9"/>
        <v>1.14E-2</v>
      </c>
      <c r="K52" s="1000">
        <f t="shared" si="10"/>
        <v>5.7000000000000002E-3</v>
      </c>
      <c r="L52" s="1000">
        <v>0</v>
      </c>
      <c r="M52" s="1000">
        <f t="shared" si="11"/>
        <v>-5.7000000000000002E-3</v>
      </c>
      <c r="N52" s="1000">
        <f t="shared" si="11"/>
        <v>-1.14E-2</v>
      </c>
      <c r="AA52" s="1056"/>
      <c r="AB52" s="1056"/>
      <c r="AC52" s="1056"/>
      <c r="AD52" s="1056"/>
      <c r="AE52" s="1056"/>
      <c r="AF52" s="1056"/>
      <c r="AG52" s="1056"/>
      <c r="AH52" s="1056"/>
      <c r="AI52" s="1056"/>
      <c r="AJ52" s="1056"/>
      <c r="AK52" s="1056"/>
    </row>
    <row r="53" spans="1:37" s="1055" customFormat="1" ht="36.75">
      <c r="A53" s="1969" t="s">
        <v>2054</v>
      </c>
      <c r="B53" s="1973" t="s">
        <v>2055</v>
      </c>
      <c r="C53" s="1886" t="s">
        <v>3455</v>
      </c>
      <c r="D53" s="1001">
        <f t="shared" si="7"/>
        <v>2.3E-3</v>
      </c>
      <c r="E53" s="702"/>
      <c r="F53" s="1674"/>
      <c r="G53" s="999">
        <f t="shared" si="12"/>
        <v>2.3E-3</v>
      </c>
      <c r="H53" s="1002">
        <f t="shared" si="8"/>
        <v>2.3E-3</v>
      </c>
      <c r="I53" s="3068">
        <v>0.05</v>
      </c>
      <c r="J53" s="1000">
        <f t="shared" si="9"/>
        <v>4.5999999999999999E-3</v>
      </c>
      <c r="K53" s="1000">
        <f t="shared" si="10"/>
        <v>2.3E-3</v>
      </c>
      <c r="L53" s="1000">
        <v>0</v>
      </c>
      <c r="M53" s="1000">
        <f t="shared" si="11"/>
        <v>-2.3E-3</v>
      </c>
      <c r="N53" s="1000">
        <f t="shared" si="11"/>
        <v>-4.5999999999999999E-3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3455</v>
      </c>
      <c r="D54" s="1001">
        <f t="shared" si="7"/>
        <v>3.8E-3</v>
      </c>
      <c r="E54" s="702"/>
      <c r="F54" s="1674"/>
      <c r="G54" s="999">
        <f t="shared" si="12"/>
        <v>3.8E-3</v>
      </c>
      <c r="H54" s="1002">
        <f t="shared" si="8"/>
        <v>3.8E-3</v>
      </c>
      <c r="I54" s="3068">
        <v>0.08</v>
      </c>
      <c r="J54" s="1000">
        <f t="shared" si="9"/>
        <v>7.6E-3</v>
      </c>
      <c r="K54" s="1000">
        <f t="shared" si="10"/>
        <v>3.8E-3</v>
      </c>
      <c r="L54" s="1000">
        <v>0</v>
      </c>
      <c r="M54" s="1000">
        <f t="shared" si="11"/>
        <v>-3.8E-3</v>
      </c>
      <c r="N54" s="1000">
        <f t="shared" si="11"/>
        <v>-7.6E-3</v>
      </c>
      <c r="AA54" s="1056"/>
      <c r="AB54" s="1056"/>
      <c r="AC54" s="1056"/>
      <c r="AD54" s="1056"/>
      <c r="AE54" s="1056"/>
      <c r="AF54" s="1056"/>
      <c r="AG54" s="1056"/>
      <c r="AH54" s="1056"/>
      <c r="AI54" s="1056"/>
      <c r="AJ54" s="1056"/>
      <c r="AK54" s="1056"/>
    </row>
    <row r="55" spans="1:37" s="1055" customFormat="1" ht="24">
      <c r="A55" s="1969" t="s">
        <v>2057</v>
      </c>
      <c r="B55" s="1974" t="s">
        <v>2058</v>
      </c>
      <c r="C55" s="1886" t="s">
        <v>3455</v>
      </c>
      <c r="D55" s="1001">
        <f t="shared" si="7"/>
        <v>2.3E-3</v>
      </c>
      <c r="E55" s="702"/>
      <c r="F55" s="1674"/>
      <c r="G55" s="999">
        <f t="shared" si="12"/>
        <v>2.3E-3</v>
      </c>
      <c r="H55" s="1002">
        <f t="shared" si="8"/>
        <v>2.3E-3</v>
      </c>
      <c r="I55" s="3068">
        <v>0.05</v>
      </c>
      <c r="J55" s="1000">
        <f t="shared" si="9"/>
        <v>4.5999999999999999E-3</v>
      </c>
      <c r="K55" s="1000">
        <f t="shared" si="10"/>
        <v>2.3E-3</v>
      </c>
      <c r="L55" s="1000">
        <v>0</v>
      </c>
      <c r="M55" s="1000">
        <f t="shared" si="11"/>
        <v>-2.3E-3</v>
      </c>
      <c r="N55" s="1000">
        <f t="shared" si="11"/>
        <v>-4.5999999999999999E-3</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t="s">
        <v>3455</v>
      </c>
      <c r="D56" s="1001">
        <f t="shared" si="7"/>
        <v>2.3E-3</v>
      </c>
      <c r="E56" s="702"/>
      <c r="F56" s="1674"/>
      <c r="G56" s="999">
        <f t="shared" si="12"/>
        <v>2.3E-3</v>
      </c>
      <c r="H56" s="1002">
        <f t="shared" si="8"/>
        <v>2.3E-3</v>
      </c>
      <c r="I56" s="3068">
        <v>0.05</v>
      </c>
      <c r="J56" s="1000">
        <f t="shared" si="9"/>
        <v>4.5999999999999999E-3</v>
      </c>
      <c r="K56" s="1000">
        <f t="shared" si="10"/>
        <v>2.3E-3</v>
      </c>
      <c r="L56" s="1000">
        <v>0</v>
      </c>
      <c r="M56" s="1000">
        <f t="shared" si="11"/>
        <v>-2.3E-3</v>
      </c>
      <c r="N56" s="1000">
        <f t="shared" si="11"/>
        <v>-4.5999999999999999E-3</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t="s">
        <v>3456</v>
      </c>
      <c r="D57" s="1001">
        <f t="shared" si="7"/>
        <v>7.6E-3</v>
      </c>
      <c r="E57" s="702"/>
      <c r="F57" s="1674"/>
      <c r="G57" s="999">
        <f t="shared" si="12"/>
        <v>3.8E-3</v>
      </c>
      <c r="H57" s="1002">
        <f t="shared" si="8"/>
        <v>3.8E-3</v>
      </c>
      <c r="I57" s="3068">
        <v>0.08</v>
      </c>
      <c r="J57" s="1000">
        <f t="shared" si="9"/>
        <v>7.6E-3</v>
      </c>
      <c r="K57" s="1000">
        <f t="shared" si="10"/>
        <v>3.8E-3</v>
      </c>
      <c r="L57" s="1000">
        <v>0</v>
      </c>
      <c r="M57" s="1000">
        <f t="shared" si="11"/>
        <v>-3.8E-3</v>
      </c>
      <c r="N57" s="1000">
        <f t="shared" si="11"/>
        <v>-7.6E-3</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t="s">
        <v>3455</v>
      </c>
      <c r="D58" s="1001">
        <f t="shared" si="7"/>
        <v>2.3E-3</v>
      </c>
      <c r="E58" s="703"/>
      <c r="F58" s="1674"/>
      <c r="G58" s="999">
        <f t="shared" si="12"/>
        <v>2.3E-3</v>
      </c>
      <c r="H58" s="1002">
        <f t="shared" si="8"/>
        <v>2.3E-3</v>
      </c>
      <c r="I58" s="3069">
        <v>0.05</v>
      </c>
      <c r="J58" s="1000">
        <f t="shared" si="9"/>
        <v>4.5999999999999999E-3</v>
      </c>
      <c r="K58" s="1000">
        <f t="shared" si="10"/>
        <v>2.3E-3</v>
      </c>
      <c r="L58" s="1000">
        <v>0</v>
      </c>
      <c r="M58" s="1000">
        <f t="shared" si="11"/>
        <v>-2.3E-3</v>
      </c>
      <c r="N58" s="1000">
        <f t="shared" si="11"/>
        <v>-4.5999999999999999E-3</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8">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3"/>
        <v>0</v>
      </c>
      <c r="E62" s="702"/>
      <c r="F62" s="1674"/>
      <c r="G62" s="999"/>
      <c r="H62" s="1002" t="str">
        <f t="shared" si="14"/>
        <v>——</v>
      </c>
      <c r="I62" s="3068">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70" t="s">
        <v>3258</v>
      </c>
      <c r="B63" s="1261">
        <f>估价对象房地状况!C19</f>
        <v>0</v>
      </c>
      <c r="C63" s="1886"/>
      <c r="D63" s="1001">
        <f t="shared" si="13"/>
        <v>0</v>
      </c>
      <c r="E63" s="702"/>
      <c r="F63" s="1674"/>
      <c r="G63" s="999"/>
      <c r="H63" s="1002" t="str">
        <f t="shared" si="14"/>
        <v>——</v>
      </c>
      <c r="I63" s="3068">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3"/>
        <v>0</v>
      </c>
      <c r="E64" s="702"/>
      <c r="F64" s="1674"/>
      <c r="G64" s="999"/>
      <c r="H64" s="1002" t="str">
        <f t="shared" si="14"/>
        <v>——</v>
      </c>
      <c r="I64" s="3068">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3"/>
        <v>0</v>
      </c>
      <c r="E65" s="702"/>
      <c r="F65" s="1674"/>
      <c r="G65" s="999"/>
      <c r="H65" s="1002" t="str">
        <f t="shared" si="14"/>
        <v>——</v>
      </c>
      <c r="I65" s="3068">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3"/>
        <v>0</v>
      </c>
      <c r="E66" s="702"/>
      <c r="F66" s="1674"/>
      <c r="G66" s="999"/>
      <c r="H66" s="1002" t="str">
        <f t="shared" si="14"/>
        <v>——</v>
      </c>
      <c r="I66" s="3068">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3"/>
        <v>0</v>
      </c>
      <c r="E67" s="702"/>
      <c r="F67" s="1674"/>
      <c r="G67" s="999"/>
      <c r="H67" s="1002" t="str">
        <f t="shared" si="14"/>
        <v>——</v>
      </c>
      <c r="I67" s="3068">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3"/>
        <v>0</v>
      </c>
      <c r="E68" s="702"/>
      <c r="F68" s="1674"/>
      <c r="G68" s="999"/>
      <c r="H68" s="1002" t="str">
        <f t="shared" si="14"/>
        <v>——</v>
      </c>
      <c r="I68" s="3068">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3"/>
        <v>0</v>
      </c>
      <c r="E69" s="703"/>
      <c r="F69" s="1674"/>
      <c r="G69" s="999"/>
      <c r="H69" s="1002" t="str">
        <f t="shared" si="14"/>
        <v>——</v>
      </c>
      <c r="I69" s="3069">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8">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8"/>
        <v>0</v>
      </c>
      <c r="E73" s="704"/>
      <c r="F73" s="1674"/>
      <c r="G73" s="999"/>
      <c r="H73" s="1002" t="str">
        <f t="shared" si="19"/>
        <v>——</v>
      </c>
      <c r="I73" s="3068">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70" t="s">
        <v>3258</v>
      </c>
      <c r="B74" s="1261">
        <f>估价对象房地状况!C19</f>
        <v>0</v>
      </c>
      <c r="C74" s="1886"/>
      <c r="D74" s="1001">
        <f t="shared" si="18"/>
        <v>0</v>
      </c>
      <c r="E74" s="704"/>
      <c r="F74" s="1674"/>
      <c r="G74" s="999"/>
      <c r="H74" s="1002" t="str">
        <f t="shared" si="19"/>
        <v>——</v>
      </c>
      <c r="I74" s="3068">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4"/>
      <c r="F75" s="1674"/>
      <c r="G75" s="999"/>
      <c r="H75" s="1002" t="str">
        <f t="shared" si="19"/>
        <v>——</v>
      </c>
      <c r="I75" s="3068">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2059</v>
      </c>
      <c r="B76" s="1239">
        <f>估价对象房地状况!C21</f>
        <v>0</v>
      </c>
      <c r="C76" s="1886"/>
      <c r="D76" s="1001">
        <f t="shared" si="18"/>
        <v>0</v>
      </c>
      <c r="E76" s="704"/>
      <c r="F76" s="1674"/>
      <c r="G76" s="999"/>
      <c r="H76" s="1002" t="str">
        <f t="shared" si="19"/>
        <v>——</v>
      </c>
      <c r="I76" s="3068">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2060</v>
      </c>
      <c r="B77" s="1239">
        <f>估价对象房地状况!C22</f>
        <v>0</v>
      </c>
      <c r="C77" s="1886"/>
      <c r="D77" s="1001">
        <f t="shared" si="18"/>
        <v>0</v>
      </c>
      <c r="E77" s="704"/>
      <c r="F77" s="1674"/>
      <c r="G77" s="999"/>
      <c r="H77" s="1002" t="str">
        <f t="shared" si="19"/>
        <v>——</v>
      </c>
      <c r="I77" s="3068">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4"/>
      <c r="F78" s="1674"/>
      <c r="G78" s="999"/>
      <c r="H78" s="1002" t="str">
        <f t="shared" si="19"/>
        <v>——</v>
      </c>
      <c r="I78" s="3068">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2061</v>
      </c>
      <c r="B79" s="1972">
        <f>估价对象房地状况!C20</f>
        <v>0</v>
      </c>
      <c r="C79" s="1886"/>
      <c r="D79" s="1001">
        <f t="shared" si="18"/>
        <v>0</v>
      </c>
      <c r="E79" s="704"/>
      <c r="F79" s="1674"/>
      <c r="G79" s="999"/>
      <c r="H79" s="1002" t="str">
        <f t="shared" si="19"/>
        <v>——</v>
      </c>
      <c r="I79" s="3068">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5"/>
      <c r="F80" s="1674"/>
      <c r="G80" s="999"/>
      <c r="H80" s="1002" t="str">
        <f t="shared" si="19"/>
        <v>——</v>
      </c>
      <c r="I80" s="3069">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8">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2053</v>
      </c>
      <c r="B84" s="1261">
        <f>估价对象房地状况!G16</f>
        <v>0</v>
      </c>
      <c r="C84" s="1886"/>
      <c r="D84" s="1001">
        <f t="shared" si="23"/>
        <v>0</v>
      </c>
      <c r="E84" s="704"/>
      <c r="F84" s="1674"/>
      <c r="G84" s="999"/>
      <c r="H84" s="1002" t="str">
        <f t="shared" si="24"/>
        <v>——</v>
      </c>
      <c r="I84" s="3068">
        <v>0.3</v>
      </c>
      <c r="J84" s="1000">
        <f t="shared" si="25"/>
        <v>0</v>
      </c>
      <c r="K84" s="1000">
        <f t="shared" si="26"/>
        <v>0</v>
      </c>
      <c r="L84" s="1000">
        <v>0</v>
      </c>
      <c r="M84" s="1000">
        <f t="shared" si="27"/>
        <v>0</v>
      </c>
      <c r="N84" s="1000">
        <f t="shared" si="27"/>
        <v>0</v>
      </c>
      <c r="Z84" s="1844"/>
      <c r="AA84" s="1894"/>
      <c r="AG84" s="1057"/>
      <c r="AK84" s="1894"/>
    </row>
    <row r="85" spans="1:37" ht="36">
      <c r="A85" s="3070" t="s">
        <v>3259</v>
      </c>
      <c r="B85" s="1261">
        <f>估价对象房地状况!G17</f>
        <v>0</v>
      </c>
      <c r="C85" s="1886"/>
      <c r="D85" s="1001">
        <f t="shared" si="23"/>
        <v>0</v>
      </c>
      <c r="E85" s="704"/>
      <c r="F85" s="1674"/>
      <c r="G85" s="999"/>
      <c r="H85" s="1002" t="str">
        <f t="shared" si="24"/>
        <v>——</v>
      </c>
      <c r="I85" s="3068">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4"/>
      <c r="F86" s="1674"/>
      <c r="G86" s="999"/>
      <c r="H86" s="1002" t="str">
        <f t="shared" si="24"/>
        <v>——</v>
      </c>
      <c r="I86" s="3068">
        <v>0.05</v>
      </c>
      <c r="J86" s="1000">
        <f t="shared" si="25"/>
        <v>0</v>
      </c>
      <c r="K86" s="1000">
        <f t="shared" si="26"/>
        <v>0</v>
      </c>
      <c r="L86" s="1000">
        <v>0</v>
      </c>
      <c r="M86" s="1000">
        <f t="shared" si="27"/>
        <v>0</v>
      </c>
      <c r="N86" s="1000">
        <f t="shared" si="27"/>
        <v>0</v>
      </c>
      <c r="Z86" s="1844"/>
      <c r="AA86" s="1894"/>
      <c r="AG86" s="1057"/>
      <c r="AK86" s="1894"/>
    </row>
    <row r="87" spans="1:37" ht="24">
      <c r="A87" s="1969" t="s">
        <v>2059</v>
      </c>
      <c r="B87" s="1239">
        <f>估价对象房地状况!G19</f>
        <v>0</v>
      </c>
      <c r="C87" s="1886"/>
      <c r="D87" s="1001">
        <f t="shared" si="23"/>
        <v>0</v>
      </c>
      <c r="E87" s="704"/>
      <c r="F87" s="1674"/>
      <c r="G87" s="999"/>
      <c r="H87" s="1002" t="str">
        <f t="shared" si="24"/>
        <v>——</v>
      </c>
      <c r="I87" s="3068">
        <v>0.06</v>
      </c>
      <c r="J87" s="1000">
        <f t="shared" si="25"/>
        <v>0</v>
      </c>
      <c r="K87" s="1000">
        <f t="shared" si="26"/>
        <v>0</v>
      </c>
      <c r="L87" s="1000">
        <v>0</v>
      </c>
      <c r="M87" s="1000">
        <f t="shared" si="27"/>
        <v>0</v>
      </c>
      <c r="N87" s="1000">
        <f t="shared" si="27"/>
        <v>0</v>
      </c>
    </row>
    <row r="88" spans="1:37" ht="24">
      <c r="A88" s="1969" t="s">
        <v>2060</v>
      </c>
      <c r="B88" s="1239">
        <f>估价对象房地状况!G20</f>
        <v>0</v>
      </c>
      <c r="C88" s="1886"/>
      <c r="D88" s="1001">
        <f t="shared" si="23"/>
        <v>0</v>
      </c>
      <c r="E88" s="704"/>
      <c r="F88" s="1674"/>
      <c r="G88" s="999"/>
      <c r="H88" s="1002" t="str">
        <f t="shared" si="24"/>
        <v>——</v>
      </c>
      <c r="I88" s="3068">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4"/>
      <c r="F89" s="1674"/>
      <c r="G89" s="999"/>
      <c r="H89" s="1002" t="str">
        <f t="shared" si="24"/>
        <v>——</v>
      </c>
      <c r="I89" s="3068">
        <v>0.06</v>
      </c>
      <c r="J89" s="1000">
        <f t="shared" si="25"/>
        <v>0</v>
      </c>
      <c r="K89" s="1000">
        <f t="shared" si="26"/>
        <v>0</v>
      </c>
      <c r="L89" s="1000">
        <v>0</v>
      </c>
      <c r="M89" s="1000">
        <f t="shared" si="27"/>
        <v>0</v>
      </c>
      <c r="N89" s="1000">
        <f t="shared" si="27"/>
        <v>0</v>
      </c>
    </row>
    <row r="90" spans="1:37" ht="15" thickBot="1">
      <c r="A90" s="1976" t="s">
        <v>2072</v>
      </c>
      <c r="B90" s="1981">
        <f>估价对象房地状况!G18</f>
        <v>0</v>
      </c>
      <c r="C90" s="1886"/>
      <c r="D90" s="1001">
        <f t="shared" si="23"/>
        <v>0</v>
      </c>
      <c r="E90" s="705"/>
      <c r="F90" s="1674"/>
      <c r="G90" s="999"/>
      <c r="H90" s="1002" t="str">
        <f t="shared" si="24"/>
        <v>——</v>
      </c>
      <c r="I90" s="3069">
        <v>0.05</v>
      </c>
      <c r="J90" s="1000">
        <f t="shared" si="25"/>
        <v>0</v>
      </c>
      <c r="K90" s="1000">
        <f t="shared" si="26"/>
        <v>0</v>
      </c>
      <c r="L90" s="1000">
        <v>0</v>
      </c>
      <c r="M90" s="1000">
        <f t="shared" si="27"/>
        <v>0</v>
      </c>
      <c r="N90" s="1000">
        <f t="shared" si="27"/>
        <v>0</v>
      </c>
    </row>
    <row r="91" spans="1:37" ht="15">
      <c r="A91" s="3078" t="s">
        <v>2603</v>
      </c>
      <c r="B91" s="3079">
        <f>1+E93</f>
        <v>1</v>
      </c>
      <c r="C91" s="3072"/>
      <c r="D91" s="3073"/>
      <c r="E91" s="1674"/>
      <c r="F91" s="1674"/>
      <c r="G91" s="3074"/>
      <c r="H91" s="3075"/>
      <c r="I91" s="3076"/>
      <c r="J91" s="3077"/>
      <c r="K91" s="3077"/>
      <c r="L91" s="3077"/>
      <c r="M91" s="3077"/>
      <c r="N91" s="3077"/>
    </row>
    <row r="92" spans="1:37" ht="24.75">
      <c r="A92" s="3080" t="s">
        <v>3260</v>
      </c>
      <c r="B92" s="2309"/>
      <c r="C92" s="2309" t="s">
        <v>3269</v>
      </c>
      <c r="D92" s="2309" t="s">
        <v>3270</v>
      </c>
      <c r="E92" s="3052" t="s">
        <v>3271</v>
      </c>
      <c r="F92" s="3082" t="s">
        <v>3272</v>
      </c>
      <c r="G92" s="2309" t="s">
        <v>3273</v>
      </c>
      <c r="H92" s="3089" t="s">
        <v>3276</v>
      </c>
      <c r="I92" s="2309" t="s">
        <v>3277</v>
      </c>
      <c r="J92" s="2149" t="s">
        <v>3278</v>
      </c>
      <c r="K92" s="2149" t="s">
        <v>3279</v>
      </c>
      <c r="L92" s="2149" t="s">
        <v>3280</v>
      </c>
      <c r="M92" s="2149" t="s">
        <v>3281</v>
      </c>
      <c r="N92" s="2149" t="s">
        <v>3282</v>
      </c>
    </row>
    <row r="93" spans="1:37" ht="24">
      <c r="A93" s="3070" t="s">
        <v>3261</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3262</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3258</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3263</v>
      </c>
      <c r="B96" s="3086" t="s">
        <v>3274</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3264</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3265</v>
      </c>
      <c r="B98" s="3087" t="s">
        <v>3275</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3266</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3267</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3268</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78" t="s">
        <v>3283</v>
      </c>
      <c r="B103" s="3378"/>
      <c r="C103" s="3378"/>
      <c r="D103" s="3378"/>
      <c r="E103" s="3378"/>
      <c r="F103" s="3378"/>
      <c r="G103" s="3378"/>
      <c r="H103" s="3378"/>
      <c r="I103" s="3378"/>
      <c r="J103" s="3378"/>
      <c r="K103" s="1666"/>
      <c r="L103" s="1666"/>
      <c r="M103" s="1666"/>
      <c r="N103" s="1666"/>
    </row>
    <row r="104" spans="1:14">
      <c r="A104" s="3379" t="s">
        <v>3284</v>
      </c>
      <c r="B104" s="3379" t="s">
        <v>3285</v>
      </c>
      <c r="C104" s="3090" t="s">
        <v>3286</v>
      </c>
      <c r="D104" s="3091"/>
      <c r="E104" s="3091"/>
      <c r="F104" s="3091"/>
      <c r="G104" s="3091"/>
      <c r="H104" s="3091"/>
      <c r="I104" s="3091"/>
      <c r="J104" s="3092"/>
      <c r="K104" s="3093"/>
      <c r="L104" s="3093"/>
      <c r="M104" s="3093"/>
      <c r="N104" s="3093"/>
    </row>
    <row r="105" spans="1:14">
      <c r="A105" s="3379"/>
      <c r="B105" s="3379"/>
      <c r="C105" s="3094" t="s">
        <v>3287</v>
      </c>
      <c r="D105" s="3094" t="s">
        <v>3288</v>
      </c>
      <c r="E105" s="3094" t="s">
        <v>3289</v>
      </c>
      <c r="F105" s="3094" t="s">
        <v>3290</v>
      </c>
      <c r="G105" s="3094" t="s">
        <v>3291</v>
      </c>
      <c r="H105" s="3094" t="s">
        <v>3292</v>
      </c>
      <c r="I105" s="3094" t="s">
        <v>3293</v>
      </c>
      <c r="J105" s="3094" t="s">
        <v>3294</v>
      </c>
      <c r="K105" s="3094" t="s">
        <v>3295</v>
      </c>
      <c r="L105" s="3094" t="s">
        <v>3296</v>
      </c>
      <c r="M105" s="3094" t="s">
        <v>3297</v>
      </c>
      <c r="N105" s="3094" t="s">
        <v>3298</v>
      </c>
    </row>
    <row r="106" spans="1:14">
      <c r="A106" s="3365" t="s">
        <v>3299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6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6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6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6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66"/>
      <c r="B111" s="3094" t="s">
        <v>3257</v>
      </c>
      <c r="C111" s="3095">
        <f>$I$3</f>
        <v>1</v>
      </c>
      <c r="D111" s="3095">
        <f t="shared" ref="D111:M111" si="33">$I$3</f>
        <v>1</v>
      </c>
      <c r="E111" s="3095">
        <f t="shared" si="33"/>
        <v>1</v>
      </c>
      <c r="F111" s="3095">
        <f t="shared" si="33"/>
        <v>1</v>
      </c>
      <c r="G111" s="3095">
        <f t="shared" si="33"/>
        <v>1</v>
      </c>
      <c r="H111" s="3095">
        <f t="shared" si="33"/>
        <v>1</v>
      </c>
      <c r="I111" s="3095">
        <f t="shared" si="33"/>
        <v>1</v>
      </c>
      <c r="J111" s="3095">
        <f t="shared" si="33"/>
        <v>1</v>
      </c>
      <c r="K111" s="3095">
        <f t="shared" si="33"/>
        <v>1</v>
      </c>
      <c r="L111" s="3095">
        <f t="shared" si="33"/>
        <v>1</v>
      </c>
      <c r="M111" s="3095">
        <f t="shared" si="33"/>
        <v>1</v>
      </c>
      <c r="N111" s="3095">
        <f>$I$3</f>
        <v>1</v>
      </c>
    </row>
    <row r="112" spans="1:14">
      <c r="A112" s="3367"/>
      <c r="B112" s="3094">
        <v>6</v>
      </c>
      <c r="C112" s="3089">
        <f>(-0.5556*(C111^2)-0.2719*C111+8944)*(10^(-4))</f>
        <v>0.89431725000000006</v>
      </c>
      <c r="D112" s="3089">
        <f>(-0.5556*(D111^2)-0.2719*D111+8944)*(10^(-4))</f>
        <v>0.89431725000000006</v>
      </c>
      <c r="E112" s="3089">
        <f>(-0.7912*(E111^2)-11.3794*E111+8482)*(10^(-4))</f>
        <v>0.84698294000000007</v>
      </c>
      <c r="F112" s="3089">
        <f t="shared" ref="F112:I112" si="34">(-0.7912*(F111^2)-11.3794*F111+8482)*(10^(-4))</f>
        <v>0.84698294000000007</v>
      </c>
      <c r="G112" s="3089">
        <f t="shared" si="34"/>
        <v>0.84698294000000007</v>
      </c>
      <c r="H112" s="3089">
        <f t="shared" si="34"/>
        <v>0.84698294000000007</v>
      </c>
      <c r="I112" s="3089">
        <f t="shared" si="34"/>
        <v>0.84698294000000007</v>
      </c>
      <c r="J112" s="3089">
        <f>(-0.989*(J111^2)-63.78*J111+7771)*(10^(-4))</f>
        <v>0.77062310000000001</v>
      </c>
      <c r="K112" s="3089">
        <f t="shared" ref="K112:N112" si="35">(-0.989*(K111^2)-63.78*K111+7771)*(10^(-4))</f>
        <v>0.77062310000000001</v>
      </c>
      <c r="L112" s="3089">
        <f t="shared" si="35"/>
        <v>0.77062310000000001</v>
      </c>
      <c r="M112" s="3089">
        <f t="shared" si="35"/>
        <v>0.77062310000000001</v>
      </c>
      <c r="N112" s="3089">
        <f t="shared" si="35"/>
        <v>0.77062310000000001</v>
      </c>
    </row>
    <row r="113" spans="1:14">
      <c r="A113" s="3368" t="s">
        <v>3300</v>
      </c>
      <c r="B113" s="3368"/>
      <c r="C113" s="3368"/>
      <c r="D113" s="3368"/>
      <c r="E113" s="3368"/>
      <c r="F113" s="3368"/>
      <c r="G113" s="3368"/>
      <c r="H113" s="3368"/>
      <c r="I113" s="3368"/>
      <c r="J113" s="3368"/>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3301</v>
      </c>
      <c r="B116" s="3114">
        <f>G3</f>
        <v>8.23</v>
      </c>
      <c r="C116" s="3099" t="s">
        <v>3302</v>
      </c>
      <c r="D116" s="3100">
        <f>SUMPRODUCT((A118:A122=F116)*(B117:M117=H116)*B118:M122)</f>
        <v>0.90629999999999999</v>
      </c>
      <c r="E116" s="162" t="s">
        <v>3303</v>
      </c>
      <c r="F116" s="3101" t="str">
        <f>E2</f>
        <v>商业</v>
      </c>
      <c r="G116" s="162" t="s">
        <v>3304</v>
      </c>
      <c r="H116" s="3101" t="str">
        <f>G2</f>
        <v>二级</v>
      </c>
      <c r="I116" s="162"/>
      <c r="J116" s="3102"/>
      <c r="K116" s="3102"/>
      <c r="L116" s="3102"/>
      <c r="M116" s="3102"/>
      <c r="N116" s="3097"/>
    </row>
    <row r="117" spans="1:14">
      <c r="A117" s="3103"/>
      <c r="B117" s="3104" t="s">
        <v>3305</v>
      </c>
      <c r="C117" s="3104" t="s">
        <v>3306</v>
      </c>
      <c r="D117" s="3104" t="s">
        <v>3307</v>
      </c>
      <c r="E117" s="3105" t="s">
        <v>3308</v>
      </c>
      <c r="F117" s="3105" t="s">
        <v>3309</v>
      </c>
      <c r="G117" s="3105" t="s">
        <v>3310</v>
      </c>
      <c r="H117" s="3106" t="s">
        <v>3311</v>
      </c>
      <c r="I117" s="3106" t="s">
        <v>3312</v>
      </c>
      <c r="J117" s="3107" t="s">
        <v>3313</v>
      </c>
      <c r="K117" s="3107" t="s">
        <v>3314</v>
      </c>
      <c r="L117" s="3107" t="s">
        <v>3315</v>
      </c>
      <c r="M117" s="3108" t="s">
        <v>3316</v>
      </c>
      <c r="N117" s="3097"/>
    </row>
    <row r="118" spans="1:14">
      <c r="A118" s="3057" t="s">
        <v>3317</v>
      </c>
      <c r="B118" s="3089">
        <f>ROUND(0.9968-0.011*B116,4)</f>
        <v>0.90629999999999999</v>
      </c>
      <c r="C118" s="3089">
        <f>B118</f>
        <v>0.90629999999999999</v>
      </c>
      <c r="D118" s="3089">
        <f>ROUND(0.949-0.014*B116,4)</f>
        <v>0.83379999999999999</v>
      </c>
      <c r="E118" s="3089">
        <f>D118</f>
        <v>0.83379999999999999</v>
      </c>
      <c r="F118" s="3089">
        <f>E118</f>
        <v>0.83379999999999999</v>
      </c>
      <c r="G118" s="3089">
        <f>F118</f>
        <v>0.83379999999999999</v>
      </c>
      <c r="H118" s="3089">
        <f>G118</f>
        <v>0.83379999999999999</v>
      </c>
      <c r="I118" s="3089">
        <f>ROUND(0.8486-0.018*B116,4)</f>
        <v>0.70050000000000001</v>
      </c>
      <c r="J118" s="3089">
        <f t="shared" ref="J118:M122" si="36">I118</f>
        <v>0.70050000000000001</v>
      </c>
      <c r="K118" s="3089">
        <f t="shared" si="36"/>
        <v>0.70050000000000001</v>
      </c>
      <c r="L118" s="3089">
        <f t="shared" si="36"/>
        <v>0.70050000000000001</v>
      </c>
      <c r="M118" s="3109">
        <f t="shared" si="36"/>
        <v>0.70050000000000001</v>
      </c>
      <c r="N118" s="3097"/>
    </row>
    <row r="119" spans="1:14">
      <c r="A119" s="3057" t="s">
        <v>3318</v>
      </c>
      <c r="B119" s="3089">
        <f>ROUND(0.993-0.0112*B116,4)</f>
        <v>0.90080000000000005</v>
      </c>
      <c r="C119" s="3089">
        <f>B119</f>
        <v>0.90080000000000005</v>
      </c>
      <c r="D119" s="3089">
        <f>ROUND(0.9415-0.0142*B116,4)</f>
        <v>0.8246</v>
      </c>
      <c r="E119" s="3089">
        <f t="shared" ref="E119:H120" si="37">D119</f>
        <v>0.8246</v>
      </c>
      <c r="F119" s="3089">
        <f t="shared" si="37"/>
        <v>0.8246</v>
      </c>
      <c r="G119" s="3089">
        <f t="shared" si="37"/>
        <v>0.8246</v>
      </c>
      <c r="H119" s="3089">
        <f t="shared" si="37"/>
        <v>0.8246</v>
      </c>
      <c r="I119" s="3089">
        <f>ROUND(0.838-0.0182*B116,4)</f>
        <v>0.68820000000000003</v>
      </c>
      <c r="J119" s="3089">
        <f t="shared" si="36"/>
        <v>0.68820000000000003</v>
      </c>
      <c r="K119" s="3089">
        <f t="shared" si="36"/>
        <v>0.68820000000000003</v>
      </c>
      <c r="L119" s="3089">
        <f t="shared" si="36"/>
        <v>0.68820000000000003</v>
      </c>
      <c r="M119" s="3109">
        <f t="shared" si="36"/>
        <v>0.68820000000000003</v>
      </c>
      <c r="N119" s="3097"/>
    </row>
    <row r="120" spans="1:14">
      <c r="A120" s="3057" t="s">
        <v>3319</v>
      </c>
      <c r="B120" s="3089">
        <f>ROUND(0.9448-0.0115*B116,4)</f>
        <v>0.85019999999999996</v>
      </c>
      <c r="C120" s="3089">
        <f>B120</f>
        <v>0.85019999999999996</v>
      </c>
      <c r="D120" s="3089">
        <f>ROUND(0.937-0.0145*B116,4)</f>
        <v>0.81769999999999998</v>
      </c>
      <c r="E120" s="3089">
        <f t="shared" si="37"/>
        <v>0.81769999999999998</v>
      </c>
      <c r="F120" s="3089">
        <f t="shared" si="37"/>
        <v>0.81769999999999998</v>
      </c>
      <c r="G120" s="3089">
        <f t="shared" si="37"/>
        <v>0.81769999999999998</v>
      </c>
      <c r="H120" s="3089">
        <f t="shared" si="37"/>
        <v>0.81769999999999998</v>
      </c>
      <c r="I120" s="3089">
        <f>ROUND(0.7965-0.0185*B116,4)</f>
        <v>0.64419999999999999</v>
      </c>
      <c r="J120" s="3089">
        <f t="shared" si="36"/>
        <v>0.64419999999999999</v>
      </c>
      <c r="K120" s="3089">
        <f t="shared" si="36"/>
        <v>0.64419999999999999</v>
      </c>
      <c r="L120" s="3089">
        <f t="shared" si="36"/>
        <v>0.64419999999999999</v>
      </c>
      <c r="M120" s="3109">
        <f t="shared" si="36"/>
        <v>0.64419999999999999</v>
      </c>
      <c r="N120" s="3097"/>
    </row>
    <row r="121" spans="1:14" ht="13.5" thickBot="1">
      <c r="A121" s="3110" t="s">
        <v>3320</v>
      </c>
      <c r="B121" s="3111">
        <f>ROUND(0.7836-0.012*B116,4)</f>
        <v>0.68479999999999996</v>
      </c>
      <c r="C121" s="3111">
        <f>B121</f>
        <v>0.68479999999999996</v>
      </c>
      <c r="D121" s="3111">
        <f>ROUND(0.753-0.015*B116,4)</f>
        <v>0.62960000000000005</v>
      </c>
      <c r="E121" s="3111">
        <f>D121</f>
        <v>0.62960000000000005</v>
      </c>
      <c r="F121" s="3111">
        <f>E121</f>
        <v>0.62960000000000005</v>
      </c>
      <c r="G121" s="3111">
        <f>ROUND(0.6612-0.018*B116,4)</f>
        <v>0.5131</v>
      </c>
      <c r="H121" s="3111">
        <f>G121</f>
        <v>0.5131</v>
      </c>
      <c r="I121" s="3111">
        <f>ROUND(0.5905-0.019*B116,4)</f>
        <v>0.43409999999999999</v>
      </c>
      <c r="J121" s="3111">
        <f t="shared" si="36"/>
        <v>0.43409999999999999</v>
      </c>
      <c r="K121" s="3111">
        <f t="shared" si="36"/>
        <v>0.43409999999999999</v>
      </c>
      <c r="L121" s="3111">
        <f t="shared" si="36"/>
        <v>0.43409999999999999</v>
      </c>
      <c r="M121" s="3112">
        <f t="shared" si="36"/>
        <v>0.43409999999999999</v>
      </c>
      <c r="N121" s="3097"/>
    </row>
    <row r="122" spans="1:14">
      <c r="A122" s="3113" t="s">
        <v>2603</v>
      </c>
      <c r="B122" s="3089">
        <f>ROUND(0.9404-0.0106*B116,4)</f>
        <v>0.85319999999999996</v>
      </c>
      <c r="C122" s="3089">
        <f>B122</f>
        <v>0.85319999999999996</v>
      </c>
      <c r="D122" s="3089">
        <f>ROUND(0.8955-0.0135*B116,4)</f>
        <v>0.78439999999999999</v>
      </c>
      <c r="E122" s="3089">
        <f t="shared" ref="E122:H122" si="38">D122</f>
        <v>0.78439999999999999</v>
      </c>
      <c r="F122" s="3089">
        <f t="shared" si="38"/>
        <v>0.78439999999999999</v>
      </c>
      <c r="G122" s="3089">
        <f t="shared" si="38"/>
        <v>0.78439999999999999</v>
      </c>
      <c r="H122" s="3089">
        <f t="shared" si="38"/>
        <v>0.78439999999999999</v>
      </c>
      <c r="I122" s="3089">
        <f>ROUND(0.7632-0.0166*B116,4)</f>
        <v>0.62660000000000005</v>
      </c>
      <c r="J122" s="3089">
        <f t="shared" si="36"/>
        <v>0.62660000000000005</v>
      </c>
      <c r="K122" s="3089">
        <f t="shared" si="36"/>
        <v>0.62660000000000005</v>
      </c>
      <c r="L122" s="3089">
        <f t="shared" si="36"/>
        <v>0.62660000000000005</v>
      </c>
      <c r="M122" s="3109">
        <f t="shared" si="36"/>
        <v>0.62660000000000005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50:H58 H61:H69 H72:H80 H83:H91">
    <cfRule type="cellIs" dxfId="138" priority="2" operator="notEqual">
      <formula>"——"</formula>
    </cfRule>
  </conditionalFormatting>
  <conditionalFormatting sqref="H93:H101">
    <cfRule type="cellIs" dxfId="137"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796B7-00CA-4367-BFC2-787A83DD6B67}">
  <sheetPr>
    <tabColor rgb="FF92D050"/>
  </sheetPr>
  <dimension ref="A1:AK122"/>
  <sheetViews>
    <sheetView view="pageBreakPreview" zoomScale="85" zoomScaleNormal="80" zoomScaleSheetLayoutView="85"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2167.29</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4976</v>
      </c>
      <c r="C2" s="1845" t="s">
        <v>1935</v>
      </c>
      <c r="D2" s="162" t="s">
        <v>1936</v>
      </c>
      <c r="E2" s="3120"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Ⅱ—16</v>
      </c>
      <c r="J2" s="1841"/>
      <c r="K2" s="1055"/>
      <c r="L2" s="1846" t="s">
        <v>1939</v>
      </c>
      <c r="M2" s="810">
        <f>SUMPRODUCT((区片价!B10:B29=I2)*(区片价!C3:G3=E2)*(区片价!C10:G29))</f>
        <v>29640</v>
      </c>
      <c r="N2" s="812">
        <f>SUMPRODUCT((因素修正幅度!B10:B29=I2)*(因素修正幅度!C3:G3=E2)*(因素修正幅度!C10:G29))</f>
        <v>9.6000000000000002E-2</v>
      </c>
      <c r="O2" s="1055"/>
      <c r="P2" s="1055"/>
      <c r="Q2" s="1055"/>
      <c r="R2" s="1128">
        <v>1</v>
      </c>
      <c r="S2" s="3063">
        <f>ROUND(SUMPRODUCT((B106:B110=R2)*(C105:N105=G2)*(C106:N110)),4)</f>
        <v>1.5206</v>
      </c>
      <c r="T2" s="3063">
        <f t="shared" ref="T2:T16" si="0">ROUND($C$5*$C$22*$C$23*$C$24*S2*$C$28,0)</f>
        <v>38617</v>
      </c>
      <c r="U2" s="1129">
        <f>'数据-基础表'!I13</f>
        <v>598.61</v>
      </c>
      <c r="V2" s="3063">
        <f>ROUND(T2*U2/10000,0)</f>
        <v>2312</v>
      </c>
      <c r="W2" s="1132"/>
      <c r="X2" s="1132"/>
      <c r="Y2" s="1132"/>
      <c r="Z2" s="1132"/>
      <c r="AA2" s="1132"/>
      <c r="AB2" s="1132"/>
      <c r="AC2" s="1133"/>
      <c r="AD2" s="1134"/>
      <c r="AE2" s="1134"/>
      <c r="AF2" s="1134"/>
      <c r="AG2" s="1134"/>
      <c r="AH2" s="1134"/>
      <c r="AI2" s="1134"/>
      <c r="AJ2" s="1135"/>
    </row>
    <row r="3" spans="1:36" ht="15.75">
      <c r="A3" s="195" t="s">
        <v>1940</v>
      </c>
      <c r="B3" s="196">
        <f>ROUND(B2*10000/D1,0)</f>
        <v>22960</v>
      </c>
      <c r="C3" s="1845" t="s">
        <v>1941</v>
      </c>
      <c r="D3" s="162" t="s">
        <v>1942</v>
      </c>
      <c r="E3" s="3118" t="s">
        <v>3399</v>
      </c>
      <c r="F3" s="1847" t="s">
        <v>3454</v>
      </c>
      <c r="G3" s="707">
        <f>IF(F3="宗地容积率",'数据-汇总表'!I4,IF(F3="估价对象容积率",'数据-汇总表'!I6,'数据-汇总表'!I7))</f>
        <v>8.23</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1.2072000000000001</v>
      </c>
      <c r="T3" s="3063">
        <f t="shared" si="0"/>
        <v>30658</v>
      </c>
      <c r="U3" s="1129">
        <f>'数据-基础表'!I14</f>
        <v>0</v>
      </c>
      <c r="V3" s="3063">
        <f t="shared" ref="V3:V16" si="1">ROUND(T3*U3/10000,0)</f>
        <v>0</v>
      </c>
      <c r="W3" s="1132"/>
      <c r="X3" s="1132"/>
      <c r="Y3" s="1132"/>
      <c r="Z3" s="1132"/>
      <c r="AA3" s="1132"/>
      <c r="AB3" s="1132"/>
      <c r="AC3" s="1133"/>
      <c r="AD3" s="1134"/>
      <c r="AE3" s="1134"/>
      <c r="AF3" s="1134"/>
      <c r="AG3" s="1134"/>
      <c r="AH3" s="1134"/>
      <c r="AI3" s="1134"/>
      <c r="AJ3" s="1135"/>
    </row>
    <row r="4" spans="1:36" ht="15.75">
      <c r="A4" s="3372"/>
      <c r="B4" s="3373"/>
      <c r="C4" s="3373"/>
      <c r="D4" s="3374"/>
      <c r="E4" s="3374"/>
      <c r="F4" s="3374"/>
      <c r="G4" s="3374"/>
      <c r="H4" s="3374"/>
      <c r="I4" s="3374"/>
      <c r="J4" s="3375"/>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1.0430999999999999</v>
      </c>
      <c r="T4" s="3063">
        <f t="shared" si="0"/>
        <v>26490</v>
      </c>
      <c r="U4" s="1129">
        <f>'数据-基础表'!I15</f>
        <v>0</v>
      </c>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30233</v>
      </c>
      <c r="D5" s="1251">
        <f>ROUND(C6*C17+C20,0)</f>
        <v>29640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0.94389999999999996</v>
      </c>
      <c r="T5" s="3063">
        <f t="shared" si="0"/>
        <v>23971</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29640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0.89959999999999996</v>
      </c>
      <c r="T6" s="3063">
        <f t="shared" si="0"/>
        <v>22846</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3228</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二级</v>
      </c>
      <c r="Y7" s="1130" t="s">
        <v>1956</v>
      </c>
      <c r="Z7" s="1131">
        <f>G3</f>
        <v>8.23</v>
      </c>
      <c r="AA7" s="1132"/>
      <c r="AB7" s="1132"/>
      <c r="AC7" s="1133"/>
      <c r="AD7" s="1134"/>
      <c r="AE7" s="1134"/>
      <c r="AF7" s="1134"/>
      <c r="AG7" s="1134"/>
      <c r="AH7" s="1134"/>
      <c r="AI7" s="1134"/>
      <c r="AJ7" s="1135"/>
    </row>
    <row r="8" spans="1:36" ht="25.5">
      <c r="A8" s="3009"/>
      <c r="B8" s="162" t="s">
        <v>1957</v>
      </c>
      <c r="C8" s="1869" t="s">
        <v>3419</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369" t="s">
        <v>1960</v>
      </c>
      <c r="X8" s="337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SUMIF(修正!C73:C140,C8,修正!E73:E140)</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371"/>
      <c r="X9" s="3064" t="s">
        <v>3257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37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3229</v>
      </c>
      <c r="B12" s="3013" t="s">
        <v>3230</v>
      </c>
      <c r="C12" s="3014">
        <v>1.02</v>
      </c>
      <c r="D12" s="3015" t="s">
        <v>3231</v>
      </c>
      <c r="E12" s="3016" t="s">
        <v>3232</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3233</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3234</v>
      </c>
      <c r="G14" s="3020" t="s">
        <v>3234</v>
      </c>
      <c r="H14" s="3020" t="s">
        <v>3234</v>
      </c>
      <c r="I14" s="3020" t="s">
        <v>3234</v>
      </c>
      <c r="J14" s="3020" t="s">
        <v>3234</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3235</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f>ROUND(G18/I18,2)</f>
        <v>0</v>
      </c>
      <c r="F17" s="3028" t="s">
        <v>3241</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3239</v>
      </c>
      <c r="E18" s="2356"/>
      <c r="F18" s="3030" t="s">
        <v>3242</v>
      </c>
      <c r="G18" s="3034">
        <f>ROUND(1-(1/(POWER(1+G24,E18))),4)</f>
        <v>0</v>
      </c>
      <c r="H18" s="3030" t="s">
        <v>3244</v>
      </c>
      <c r="I18" s="3034">
        <f>ROUND(1-(1/(POWER(1+G24,J24))),4)</f>
        <v>0.93120000000000003</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3240</v>
      </c>
      <c r="E19" s="3043"/>
      <c r="F19" s="3044" t="s">
        <v>3243</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376" t="s">
        <v>3245</v>
      </c>
      <c r="B20" s="159" t="s">
        <v>1994</v>
      </c>
      <c r="C20" s="3031">
        <f>ROUND(IF(F21="与级别开发程度一致",0,(G21-E21)/C21),0)</f>
        <v>0</v>
      </c>
      <c r="D20" s="3046" t="s">
        <v>1998</v>
      </c>
      <c r="E20" s="3047"/>
      <c r="F20" s="3382" t="s">
        <v>1995</v>
      </c>
      <c r="G20" s="3383"/>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377"/>
      <c r="B21" s="2001" t="s">
        <v>1997</v>
      </c>
      <c r="C21" s="2002">
        <f>IF(E3="M4科研用地",SUMPRODUCT((修正!A2:A7=E3)*(修正!B1:M1=G2)*(修正!B2:M7)),SUMPRODUCT((修正!A2:A7=E2)*(修正!B1:M1=G2)*(修正!B2:M7)))</f>
        <v>3.5</v>
      </c>
      <c r="D21" s="179" t="str">
        <f>IF(OR(G2="八级",G2="九级",G2="十级",G2="十一级",G2="十二级"),"五通一平","七通一平")</f>
        <v>七通一平</v>
      </c>
      <c r="E21" s="1992">
        <f>SUMPRODUCT((修正!B1:M1=G2)*(修正!B17:M17))</f>
        <v>375</v>
      </c>
      <c r="F21" s="1993" t="s">
        <v>3420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1</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5" t="s">
        <v>2002</v>
      </c>
      <c r="E23" s="716">
        <v>44197</v>
      </c>
      <c r="F23" s="1895" t="s">
        <v>2003</v>
      </c>
      <c r="G23" s="717">
        <f>'数据-取费表'!B2</f>
        <v>45989</v>
      </c>
      <c r="H23" s="3048" t="s">
        <v>3421</v>
      </c>
      <c r="I23" s="3049" t="str">
        <f>IF(H23="季度增幅（自定义）",SUMIF(N25:N28,E2,O25:O28),"")</f>
        <v/>
      </c>
      <c r="J23" s="3141" t="s">
        <v>3422</v>
      </c>
      <c r="K23" s="1060"/>
      <c r="L23" s="1896" t="s">
        <v>2004</v>
      </c>
      <c r="M23" s="1240">
        <f>ROUND(SUMIF(地价!B2:G2,E2,地价!B16:G16),0)</f>
        <v>350</v>
      </c>
      <c r="N23" s="1897" t="s">
        <v>2005</v>
      </c>
      <c r="O23" s="718">
        <f>ROUNDDOWN(DATEDIF(E23,G23,"M")/3,0)</f>
        <v>19</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0.82079999999999997</v>
      </c>
      <c r="D24" s="1901" t="s">
        <v>2007</v>
      </c>
      <c r="E24" s="1247">
        <f>存贷款利率!E28/100</f>
        <v>4.3499999999999997E-2</v>
      </c>
      <c r="F24" s="1901" t="s">
        <v>1999</v>
      </c>
      <c r="G24" s="723">
        <f>SUMIF(M30:Q30,E2,M33:Q33)</f>
        <v>5.5E-2</v>
      </c>
      <c r="H24" s="1901" t="s">
        <v>2008</v>
      </c>
      <c r="I24" s="724">
        <f>SUMIF('数据-取费表'!C6:C15,E2,'数据-取费表'!F6:F15)/COUNTIF('数据-取费表'!C6:C15,E2)</f>
        <v>27</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3453</v>
      </c>
      <c r="C25" s="461">
        <f>IF(B25="容积率修正",IF(G3&lt;10,D26,J26),C27)</f>
        <v>0.90400000000000003</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3246</v>
      </c>
      <c r="D26" s="1262">
        <f>IF(E26=G26,F26,IF(G3&lt;10,ROUND(F26+(H26-F26)*(G3-E26)/(G26-E26),4),"——"))</f>
        <v>0.90400000000000003</v>
      </c>
      <c r="E26" s="707">
        <f>ROUNDDOWN(G3,1)</f>
        <v>8.1999999999999993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0.90439999999999998</v>
      </c>
      <c r="G26" s="707">
        <f>ROUNDUP(G3,1)</f>
        <v>8.2999999999999989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0.90300000000000002</v>
      </c>
      <c r="I26" s="1911" t="s">
        <v>3247</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1.0519000000000001</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4976</v>
      </c>
      <c r="D30" s="1924"/>
      <c r="E30" s="1841"/>
      <c r="F30" s="1925"/>
      <c r="G30" s="1841"/>
      <c r="H30" s="1841"/>
      <c r="I30" s="1841"/>
      <c r="J30" s="1926"/>
      <c r="K30" s="1055"/>
      <c r="L30" s="3055" t="s">
        <v>1936</v>
      </c>
      <c r="M30" s="3056" t="s">
        <v>1990</v>
      </c>
      <c r="N30" s="3056" t="s">
        <v>1991</v>
      </c>
      <c r="O30" s="3056" t="s">
        <v>1992</v>
      </c>
      <c r="P30" s="3056" t="s">
        <v>1993</v>
      </c>
      <c r="Q30" s="3059" t="s">
        <v>3251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22958</v>
      </c>
      <c r="D33" s="1939">
        <f>'数据-基础表'!K14+'数据-基础表'!K15</f>
        <v>2167.29</v>
      </c>
      <c r="E33" s="726">
        <f>ROUND(C33*D33/10000,0)</f>
        <v>4976</v>
      </c>
      <c r="F33" s="3050" t="s">
        <v>3249</v>
      </c>
      <c r="G33" s="1940"/>
      <c r="H33" s="1940"/>
      <c r="I33" s="1940"/>
      <c r="J33" s="1941"/>
      <c r="K33" s="1055"/>
      <c r="L33" s="3053" t="s">
        <v>3252</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5740</v>
      </c>
      <c r="D34" s="1944"/>
      <c r="E34" s="726">
        <f>ROUND(IF(B25="楼层修正",SUM(V2:V16)*M40,C34*D34/10000),0)</f>
        <v>0</v>
      </c>
      <c r="F34" s="1945" t="s">
        <v>2032</v>
      </c>
      <c r="G34" s="1946"/>
      <c r="H34" s="1946"/>
      <c r="I34" s="1946"/>
      <c r="J34" s="1947"/>
      <c r="K34" s="1055"/>
      <c r="L34" s="3053" t="s">
        <v>3253</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3254</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80"/>
      <c r="B37" s="1954" t="s">
        <v>2036</v>
      </c>
      <c r="C37" s="167">
        <f>ROUND(D5*C22*C23*C24*C28*F37,0)</f>
        <v>17428</v>
      </c>
      <c r="D37" s="1939"/>
      <c r="E37" s="163">
        <f>ROUND(C37*D37/10000,0)</f>
        <v>0</v>
      </c>
      <c r="F37" s="163">
        <f>SUMIF(修正!A59:A70,G2,修正!B59:B70)</f>
        <v>0.7</v>
      </c>
      <c r="G37" s="163">
        <f>ROUND(IF(E2="工业",C37*$M$42,C37*$M$41),0)</f>
        <v>4357</v>
      </c>
      <c r="H37" s="163">
        <f>D37</f>
        <v>0</v>
      </c>
      <c r="I37" s="163">
        <f>ROUND(G37*H37/10000,0)</f>
        <v>0</v>
      </c>
      <c r="J37" s="2754"/>
      <c r="K37" s="3061" t="s">
        <v>3255</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81"/>
      <c r="B38" s="1883" t="s">
        <v>2037</v>
      </c>
      <c r="C38" s="167">
        <f>ROUND(D5*C22*C23*C24*C28*F38,0)</f>
        <v>9959</v>
      </c>
      <c r="D38" s="1939"/>
      <c r="E38" s="163">
        <f t="shared" ref="E38:E42" si="4">ROUND(C38*D38/10000,0)</f>
        <v>0</v>
      </c>
      <c r="F38" s="163">
        <f>SUMIF(修正!A59:A70,G2,修正!C59:C70)</f>
        <v>0.4</v>
      </c>
      <c r="G38" s="163">
        <f>ROUND(IF(E2="工业",C38*$M$42,C38*$M$41),0)</f>
        <v>2490</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81"/>
      <c r="B39" s="1883" t="s">
        <v>3248</v>
      </c>
      <c r="C39" s="167">
        <f>ROUND(D5*C22*C23*C24*C28*F39,0)</f>
        <v>7469</v>
      </c>
      <c r="D39" s="1939"/>
      <c r="E39" s="163">
        <f t="shared" si="4"/>
        <v>0</v>
      </c>
      <c r="F39" s="163">
        <f>SUMIF(修正!A59:A70,G2,修正!D59:D70)</f>
        <v>0.3</v>
      </c>
      <c r="G39" s="163">
        <f>ROUND(IF(E2="工业",C39*$M$42,C39*$M$41),0)</f>
        <v>1867</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7469</v>
      </c>
      <c r="D40" s="1939"/>
      <c r="E40" s="163">
        <f t="shared" si="4"/>
        <v>0</v>
      </c>
      <c r="F40" s="167">
        <f>SUMIF(修正!A59:A70,G2,修正!E59:E70)</f>
        <v>0.3</v>
      </c>
      <c r="G40" s="163">
        <f>ROUND(IF(E2="工业",C40*$M$42,C40*$M$41),0)</f>
        <v>1867</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7469</v>
      </c>
      <c r="D41" s="1939"/>
      <c r="E41" s="163">
        <f t="shared" si="4"/>
        <v>0</v>
      </c>
      <c r="F41" s="167">
        <f>SUMIF(修正!A59:A70,G2,修正!F59:F70)</f>
        <v>0.3</v>
      </c>
      <c r="G41" s="163">
        <f>ROUND(IF(E2="工业",C41*$M$42,C41*$M$41),0)</f>
        <v>1867</v>
      </c>
      <c r="H41" s="163">
        <f t="shared" si="5"/>
        <v>0</v>
      </c>
      <c r="I41" s="163">
        <f t="shared" si="6"/>
        <v>0</v>
      </c>
      <c r="J41" s="938"/>
      <c r="L41" s="3062" t="s">
        <v>3256</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4980</v>
      </c>
      <c r="D42" s="1944"/>
      <c r="E42" s="179">
        <f t="shared" si="4"/>
        <v>0</v>
      </c>
      <c r="F42" s="722">
        <f>SUMIF(修正!A59:A70,G2,修正!G59:G70)</f>
        <v>0.2</v>
      </c>
      <c r="G42" s="179">
        <f>ROUND(IF(E2="工业",C42*$M$42,C42*$M$41),0)</f>
        <v>1245</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f>ROUND(POWER(1+E44,H44-G44)*(POWER(1+E44,G44)-1)/(POWER(1+E44,H44)-1),4)</f>
        <v>0.82079999999999997</v>
      </c>
      <c r="D44" s="163" t="s">
        <v>1999</v>
      </c>
      <c r="E44" s="1990">
        <f>G24</f>
        <v>5.5E-2</v>
      </c>
      <c r="F44" s="163" t="s">
        <v>2008</v>
      </c>
      <c r="G44" s="175">
        <f>项目基本情况!E15</f>
        <v>27</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hidden="1">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hidden="1">
      <c r="A51" s="1969" t="s">
        <v>2053</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70" t="s">
        <v>3258</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hidden="1">
      <c r="A56" s="1975" t="s">
        <v>2059</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hidden="1">
      <c r="A57" s="1975" t="s">
        <v>2060</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hidden="1" thickBot="1">
      <c r="A58" s="1976" t="s">
        <v>2061</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1.0519000000000001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t="s">
        <v>3455</v>
      </c>
      <c r="D61" s="1001">
        <f t="shared" ref="D61:D69" si="12">SUMIF($J$60:$N$60,C61,J61:N61)</f>
        <v>1.2E-2</v>
      </c>
      <c r="E61" s="701">
        <f>ROUND(SUM(D61:D69),4)</f>
        <v>5.1900000000000002E-2</v>
      </c>
      <c r="F61" s="1674">
        <f>IF(E2="办公",SUMIF(L1:L12,G2,N1:N12),"——")</f>
        <v>9.6000000000000002E-2</v>
      </c>
      <c r="G61" s="999">
        <f>H61</f>
        <v>1.2E-2</v>
      </c>
      <c r="H61" s="1002">
        <f t="shared" ref="H61:H69" si="13">IFERROR(ROUNDDOWN($F$61*I61/2,4),"——")</f>
        <v>1.2E-2</v>
      </c>
      <c r="I61" s="3068">
        <v>0.25</v>
      </c>
      <c r="J61" s="1000">
        <f t="shared" ref="J61:J69" si="14">K61+$G61</f>
        <v>2.4E-2</v>
      </c>
      <c r="K61" s="1000">
        <f t="shared" ref="K61:K69" si="15">$L61+$G61</f>
        <v>1.2E-2</v>
      </c>
      <c r="L61" s="1000">
        <v>0</v>
      </c>
      <c r="M61" s="1000">
        <f t="shared" ref="M61:N69" si="16">L61-$G61</f>
        <v>-1.2E-2</v>
      </c>
      <c r="N61" s="1000">
        <f t="shared" si="16"/>
        <v>-2.4E-2</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t="s">
        <v>3455</v>
      </c>
      <c r="D62" s="1001">
        <f t="shared" si="12"/>
        <v>1.24E-2</v>
      </c>
      <c r="E62" s="702"/>
      <c r="F62" s="1674"/>
      <c r="G62" s="999">
        <f t="shared" ref="G62:G69" si="17">H62</f>
        <v>1.24E-2</v>
      </c>
      <c r="H62" s="1002">
        <f t="shared" si="13"/>
        <v>1.24E-2</v>
      </c>
      <c r="I62" s="3068">
        <v>0.26</v>
      </c>
      <c r="J62" s="1000">
        <f t="shared" si="14"/>
        <v>2.4799999999999999E-2</v>
      </c>
      <c r="K62" s="1000">
        <f t="shared" si="15"/>
        <v>1.24E-2</v>
      </c>
      <c r="L62" s="1000">
        <v>0</v>
      </c>
      <c r="M62" s="1000">
        <f t="shared" si="16"/>
        <v>-1.24E-2</v>
      </c>
      <c r="N62" s="1000">
        <f t="shared" si="16"/>
        <v>-2.4799999999999999E-2</v>
      </c>
      <c r="AA62" s="1056"/>
      <c r="AB62" s="1056"/>
      <c r="AC62" s="1056"/>
      <c r="AD62" s="1056"/>
      <c r="AE62" s="1056"/>
      <c r="AF62" s="1056"/>
      <c r="AG62" s="1056"/>
      <c r="AH62" s="1056"/>
      <c r="AI62" s="1056"/>
      <c r="AJ62" s="1056"/>
      <c r="AK62" s="1056"/>
    </row>
    <row r="63" spans="1:37" s="1055" customFormat="1" ht="36">
      <c r="A63" s="3070" t="s">
        <v>3258</v>
      </c>
      <c r="B63" s="1261">
        <f>估价对象房地状况!C19</f>
        <v>0</v>
      </c>
      <c r="C63" s="1886" t="s">
        <v>3455</v>
      </c>
      <c r="D63" s="1001">
        <f t="shared" si="12"/>
        <v>5.1999999999999998E-3</v>
      </c>
      <c r="E63" s="702"/>
      <c r="F63" s="1674"/>
      <c r="G63" s="999">
        <f t="shared" si="17"/>
        <v>5.1999999999999998E-3</v>
      </c>
      <c r="H63" s="1002">
        <f t="shared" si="13"/>
        <v>5.1999999999999998E-3</v>
      </c>
      <c r="I63" s="3068">
        <v>0.11</v>
      </c>
      <c r="J63" s="1000">
        <f t="shared" si="14"/>
        <v>1.04E-2</v>
      </c>
      <c r="K63" s="1000">
        <f t="shared" si="15"/>
        <v>5.1999999999999998E-3</v>
      </c>
      <c r="L63" s="1000">
        <v>0</v>
      </c>
      <c r="M63" s="1000">
        <f t="shared" si="16"/>
        <v>-5.1999999999999998E-3</v>
      </c>
      <c r="N63" s="1000">
        <f t="shared" si="16"/>
        <v>-1.04E-2</v>
      </c>
      <c r="AA63" s="1056"/>
      <c r="AB63" s="1056"/>
      <c r="AC63" s="1056"/>
      <c r="AD63" s="1056"/>
      <c r="AE63" s="1056"/>
      <c r="AF63" s="1056"/>
      <c r="AG63" s="1056"/>
      <c r="AH63" s="1056"/>
      <c r="AI63" s="1056"/>
      <c r="AJ63" s="1056"/>
      <c r="AK63" s="1056"/>
    </row>
    <row r="64" spans="1:37" s="1055" customFormat="1" ht="36.75">
      <c r="A64" s="1969" t="s">
        <v>2054</v>
      </c>
      <c r="B64" s="1973" t="s">
        <v>2055</v>
      </c>
      <c r="C64" s="1886" t="s">
        <v>3455</v>
      </c>
      <c r="D64" s="1001">
        <f t="shared" si="12"/>
        <v>2.3999999999999998E-3</v>
      </c>
      <c r="E64" s="702"/>
      <c r="F64" s="1674"/>
      <c r="G64" s="999">
        <f t="shared" si="17"/>
        <v>2.3999999999999998E-3</v>
      </c>
      <c r="H64" s="1002">
        <f t="shared" si="13"/>
        <v>2.3999999999999998E-3</v>
      </c>
      <c r="I64" s="3068">
        <v>0.05</v>
      </c>
      <c r="J64" s="1000">
        <f t="shared" si="14"/>
        <v>4.7999999999999996E-3</v>
      </c>
      <c r="K64" s="1000">
        <f t="shared" si="15"/>
        <v>2.3999999999999998E-3</v>
      </c>
      <c r="L64" s="1000">
        <v>0</v>
      </c>
      <c r="M64" s="1000">
        <f t="shared" si="16"/>
        <v>-2.3999999999999998E-3</v>
      </c>
      <c r="N64" s="1000">
        <f t="shared" si="16"/>
        <v>-4.7999999999999996E-3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3455</v>
      </c>
      <c r="D65" s="1001">
        <f t="shared" si="12"/>
        <v>2.3999999999999998E-3</v>
      </c>
      <c r="E65" s="702"/>
      <c r="F65" s="1674"/>
      <c r="G65" s="999">
        <f t="shared" si="17"/>
        <v>2.3999999999999998E-3</v>
      </c>
      <c r="H65" s="1002">
        <f t="shared" si="13"/>
        <v>2.3999999999999998E-3</v>
      </c>
      <c r="I65" s="3068">
        <v>0.05</v>
      </c>
      <c r="J65" s="1000">
        <f t="shared" si="14"/>
        <v>4.7999999999999996E-3</v>
      </c>
      <c r="K65" s="1000">
        <f t="shared" si="15"/>
        <v>2.3999999999999998E-3</v>
      </c>
      <c r="L65" s="1000">
        <v>0</v>
      </c>
      <c r="M65" s="1000">
        <f t="shared" si="16"/>
        <v>-2.3999999999999998E-3</v>
      </c>
      <c r="N65" s="1000">
        <f t="shared" si="16"/>
        <v>-4.7999999999999996E-3</v>
      </c>
      <c r="AA65" s="1056"/>
      <c r="AB65" s="1056"/>
      <c r="AC65" s="1056"/>
      <c r="AD65" s="1056"/>
      <c r="AE65" s="1056"/>
      <c r="AF65" s="1056"/>
      <c r="AG65" s="1056"/>
      <c r="AH65" s="1056"/>
      <c r="AI65" s="1056"/>
      <c r="AJ65" s="1056"/>
      <c r="AK65" s="1056"/>
    </row>
    <row r="66" spans="1:37" s="1055" customFormat="1" ht="24">
      <c r="A66" s="1969" t="s">
        <v>2057</v>
      </c>
      <c r="B66" s="1974" t="s">
        <v>2058</v>
      </c>
      <c r="C66" s="1886" t="s">
        <v>3455</v>
      </c>
      <c r="D66" s="1001">
        <f t="shared" si="12"/>
        <v>2.8E-3</v>
      </c>
      <c r="E66" s="702"/>
      <c r="F66" s="1674"/>
      <c r="G66" s="999">
        <f t="shared" si="17"/>
        <v>2.8E-3</v>
      </c>
      <c r="H66" s="1002">
        <f t="shared" si="13"/>
        <v>2.8E-3</v>
      </c>
      <c r="I66" s="3068">
        <v>0.06</v>
      </c>
      <c r="J66" s="1000">
        <f t="shared" si="14"/>
        <v>5.5999999999999999E-3</v>
      </c>
      <c r="K66" s="1000">
        <f t="shared" si="15"/>
        <v>2.8E-3</v>
      </c>
      <c r="L66" s="1000">
        <v>0</v>
      </c>
      <c r="M66" s="1000">
        <f t="shared" si="16"/>
        <v>-2.8E-3</v>
      </c>
      <c r="N66" s="1000">
        <f t="shared" si="16"/>
        <v>-5.5999999999999999E-3</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t="s">
        <v>3455</v>
      </c>
      <c r="D67" s="1001">
        <f t="shared" si="12"/>
        <v>2.8E-3</v>
      </c>
      <c r="E67" s="702"/>
      <c r="F67" s="1674"/>
      <c r="G67" s="999">
        <f t="shared" si="17"/>
        <v>2.8E-3</v>
      </c>
      <c r="H67" s="1002">
        <f t="shared" si="13"/>
        <v>2.8E-3</v>
      </c>
      <c r="I67" s="3068">
        <v>0.06</v>
      </c>
      <c r="J67" s="1000">
        <f t="shared" si="14"/>
        <v>5.5999999999999999E-3</v>
      </c>
      <c r="K67" s="1000">
        <f t="shared" si="15"/>
        <v>2.8E-3</v>
      </c>
      <c r="L67" s="1000">
        <v>0</v>
      </c>
      <c r="M67" s="1000">
        <f t="shared" si="16"/>
        <v>-2.8E-3</v>
      </c>
      <c r="N67" s="1000">
        <f t="shared" si="16"/>
        <v>-5.5999999999999999E-3</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t="s">
        <v>3456</v>
      </c>
      <c r="D68" s="1001">
        <f t="shared" si="12"/>
        <v>8.6E-3</v>
      </c>
      <c r="E68" s="702"/>
      <c r="F68" s="1674"/>
      <c r="G68" s="999">
        <f t="shared" si="17"/>
        <v>4.3E-3</v>
      </c>
      <c r="H68" s="1002">
        <f t="shared" si="13"/>
        <v>4.3E-3</v>
      </c>
      <c r="I68" s="3068">
        <v>0.09</v>
      </c>
      <c r="J68" s="1000">
        <f t="shared" si="14"/>
        <v>8.6E-3</v>
      </c>
      <c r="K68" s="1000">
        <f t="shared" si="15"/>
        <v>4.3E-3</v>
      </c>
      <c r="L68" s="1000">
        <v>0</v>
      </c>
      <c r="M68" s="1000">
        <f t="shared" si="16"/>
        <v>-4.3E-3</v>
      </c>
      <c r="N68" s="1000">
        <f t="shared" si="16"/>
        <v>-8.6E-3</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t="s">
        <v>3455</v>
      </c>
      <c r="D69" s="1001">
        <f t="shared" si="12"/>
        <v>3.3E-3</v>
      </c>
      <c r="E69" s="703"/>
      <c r="F69" s="1674"/>
      <c r="G69" s="999">
        <f t="shared" si="17"/>
        <v>3.3E-3</v>
      </c>
      <c r="H69" s="1002">
        <f t="shared" si="13"/>
        <v>3.3E-3</v>
      </c>
      <c r="I69" s="3069">
        <v>7.0000000000000007E-2</v>
      </c>
      <c r="J69" s="1000">
        <f t="shared" si="14"/>
        <v>6.6E-3</v>
      </c>
      <c r="K69" s="1000">
        <f t="shared" si="15"/>
        <v>3.3E-3</v>
      </c>
      <c r="L69" s="1000">
        <v>0</v>
      </c>
      <c r="M69" s="1000">
        <f t="shared" si="16"/>
        <v>-3.3E-3</v>
      </c>
      <c r="N69" s="1000">
        <f t="shared" si="16"/>
        <v>-6.6E-3</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8">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8"/>
        <v>0</v>
      </c>
      <c r="E73" s="704"/>
      <c r="F73" s="1674"/>
      <c r="G73" s="999"/>
      <c r="H73" s="1002" t="str">
        <f t="shared" si="19"/>
        <v>——</v>
      </c>
      <c r="I73" s="3068">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70" t="s">
        <v>3258</v>
      </c>
      <c r="B74" s="1261">
        <f>估价对象房地状况!C19</f>
        <v>0</v>
      </c>
      <c r="C74" s="1886"/>
      <c r="D74" s="1001">
        <f t="shared" si="18"/>
        <v>0</v>
      </c>
      <c r="E74" s="704"/>
      <c r="F74" s="1674"/>
      <c r="G74" s="999"/>
      <c r="H74" s="1002" t="str">
        <f t="shared" si="19"/>
        <v>——</v>
      </c>
      <c r="I74" s="3068">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4"/>
      <c r="F75" s="1674"/>
      <c r="G75" s="999"/>
      <c r="H75" s="1002" t="str">
        <f t="shared" si="19"/>
        <v>——</v>
      </c>
      <c r="I75" s="3068">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2059</v>
      </c>
      <c r="B76" s="1239">
        <f>估价对象房地状况!C21</f>
        <v>0</v>
      </c>
      <c r="C76" s="1886"/>
      <c r="D76" s="1001">
        <f t="shared" si="18"/>
        <v>0</v>
      </c>
      <c r="E76" s="704"/>
      <c r="F76" s="1674"/>
      <c r="G76" s="999"/>
      <c r="H76" s="1002" t="str">
        <f t="shared" si="19"/>
        <v>——</v>
      </c>
      <c r="I76" s="3068">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2060</v>
      </c>
      <c r="B77" s="1239">
        <f>估价对象房地状况!C22</f>
        <v>0</v>
      </c>
      <c r="C77" s="1886"/>
      <c r="D77" s="1001">
        <f t="shared" si="18"/>
        <v>0</v>
      </c>
      <c r="E77" s="704"/>
      <c r="F77" s="1674"/>
      <c r="G77" s="999"/>
      <c r="H77" s="1002" t="str">
        <f t="shared" si="19"/>
        <v>——</v>
      </c>
      <c r="I77" s="3068">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4"/>
      <c r="F78" s="1674"/>
      <c r="G78" s="999"/>
      <c r="H78" s="1002" t="str">
        <f t="shared" si="19"/>
        <v>——</v>
      </c>
      <c r="I78" s="3068">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2061</v>
      </c>
      <c r="B79" s="1972">
        <f>估价对象房地状况!C20</f>
        <v>0</v>
      </c>
      <c r="C79" s="1886"/>
      <c r="D79" s="1001">
        <f t="shared" si="18"/>
        <v>0</v>
      </c>
      <c r="E79" s="704"/>
      <c r="F79" s="1674"/>
      <c r="G79" s="999"/>
      <c r="H79" s="1002" t="str">
        <f t="shared" si="19"/>
        <v>——</v>
      </c>
      <c r="I79" s="3068">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5"/>
      <c r="F80" s="1674"/>
      <c r="G80" s="999"/>
      <c r="H80" s="1002" t="str">
        <f t="shared" si="19"/>
        <v>——</v>
      </c>
      <c r="I80" s="3069">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8">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2053</v>
      </c>
      <c r="B84" s="1261">
        <f>估价对象房地状况!G16</f>
        <v>0</v>
      </c>
      <c r="C84" s="1886"/>
      <c r="D84" s="1001">
        <f t="shared" si="23"/>
        <v>0</v>
      </c>
      <c r="E84" s="704"/>
      <c r="F84" s="1674"/>
      <c r="G84" s="999"/>
      <c r="H84" s="1002" t="str">
        <f t="shared" si="24"/>
        <v>——</v>
      </c>
      <c r="I84" s="3068">
        <v>0.3</v>
      </c>
      <c r="J84" s="1000">
        <f t="shared" si="25"/>
        <v>0</v>
      </c>
      <c r="K84" s="1000">
        <f t="shared" si="26"/>
        <v>0</v>
      </c>
      <c r="L84" s="1000">
        <v>0</v>
      </c>
      <c r="M84" s="1000">
        <f t="shared" si="27"/>
        <v>0</v>
      </c>
      <c r="N84" s="1000">
        <f t="shared" si="27"/>
        <v>0</v>
      </c>
      <c r="Z84" s="1844"/>
      <c r="AA84" s="1894"/>
      <c r="AG84" s="1057"/>
      <c r="AK84" s="1894"/>
    </row>
    <row r="85" spans="1:37" ht="36">
      <c r="A85" s="3070" t="s">
        <v>3258</v>
      </c>
      <c r="B85" s="1261">
        <f>估价对象房地状况!G17</f>
        <v>0</v>
      </c>
      <c r="C85" s="1886"/>
      <c r="D85" s="1001">
        <f t="shared" si="23"/>
        <v>0</v>
      </c>
      <c r="E85" s="704"/>
      <c r="F85" s="1674"/>
      <c r="G85" s="999"/>
      <c r="H85" s="1002" t="str">
        <f t="shared" si="24"/>
        <v>——</v>
      </c>
      <c r="I85" s="3068">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4"/>
      <c r="F86" s="1674"/>
      <c r="G86" s="999"/>
      <c r="H86" s="1002" t="str">
        <f t="shared" si="24"/>
        <v>——</v>
      </c>
      <c r="I86" s="3068">
        <v>0.05</v>
      </c>
      <c r="J86" s="1000">
        <f t="shared" si="25"/>
        <v>0</v>
      </c>
      <c r="K86" s="1000">
        <f t="shared" si="26"/>
        <v>0</v>
      </c>
      <c r="L86" s="1000">
        <v>0</v>
      </c>
      <c r="M86" s="1000">
        <f t="shared" si="27"/>
        <v>0</v>
      </c>
      <c r="N86" s="1000">
        <f t="shared" si="27"/>
        <v>0</v>
      </c>
      <c r="Z86" s="1844"/>
      <c r="AA86" s="1894"/>
      <c r="AG86" s="1057"/>
      <c r="AK86" s="1894"/>
    </row>
    <row r="87" spans="1:37" ht="24">
      <c r="A87" s="1969" t="s">
        <v>2059</v>
      </c>
      <c r="B87" s="1239">
        <f>估价对象房地状况!G19</f>
        <v>0</v>
      </c>
      <c r="C87" s="1886"/>
      <c r="D87" s="1001">
        <f t="shared" si="23"/>
        <v>0</v>
      </c>
      <c r="E87" s="704"/>
      <c r="F87" s="1674"/>
      <c r="G87" s="999"/>
      <c r="H87" s="1002" t="str">
        <f t="shared" si="24"/>
        <v>——</v>
      </c>
      <c r="I87" s="3068">
        <v>0.06</v>
      </c>
      <c r="J87" s="1000">
        <f t="shared" si="25"/>
        <v>0</v>
      </c>
      <c r="K87" s="1000">
        <f t="shared" si="26"/>
        <v>0</v>
      </c>
      <c r="L87" s="1000">
        <v>0</v>
      </c>
      <c r="M87" s="1000">
        <f t="shared" si="27"/>
        <v>0</v>
      </c>
      <c r="N87" s="1000">
        <f t="shared" si="27"/>
        <v>0</v>
      </c>
    </row>
    <row r="88" spans="1:37" ht="24">
      <c r="A88" s="1969" t="s">
        <v>2060</v>
      </c>
      <c r="B88" s="1239">
        <f>估价对象房地状况!G20</f>
        <v>0</v>
      </c>
      <c r="C88" s="1886"/>
      <c r="D88" s="1001">
        <f t="shared" si="23"/>
        <v>0</v>
      </c>
      <c r="E88" s="704"/>
      <c r="F88" s="1674"/>
      <c r="G88" s="999"/>
      <c r="H88" s="1002" t="str">
        <f t="shared" si="24"/>
        <v>——</v>
      </c>
      <c r="I88" s="3068">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4"/>
      <c r="F89" s="1674"/>
      <c r="G89" s="999"/>
      <c r="H89" s="1002" t="str">
        <f t="shared" si="24"/>
        <v>——</v>
      </c>
      <c r="I89" s="3068">
        <v>0.06</v>
      </c>
      <c r="J89" s="1000">
        <f t="shared" si="25"/>
        <v>0</v>
      </c>
      <c r="K89" s="1000">
        <f t="shared" si="26"/>
        <v>0</v>
      </c>
      <c r="L89" s="1000">
        <v>0</v>
      </c>
      <c r="M89" s="1000">
        <f t="shared" si="27"/>
        <v>0</v>
      </c>
      <c r="N89" s="1000">
        <f t="shared" si="27"/>
        <v>0</v>
      </c>
    </row>
    <row r="90" spans="1:37" ht="15" thickBot="1">
      <c r="A90" s="1976" t="s">
        <v>2072</v>
      </c>
      <c r="B90" s="1981">
        <f>估价对象房地状况!G18</f>
        <v>0</v>
      </c>
      <c r="C90" s="1886"/>
      <c r="D90" s="1001">
        <f t="shared" si="23"/>
        <v>0</v>
      </c>
      <c r="E90" s="705"/>
      <c r="F90" s="1674"/>
      <c r="G90" s="999"/>
      <c r="H90" s="1002" t="str">
        <f t="shared" si="24"/>
        <v>——</v>
      </c>
      <c r="I90" s="3069">
        <v>0.05</v>
      </c>
      <c r="J90" s="1000">
        <f t="shared" si="25"/>
        <v>0</v>
      </c>
      <c r="K90" s="1000">
        <f t="shared" si="26"/>
        <v>0</v>
      </c>
      <c r="L90" s="1000">
        <v>0</v>
      </c>
      <c r="M90" s="1000">
        <f t="shared" si="27"/>
        <v>0</v>
      </c>
      <c r="N90" s="1000">
        <f t="shared" si="27"/>
        <v>0</v>
      </c>
    </row>
    <row r="91" spans="1:37" ht="15">
      <c r="A91" s="3078" t="s">
        <v>2603</v>
      </c>
      <c r="B91" s="3079">
        <f>1+E93</f>
        <v>1</v>
      </c>
      <c r="C91" s="3072"/>
      <c r="D91" s="3073"/>
      <c r="E91" s="1674"/>
      <c r="F91" s="1674"/>
      <c r="G91" s="3074"/>
      <c r="H91" s="3075"/>
      <c r="I91" s="3076"/>
      <c r="J91" s="3077"/>
      <c r="K91" s="3077"/>
      <c r="L91" s="3077"/>
      <c r="M91" s="3077"/>
      <c r="N91" s="3077"/>
    </row>
    <row r="92" spans="1:37" ht="24.75">
      <c r="A92" s="3080" t="s">
        <v>2044</v>
      </c>
      <c r="B92" s="2309"/>
      <c r="C92" s="2309" t="s">
        <v>2046</v>
      </c>
      <c r="D92" s="2309" t="s">
        <v>2047</v>
      </c>
      <c r="E92" s="3052" t="s">
        <v>2048</v>
      </c>
      <c r="F92" s="3082" t="s">
        <v>3272</v>
      </c>
      <c r="G92" s="2309" t="s">
        <v>1989</v>
      </c>
      <c r="H92" s="3089" t="s">
        <v>3276</v>
      </c>
      <c r="I92" s="2309" t="s">
        <v>2051</v>
      </c>
      <c r="J92" s="2149" t="s">
        <v>1721</v>
      </c>
      <c r="K92" s="2149" t="s">
        <v>1722</v>
      </c>
      <c r="L92" s="2149" t="s">
        <v>1723</v>
      </c>
      <c r="M92" s="2149" t="s">
        <v>1724</v>
      </c>
      <c r="N92" s="2149" t="s">
        <v>1725</v>
      </c>
    </row>
    <row r="93" spans="1:37" ht="24">
      <c r="A93" s="3070" t="s">
        <v>3261</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2053</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3258</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2054</v>
      </c>
      <c r="B96" s="3086" t="s">
        <v>3274</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2056</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2057</v>
      </c>
      <c r="B98" s="3087" t="s">
        <v>3275</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2059</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2060</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2061</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78" t="s">
        <v>3283</v>
      </c>
      <c r="B103" s="3378"/>
      <c r="C103" s="3378"/>
      <c r="D103" s="3378"/>
      <c r="E103" s="3378"/>
      <c r="F103" s="3378"/>
      <c r="G103" s="3378"/>
      <c r="H103" s="3378"/>
      <c r="I103" s="3378"/>
      <c r="J103" s="3378"/>
      <c r="K103" s="1666"/>
      <c r="L103" s="1666"/>
      <c r="M103" s="1666"/>
      <c r="N103" s="1666"/>
    </row>
    <row r="104" spans="1:14">
      <c r="A104" s="3379" t="s">
        <v>3284</v>
      </c>
      <c r="B104" s="3379" t="s">
        <v>3285</v>
      </c>
      <c r="C104" s="3090" t="s">
        <v>3286</v>
      </c>
      <c r="D104" s="3091"/>
      <c r="E104" s="3091"/>
      <c r="F104" s="3091"/>
      <c r="G104" s="3091"/>
      <c r="H104" s="3091"/>
      <c r="I104" s="3091"/>
      <c r="J104" s="3092"/>
      <c r="K104" s="3093"/>
      <c r="L104" s="3093"/>
      <c r="M104" s="3093"/>
      <c r="N104" s="3093"/>
    </row>
    <row r="105" spans="1:14">
      <c r="A105" s="3379"/>
      <c r="B105" s="3379"/>
      <c r="C105" s="3094" t="s">
        <v>1961</v>
      </c>
      <c r="D105" s="3094" t="s">
        <v>1962</v>
      </c>
      <c r="E105" s="3094" t="s">
        <v>1963</v>
      </c>
      <c r="F105" s="3094" t="s">
        <v>1964</v>
      </c>
      <c r="G105" s="3094" t="s">
        <v>1965</v>
      </c>
      <c r="H105" s="3094" t="s">
        <v>1966</v>
      </c>
      <c r="I105" s="3094" t="s">
        <v>1967</v>
      </c>
      <c r="J105" s="3094" t="s">
        <v>1968</v>
      </c>
      <c r="K105" s="3094" t="s">
        <v>1969</v>
      </c>
      <c r="L105" s="3094" t="s">
        <v>1970</v>
      </c>
      <c r="M105" s="3094" t="s">
        <v>1971</v>
      </c>
      <c r="N105" s="3094" t="s">
        <v>1972</v>
      </c>
    </row>
    <row r="106" spans="1:14">
      <c r="A106" s="3365" t="s">
        <v>3299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6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6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6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6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66"/>
      <c r="B111" s="3094" t="s">
        <v>3257</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367"/>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368" t="s">
        <v>3300</v>
      </c>
      <c r="B113" s="3368"/>
      <c r="C113" s="3368"/>
      <c r="D113" s="3368"/>
      <c r="E113" s="3368"/>
      <c r="F113" s="3368"/>
      <c r="G113" s="3368"/>
      <c r="H113" s="3368"/>
      <c r="I113" s="3368"/>
      <c r="J113" s="3368"/>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3301</v>
      </c>
      <c r="B116" s="3114">
        <f>G3</f>
        <v>8.23</v>
      </c>
      <c r="C116" s="3099" t="s">
        <v>3302</v>
      </c>
      <c r="D116" s="3100">
        <f>SUMPRODUCT((A118:A122=F116)*(B117:M117=H116)*B118:M122)</f>
        <v>0.90080000000000005</v>
      </c>
      <c r="E116" s="162" t="s">
        <v>1936</v>
      </c>
      <c r="F116" s="3101" t="str">
        <f>E2</f>
        <v>办公</v>
      </c>
      <c r="G116" s="162" t="s">
        <v>1937</v>
      </c>
      <c r="H116" s="3101" t="str">
        <f>G2</f>
        <v>二级</v>
      </c>
      <c r="I116" s="162"/>
      <c r="J116" s="3102"/>
      <c r="K116" s="3102"/>
      <c r="L116" s="3102"/>
      <c r="M116" s="3102"/>
      <c r="N116" s="3097"/>
    </row>
    <row r="117" spans="1:14">
      <c r="A117" s="3103"/>
      <c r="B117" s="3104" t="s">
        <v>3305</v>
      </c>
      <c r="C117" s="3104" t="s">
        <v>3306</v>
      </c>
      <c r="D117" s="3104" t="s">
        <v>3307</v>
      </c>
      <c r="E117" s="3105" t="s">
        <v>3308</v>
      </c>
      <c r="F117" s="3105" t="s">
        <v>3309</v>
      </c>
      <c r="G117" s="3105" t="s">
        <v>3310</v>
      </c>
      <c r="H117" s="3106" t="s">
        <v>3311</v>
      </c>
      <c r="I117" s="3106" t="s">
        <v>3312</v>
      </c>
      <c r="J117" s="3107" t="s">
        <v>3313</v>
      </c>
      <c r="K117" s="3107" t="s">
        <v>3314</v>
      </c>
      <c r="L117" s="3107" t="s">
        <v>3315</v>
      </c>
      <c r="M117" s="3108" t="s">
        <v>3316</v>
      </c>
      <c r="N117" s="3097"/>
    </row>
    <row r="118" spans="1:14">
      <c r="A118" s="3057" t="s">
        <v>1990</v>
      </c>
      <c r="B118" s="3089">
        <f>ROUND(0.9968-0.011*B116,4)</f>
        <v>0.90629999999999999</v>
      </c>
      <c r="C118" s="3089">
        <f>B118</f>
        <v>0.90629999999999999</v>
      </c>
      <c r="D118" s="3089">
        <f>ROUND(0.949-0.014*B116,4)</f>
        <v>0.83379999999999999</v>
      </c>
      <c r="E118" s="3089">
        <f>D118</f>
        <v>0.83379999999999999</v>
      </c>
      <c r="F118" s="3089">
        <f>E118</f>
        <v>0.83379999999999999</v>
      </c>
      <c r="G118" s="3089">
        <f>F118</f>
        <v>0.83379999999999999</v>
      </c>
      <c r="H118" s="3089">
        <f>G118</f>
        <v>0.83379999999999999</v>
      </c>
      <c r="I118" s="3089">
        <f>ROUND(0.8486-0.018*B116,4)</f>
        <v>0.70050000000000001</v>
      </c>
      <c r="J118" s="3089">
        <f t="shared" ref="J118:M122" si="36">I118</f>
        <v>0.70050000000000001</v>
      </c>
      <c r="K118" s="3089">
        <f t="shared" si="36"/>
        <v>0.70050000000000001</v>
      </c>
      <c r="L118" s="3089">
        <f t="shared" si="36"/>
        <v>0.70050000000000001</v>
      </c>
      <c r="M118" s="3109">
        <f t="shared" si="36"/>
        <v>0.70050000000000001</v>
      </c>
      <c r="N118" s="3097"/>
    </row>
    <row r="119" spans="1:14">
      <c r="A119" s="3057" t="s">
        <v>1991</v>
      </c>
      <c r="B119" s="3089">
        <f>ROUND(0.993-0.0112*B116,4)</f>
        <v>0.90080000000000005</v>
      </c>
      <c r="C119" s="3089">
        <f>B119</f>
        <v>0.90080000000000005</v>
      </c>
      <c r="D119" s="3089">
        <f>ROUND(0.9415-0.0142*B116,4)</f>
        <v>0.8246</v>
      </c>
      <c r="E119" s="3089">
        <f t="shared" ref="E119:H120" si="37">D119</f>
        <v>0.8246</v>
      </c>
      <c r="F119" s="3089">
        <f t="shared" si="37"/>
        <v>0.8246</v>
      </c>
      <c r="G119" s="3089">
        <f t="shared" si="37"/>
        <v>0.8246</v>
      </c>
      <c r="H119" s="3089">
        <f t="shared" si="37"/>
        <v>0.8246</v>
      </c>
      <c r="I119" s="3089">
        <f>ROUND(0.838-0.0182*B116,4)</f>
        <v>0.68820000000000003</v>
      </c>
      <c r="J119" s="3089">
        <f t="shared" si="36"/>
        <v>0.68820000000000003</v>
      </c>
      <c r="K119" s="3089">
        <f t="shared" si="36"/>
        <v>0.68820000000000003</v>
      </c>
      <c r="L119" s="3089">
        <f t="shared" si="36"/>
        <v>0.68820000000000003</v>
      </c>
      <c r="M119" s="3109">
        <f t="shared" si="36"/>
        <v>0.68820000000000003</v>
      </c>
      <c r="N119" s="3097"/>
    </row>
    <row r="120" spans="1:14">
      <c r="A120" s="3057" t="s">
        <v>1992</v>
      </c>
      <c r="B120" s="3089">
        <f>ROUND(0.9448-0.0115*B116,4)</f>
        <v>0.85019999999999996</v>
      </c>
      <c r="C120" s="3089">
        <f>B120</f>
        <v>0.85019999999999996</v>
      </c>
      <c r="D120" s="3089">
        <f>ROUND(0.937-0.0145*B116,4)</f>
        <v>0.81769999999999998</v>
      </c>
      <c r="E120" s="3089">
        <f t="shared" si="37"/>
        <v>0.81769999999999998</v>
      </c>
      <c r="F120" s="3089">
        <f t="shared" si="37"/>
        <v>0.81769999999999998</v>
      </c>
      <c r="G120" s="3089">
        <f t="shared" si="37"/>
        <v>0.81769999999999998</v>
      </c>
      <c r="H120" s="3089">
        <f t="shared" si="37"/>
        <v>0.81769999999999998</v>
      </c>
      <c r="I120" s="3089">
        <f>ROUND(0.7965-0.0185*B116,4)</f>
        <v>0.64419999999999999</v>
      </c>
      <c r="J120" s="3089">
        <f t="shared" si="36"/>
        <v>0.64419999999999999</v>
      </c>
      <c r="K120" s="3089">
        <f t="shared" si="36"/>
        <v>0.64419999999999999</v>
      </c>
      <c r="L120" s="3089">
        <f t="shared" si="36"/>
        <v>0.64419999999999999</v>
      </c>
      <c r="M120" s="3109">
        <f t="shared" si="36"/>
        <v>0.64419999999999999</v>
      </c>
      <c r="N120" s="3097"/>
    </row>
    <row r="121" spans="1:14" ht="13.5" thickBot="1">
      <c r="A121" s="3110" t="s">
        <v>1993</v>
      </c>
      <c r="B121" s="3111">
        <f>ROUND(0.7836-0.012*B116,4)</f>
        <v>0.68479999999999996</v>
      </c>
      <c r="C121" s="3111">
        <f>B121</f>
        <v>0.68479999999999996</v>
      </c>
      <c r="D121" s="3111">
        <f>ROUND(0.753-0.015*B116,4)</f>
        <v>0.62960000000000005</v>
      </c>
      <c r="E121" s="3111">
        <f>D121</f>
        <v>0.62960000000000005</v>
      </c>
      <c r="F121" s="3111">
        <f>E121</f>
        <v>0.62960000000000005</v>
      </c>
      <c r="G121" s="3111">
        <f>ROUND(0.6612-0.018*B116,4)</f>
        <v>0.5131</v>
      </c>
      <c r="H121" s="3111">
        <f>G121</f>
        <v>0.5131</v>
      </c>
      <c r="I121" s="3111">
        <f>ROUND(0.5905-0.019*B116,4)</f>
        <v>0.43409999999999999</v>
      </c>
      <c r="J121" s="3111">
        <f t="shared" si="36"/>
        <v>0.43409999999999999</v>
      </c>
      <c r="K121" s="3111">
        <f t="shared" si="36"/>
        <v>0.43409999999999999</v>
      </c>
      <c r="L121" s="3111">
        <f t="shared" si="36"/>
        <v>0.43409999999999999</v>
      </c>
      <c r="M121" s="3112">
        <f t="shared" si="36"/>
        <v>0.43409999999999999</v>
      </c>
      <c r="N121" s="3097"/>
    </row>
    <row r="122" spans="1:14">
      <c r="A122" s="3113" t="s">
        <v>2603</v>
      </c>
      <c r="B122" s="3089">
        <f>ROUND(0.9404-0.0106*B116,4)</f>
        <v>0.85319999999999996</v>
      </c>
      <c r="C122" s="3089">
        <f>B122</f>
        <v>0.85319999999999996</v>
      </c>
      <c r="D122" s="3089">
        <f>ROUND(0.8955-0.0135*B116,4)</f>
        <v>0.78439999999999999</v>
      </c>
      <c r="E122" s="3089">
        <f t="shared" ref="E122:H122" si="38">D122</f>
        <v>0.78439999999999999</v>
      </c>
      <c r="F122" s="3089">
        <f t="shared" si="38"/>
        <v>0.78439999999999999</v>
      </c>
      <c r="G122" s="3089">
        <f t="shared" si="38"/>
        <v>0.78439999999999999</v>
      </c>
      <c r="H122" s="3089">
        <f t="shared" si="38"/>
        <v>0.78439999999999999</v>
      </c>
      <c r="I122" s="3089">
        <f>ROUND(0.7632-0.0166*B116,4)</f>
        <v>0.62660000000000005</v>
      </c>
      <c r="J122" s="3089">
        <f t="shared" si="36"/>
        <v>0.62660000000000005</v>
      </c>
      <c r="K122" s="3089">
        <f t="shared" si="36"/>
        <v>0.62660000000000005</v>
      </c>
      <c r="L122" s="3089">
        <f t="shared" si="36"/>
        <v>0.62660000000000005</v>
      </c>
      <c r="M122" s="3109">
        <f t="shared" si="36"/>
        <v>0.62660000000000005</v>
      </c>
      <c r="N122" s="3097"/>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J23" xr:uid="{D22611A3-DD72-44BB-8E6A-2491B1478DEE}">
      <formula1>"不用分区数据,中心城区,中心城区以外"</formula1>
    </dataValidation>
    <dataValidation type="list" allowBlank="1" showInputMessage="1" showErrorMessage="1" sqref="H20:O20" xr:uid="{54E9C400-EEC6-4D3D-8BCD-61610114D657}">
      <formula1>七通一平</formula1>
    </dataValidation>
    <dataValidation type="list" allowBlank="1" showInputMessage="1" showErrorMessage="1" sqref="H23" xr:uid="{41CE15C0-895E-4BB0-BA86-122C6A233E59}">
      <formula1>"地价指数,季度增幅（自定义）,按公示增长率计算"</formula1>
    </dataValidation>
    <dataValidation type="list" allowBlank="1" showInputMessage="1" showErrorMessage="1" sqref="C61:C69 C72:C80 C50:C58 C83:C91 C93:C101" xr:uid="{9B668096-5E7D-4FA8-B102-A5743D481A64}">
      <formula1>五等判定</formula1>
    </dataValidation>
    <dataValidation type="list" allowBlank="1" showInputMessage="1" showErrorMessage="1" sqref="E3" xr:uid="{8ACE714D-DD0A-4CCC-B55D-DF2DAE6E27FD}">
      <formula1>INDIRECT(E2)</formula1>
    </dataValidation>
    <dataValidation type="list" allowBlank="1" showInputMessage="1" showErrorMessage="1" sqref="C8" xr:uid="{092D5FE6-7385-4BC6-8CFD-A0115D235D5B}">
      <formula1>商业街名称</formula1>
    </dataValidation>
    <dataValidation type="list" allowBlank="1" showInputMessage="1" showErrorMessage="1" sqref="F3" xr:uid="{DF6C45D0-6466-4A77-B188-2191C580FC4A}">
      <formula1>"宗地容积率,估价对象容积率,自定义容积率"</formula1>
    </dataValidation>
    <dataValidation type="list" allowBlank="1" showInputMessage="1" showErrorMessage="1" sqref="F21" xr:uid="{5AA002E8-DCDE-4398-904F-68D1C3E0FAB3}">
      <formula1>"与级别开发程度一致,与级别开发程度不一致"</formula1>
    </dataValidation>
    <dataValidation type="list" allowBlank="1" showInputMessage="1" showErrorMessage="1" sqref="B25" xr:uid="{4D4D7EEC-AEE5-4AF5-A3E3-A903B4212B9B}">
      <formula1>"容积率修正,楼层修正"</formula1>
    </dataValidation>
    <dataValidation type="list" allowBlank="1" showInputMessage="1" showErrorMessage="1" sqref="C15:D15" xr:uid="{28785B8A-C2A3-4CD4-B407-04F3D0C68E9D}">
      <formula1>"有,无"</formula1>
    </dataValidation>
    <dataValidation type="list" allowBlank="1" showInputMessage="1" showErrorMessage="1" sqref="E15" xr:uid="{2D559D1C-DBCB-4787-836E-2FE7D49B289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3462CDE-9323-4957-92B6-509F608A1DDE}">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G19" sqref="G1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5077</v>
      </c>
      <c r="C2" s="1728" t="s">
        <v>1651</v>
      </c>
      <c r="D2" s="1729" t="s">
        <v>1652</v>
      </c>
      <c r="E2" s="2392">
        <f>SUM(E6:E13)</f>
        <v>2765.9</v>
      </c>
      <c r="F2" s="2479"/>
      <c r="G2" s="459"/>
      <c r="H2" s="459"/>
      <c r="I2" s="459"/>
      <c r="J2" s="459"/>
      <c r="K2" s="459"/>
      <c r="L2" s="459"/>
      <c r="M2" s="459"/>
      <c r="N2" s="459"/>
      <c r="O2" s="459"/>
      <c r="P2" s="459"/>
      <c r="Q2" s="459"/>
      <c r="R2" s="459"/>
      <c r="S2" s="459"/>
    </row>
    <row r="3" spans="1:22" ht="15.75">
      <c r="A3" s="1727" t="s">
        <v>686</v>
      </c>
      <c r="B3" s="2386">
        <f ca="1">ROUND(B2*10000/E2,0)</f>
        <v>18356</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08" t="s">
        <v>1654</v>
      </c>
      <c r="C5" s="3409"/>
      <c r="D5" s="2480"/>
      <c r="E5" s="1730" t="s">
        <v>1655</v>
      </c>
      <c r="F5" s="129" t="s">
        <v>1656</v>
      </c>
      <c r="G5" s="459"/>
      <c r="H5" s="459"/>
      <c r="I5" s="459"/>
      <c r="J5" s="459"/>
      <c r="K5" s="459"/>
      <c r="L5" s="459"/>
      <c r="M5" s="459"/>
      <c r="N5" s="459"/>
      <c r="O5" s="459"/>
      <c r="P5" s="459"/>
      <c r="Q5" s="459"/>
      <c r="R5" s="459"/>
      <c r="S5" s="459"/>
    </row>
    <row r="6" spans="1:22">
      <c r="A6" s="2389" t="str">
        <f>'数据-取费表'!AN6</f>
        <v>商业收益法</v>
      </c>
      <c r="B6" s="2387">
        <f ca="1">IF(F6="是",'数据-取费表'!AO6,0)</f>
        <v>1553</v>
      </c>
      <c r="C6" s="1728" t="s">
        <v>1651</v>
      </c>
      <c r="D6" s="2479"/>
      <c r="E6" s="2391">
        <f>IF(OR(A6=0,F6="否"),0,'数据-取费表'!K6+'数据-取费表'!S6)</f>
        <v>598.61</v>
      </c>
      <c r="F6" s="1731" t="s">
        <v>1657</v>
      </c>
      <c r="G6" s="459"/>
      <c r="H6" s="459"/>
      <c r="I6" s="459"/>
      <c r="J6" s="459"/>
      <c r="K6" s="459"/>
      <c r="L6" s="459"/>
      <c r="M6" s="459"/>
      <c r="N6" s="459"/>
      <c r="O6" s="459"/>
      <c r="P6" s="459"/>
      <c r="Q6" s="459"/>
      <c r="R6" s="459"/>
      <c r="S6" s="459"/>
    </row>
    <row r="7" spans="1:22">
      <c r="A7" s="2389" t="str">
        <f>'数据-取费表'!AN7</f>
        <v xml:space="preserve">办公收益法 </v>
      </c>
      <c r="B7" s="2387">
        <f ca="1">IF(F7="是",'数据-取费表'!AO7,0)</f>
        <v>3524</v>
      </c>
      <c r="C7" s="1728" t="s">
        <v>1651</v>
      </c>
      <c r="D7" s="2479"/>
      <c r="E7" s="2391">
        <f>IF(OR(A7=0,F7="否"),0,'数据-取费表'!K7+'数据-取费表'!S7)</f>
        <v>2167.29</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673</v>
      </c>
      <c r="D1" s="1270" t="s">
        <v>43</v>
      </c>
      <c r="E1" s="1271" t="s">
        <v>678</v>
      </c>
      <c r="F1" s="998">
        <f ca="1">J53</f>
        <v>17</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1553</v>
      </c>
      <c r="C2" s="1288" t="s">
        <v>805</v>
      </c>
      <c r="D2" s="1288"/>
      <c r="E2" s="1294"/>
      <c r="F2" s="1295"/>
      <c r="G2" s="2478"/>
      <c r="H2" s="2468"/>
      <c r="I2" s="2468"/>
      <c r="J2" s="2468"/>
      <c r="K2" s="2469"/>
      <c r="L2" s="2468"/>
      <c r="M2" s="2468"/>
    </row>
    <row r="3" spans="1:37" ht="18" customHeight="1" thickBot="1">
      <c r="A3" s="1296" t="s">
        <v>806</v>
      </c>
      <c r="B3" s="1297">
        <f ca="1">IF(ISERROR(B2*10000/F43),0,ROUND(B2*10000/F43,0))</f>
        <v>25943</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147</v>
      </c>
      <c r="D5" s="1272" t="s">
        <v>693</v>
      </c>
      <c r="E5" s="1007"/>
      <c r="F5" s="1008"/>
      <c r="G5" s="1291"/>
      <c r="H5" s="291">
        <v>1</v>
      </c>
      <c r="I5" s="292" t="s">
        <v>692</v>
      </c>
      <c r="J5" s="1006">
        <f ca="1">J6+J10+J12</f>
        <v>0</v>
      </c>
      <c r="K5" s="1272" t="s">
        <v>693</v>
      </c>
      <c r="L5" s="1007"/>
      <c r="M5" s="1008"/>
    </row>
    <row r="6" spans="1:37" ht="18" customHeight="1">
      <c r="A6" s="1005" t="s">
        <v>398</v>
      </c>
      <c r="B6" s="3386" t="s">
        <v>694</v>
      </c>
      <c r="C6" s="1010">
        <f ca="1">ROUND(F6*F8*F7*(1-F9)/10000,0)</f>
        <v>147</v>
      </c>
      <c r="D6" s="147" t="s">
        <v>2109</v>
      </c>
      <c r="E6" s="294" t="s">
        <v>696</v>
      </c>
      <c r="F6" s="295">
        <f ca="1">INDIRECT("'数据-取费表'!u"&amp;$G$1)</f>
        <v>7.5</v>
      </c>
      <c r="G6" s="1291"/>
      <c r="H6" s="1005" t="s">
        <v>398</v>
      </c>
      <c r="I6" s="3386" t="s">
        <v>694</v>
      </c>
      <c r="J6" s="293">
        <f ca="1">ROUND(M6*M8*M7*(1-M9)/10000,0)</f>
        <v>0</v>
      </c>
      <c r="K6" s="147" t="s">
        <v>2108</v>
      </c>
      <c r="L6" s="294" t="s">
        <v>696</v>
      </c>
      <c r="M6" s="295">
        <f ca="1">INDIRECT("'数据-取费表'!z"&amp;$G$1)</f>
        <v>0</v>
      </c>
    </row>
    <row r="7" spans="1:37" ht="18" customHeight="1">
      <c r="A7" s="1009"/>
      <c r="B7" s="3387"/>
      <c r="C7" s="1011"/>
      <c r="D7" s="299"/>
      <c r="E7" s="1012" t="s">
        <v>697</v>
      </c>
      <c r="F7" s="295">
        <f ca="1">IF(INDIRECT("'数据-取费表'!ah"&amp;$G$1)="",INDIRECT("'数据-取费表'!k"&amp;$G$1),INDIRECT("'数据-取费表'!ah"&amp;$G$1))</f>
        <v>598.61</v>
      </c>
      <c r="G7" s="1291"/>
      <c r="H7" s="296"/>
      <c r="I7" s="3387"/>
      <c r="J7" s="298"/>
      <c r="K7" s="299"/>
      <c r="L7" s="294" t="s">
        <v>697</v>
      </c>
      <c r="M7" s="295">
        <f ca="1">F7</f>
        <v>598.61</v>
      </c>
    </row>
    <row r="8" spans="1:37" ht="18" customHeight="1">
      <c r="A8" s="296"/>
      <c r="B8" s="3387"/>
      <c r="C8" s="298"/>
      <c r="D8" s="299"/>
      <c r="E8" s="294" t="s">
        <v>698</v>
      </c>
      <c r="F8" s="295">
        <f ca="1">INDIRECT("'数据-取费表'!ai"&amp;$G$1)</f>
        <v>365</v>
      </c>
      <c r="G8" s="1291"/>
      <c r="H8" s="296"/>
      <c r="I8" s="3387"/>
      <c r="J8" s="298"/>
      <c r="K8" s="299"/>
      <c r="L8" s="294" t="s">
        <v>698</v>
      </c>
      <c r="M8" s="295">
        <f ca="1">INDIRECT("'数据-取费表'!ai"&amp;$G$1)</f>
        <v>365</v>
      </c>
    </row>
    <row r="9" spans="1:37" ht="18" customHeight="1">
      <c r="A9" s="296"/>
      <c r="B9" s="3388"/>
      <c r="C9" s="298"/>
      <c r="D9" s="299"/>
      <c r="E9" s="294" t="s">
        <v>699</v>
      </c>
      <c r="F9" s="304">
        <f ca="1">INDIRECT("'数据-取费表'!w"&amp;$G$1)</f>
        <v>0.1</v>
      </c>
      <c r="G9" s="1291"/>
      <c r="H9" s="296"/>
      <c r="I9" s="338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t="s">
        <v>3426</v>
      </c>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306</v>
      </c>
      <c r="D13" s="1017" t="s">
        <v>705</v>
      </c>
      <c r="E13" s="1017" t="s">
        <v>706</v>
      </c>
      <c r="F13" s="1018">
        <f ca="1">INDIRECT("'数据-取费表'!y"&amp;$G$1)</f>
        <v>0.82</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239</v>
      </c>
      <c r="D14" s="1256" t="s">
        <v>708</v>
      </c>
      <c r="E14" s="1254"/>
      <c r="F14" s="311"/>
      <c r="G14" s="1291"/>
      <c r="H14" s="927" t="s">
        <v>398</v>
      </c>
      <c r="I14" s="294" t="s">
        <v>709</v>
      </c>
      <c r="J14" s="21">
        <f ca="1">C29</f>
        <v>373</v>
      </c>
      <c r="K14" s="12"/>
      <c r="L14" s="758"/>
      <c r="M14" s="759"/>
    </row>
    <row r="15" spans="1:37" s="1303" customFormat="1" ht="18" customHeight="1" thickBot="1">
      <c r="A15" s="927" t="s">
        <v>399</v>
      </c>
      <c r="B15" s="294" t="s">
        <v>710</v>
      </c>
      <c r="C15" s="21">
        <f ca="1">ROUND(C14*F15,0)</f>
        <v>12</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1</v>
      </c>
      <c r="K16" s="1023" t="s">
        <v>715</v>
      </c>
      <c r="L16" s="1024"/>
      <c r="M16" s="1008"/>
    </row>
    <row r="17" spans="1:37" s="1303" customFormat="1" ht="18" customHeight="1">
      <c r="A17" s="927" t="s">
        <v>681</v>
      </c>
      <c r="B17" s="294" t="s">
        <v>716</v>
      </c>
      <c r="C17" s="21">
        <f ca="1">ROUND(F17*(F43+INDIRECT("'数据-取费表'!S"&amp;$G$1))/10000,0)</f>
        <v>12</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5</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268</v>
      </c>
      <c r="D19" s="123" t="s">
        <v>726</v>
      </c>
      <c r="E19" s="1268"/>
      <c r="F19" s="23"/>
      <c r="G19" s="1291"/>
      <c r="H19" s="927" t="s">
        <v>399</v>
      </c>
      <c r="I19" s="294" t="s">
        <v>727</v>
      </c>
      <c r="J19" s="21">
        <f ca="1">IF(K19="按租金收入计税",ROUND(J6*M19/(1+'数据-取费表'!C42),2),ROUND(C29*M19*0.7,2))</f>
        <v>0</v>
      </c>
      <c r="K19" s="1277" t="s">
        <v>3324</v>
      </c>
      <c r="L19" s="294" t="s">
        <v>712</v>
      </c>
      <c r="M19" s="314">
        <f>IF(K19="按租金收入计税",'数据-取费表'!B51,'数据-取费表'!B50)</f>
        <v>0.12</v>
      </c>
    </row>
    <row r="20" spans="1:37" s="1303" customFormat="1" ht="18" customHeight="1">
      <c r="A20" s="927" t="s">
        <v>402</v>
      </c>
      <c r="B20" s="294" t="s">
        <v>728</v>
      </c>
      <c r="C20" s="21">
        <f ca="1">ROUND(C19*F20,0)</f>
        <v>8</v>
      </c>
      <c r="D20" s="315" t="s">
        <v>729</v>
      </c>
      <c r="E20" s="294" t="s">
        <v>712</v>
      </c>
      <c r="F20" s="314">
        <f>'数据-取费表'!B37</f>
        <v>0.03</v>
      </c>
      <c r="G20" s="1302"/>
      <c r="H20" s="927" t="s">
        <v>680</v>
      </c>
      <c r="I20" s="147" t="s">
        <v>730</v>
      </c>
      <c r="J20" s="22">
        <f ca="1">ROUND(M20*M21/10000,2)</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0.75</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8</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-1</v>
      </c>
      <c r="K25" s="1031" t="s">
        <v>753</v>
      </c>
      <c r="L25" s="1032"/>
      <c r="M25" s="1033"/>
    </row>
    <row r="26" spans="1:37">
      <c r="A26" s="927" t="s">
        <v>397</v>
      </c>
      <c r="B26" s="294" t="s">
        <v>754</v>
      </c>
      <c r="C26" s="21">
        <f ca="1">ROUND((C19+C20)*F26,0)</f>
        <v>55</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6.0000000000000001E-3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373</v>
      </c>
      <c r="D29" s="1028"/>
      <c r="E29" s="1026"/>
      <c r="F29" s="1029"/>
      <c r="G29" s="1302"/>
      <c r="H29" s="325" t="s">
        <v>396</v>
      </c>
      <c r="I29" s="326" t="s">
        <v>768</v>
      </c>
      <c r="J29" s="327">
        <f ca="1">ROUND(J26/(1+F40)^F41,0)</f>
        <v>0</v>
      </c>
      <c r="K29" s="328" t="s">
        <v>769</v>
      </c>
      <c r="L29" s="329"/>
      <c r="M29" s="330">
        <f ca="1">INDIRECT("'数据-取费表'!k"&amp;$G$1)</f>
        <v>598.61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26</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24.64</v>
      </c>
      <c r="D31" s="1256" t="s">
        <v>720</v>
      </c>
      <c r="E31" s="1255" t="s">
        <v>770</v>
      </c>
      <c r="F31" s="2138" t="str">
        <f>IF(项目基本情况!B11="企业","——",IF(M47="住宅",IF(F6*F7*F8/12/(1+'数据-取费表'!F30)&gt;100000,4%,2.5%),IF(F6*F7*F8/12/(1+'数据-取费表'!F30)&gt;100000,12%,7%)))</f>
        <v>——</v>
      </c>
      <c r="G31" s="1291"/>
      <c r="H31" s="2569" t="s">
        <v>2297</v>
      </c>
      <c r="I31" s="1304"/>
      <c r="J31" s="1305"/>
      <c r="K31" s="121"/>
      <c r="L31" s="2471"/>
      <c r="M31" s="2472"/>
    </row>
    <row r="32" spans="1:37" ht="18" customHeight="1">
      <c r="A32" s="927" t="s">
        <v>397</v>
      </c>
      <c r="B32" s="294" t="s">
        <v>723</v>
      </c>
      <c r="C32" s="21">
        <f ca="1">IF(项目基本情况!B11="自然人","——",ROUND(C6*F32/(1+'数据-取费表'!C42),2))</f>
        <v>7.84</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16.8</v>
      </c>
      <c r="D33" s="1277" t="s">
        <v>3324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24</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0.75</v>
      </c>
      <c r="D36" s="1255" t="s">
        <v>771</v>
      </c>
      <c r="E36" s="294" t="s">
        <v>712</v>
      </c>
      <c r="F36" s="320">
        <f ca="1">INDIRECT("'数据-取费表'!Ak"&amp;$G$1)</f>
        <v>2E-3</v>
      </c>
      <c r="G36" s="1291"/>
      <c r="H36" s="2473"/>
      <c r="I36" s="1304"/>
      <c r="J36" s="1305"/>
      <c r="K36" s="2330"/>
      <c r="L36" s="2473"/>
      <c r="M36" s="2473"/>
    </row>
    <row r="37" spans="1:18" ht="18" customHeight="1">
      <c r="A37" s="927" t="s">
        <v>437</v>
      </c>
      <c r="B37" s="294" t="s">
        <v>742</v>
      </c>
      <c r="C37" s="21">
        <f ca="1">ROUND(C13*F37,2)</f>
        <v>0.31</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ROUND(C5*F38,2)</f>
        <v>0.74</v>
      </c>
      <c r="D38" s="1028" t="s">
        <v>748</v>
      </c>
      <c r="E38" s="1026" t="s">
        <v>744</v>
      </c>
      <c r="F38" s="1022">
        <f ca="1">INDIRECT("'数据-取费表'!Am"&amp;$G$1)</f>
        <v>5.0000000000000001E-3</v>
      </c>
      <c r="G38" s="1291"/>
      <c r="H38" s="2473"/>
      <c r="I38" s="1304"/>
      <c r="J38" s="1305"/>
      <c r="K38" s="2471"/>
      <c r="L38" s="2473"/>
      <c r="M38" s="2473"/>
    </row>
    <row r="39" spans="1:18" ht="24.6" customHeight="1" thickTop="1">
      <c r="A39" s="1015" t="s">
        <v>394</v>
      </c>
      <c r="B39" s="1030" t="s">
        <v>772</v>
      </c>
      <c r="C39" s="302">
        <f ca="1">C5-C30</f>
        <v>121</v>
      </c>
      <c r="D39" s="1031" t="s">
        <v>773</v>
      </c>
      <c r="E39" s="1032"/>
      <c r="F39" s="1033"/>
      <c r="G39" s="1291"/>
      <c r="H39" s="2473"/>
      <c r="I39" s="1304"/>
      <c r="J39" s="1305"/>
      <c r="K39" s="2471"/>
      <c r="L39" s="2473"/>
      <c r="M39" s="2473"/>
    </row>
    <row r="40" spans="1:18" ht="18" customHeight="1">
      <c r="A40" s="291" t="s">
        <v>395</v>
      </c>
      <c r="B40" s="292" t="s">
        <v>774</v>
      </c>
      <c r="C40" s="293">
        <f ca="1">ROUND(C39*(1-((1+F42)/(1+F40))^F41)/(F40-F42),0)</f>
        <v>1509</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17</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ROUND(C40*10000/F43,0)</f>
        <v>25208</v>
      </c>
      <c r="D43" s="328" t="s">
        <v>777</v>
      </c>
      <c r="E43" s="329" t="s">
        <v>778</v>
      </c>
      <c r="F43" s="330">
        <f ca="1">INDIRECT("'数据-取费表'!k"&amp;$G$1)</f>
        <v>598.61</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f ca="1">C68-C40</f>
        <v>-1520</v>
      </c>
      <c r="D46" s="1312" t="str">
        <f>C2</f>
        <v>万元</v>
      </c>
      <c r="E46" s="1306"/>
      <c r="F46" s="1306"/>
      <c r="I46" s="1313" t="s">
        <v>810</v>
      </c>
      <c r="J46" s="1314"/>
      <c r="K46" s="1315"/>
      <c r="L46" s="1316">
        <f ca="1">IF(M47="住宅",0,IF(L48&gt;J51,L60,J60))</f>
        <v>44</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3427</v>
      </c>
      <c r="K47" s="1322" t="s">
        <v>816</v>
      </c>
      <c r="L47" s="1323">
        <f ca="1">INDIRECT("'数据-取费表'!d"&amp;$G$1)</f>
        <v>40</v>
      </c>
      <c r="M47" s="1287" t="str">
        <f>IF(ISNUMBER(FIND("住宅",C1)),"住宅","非住宅")</f>
        <v>非住宅</v>
      </c>
      <c r="O47" s="1324" t="s">
        <v>403</v>
      </c>
      <c r="P47" s="1325" t="s">
        <v>817</v>
      </c>
      <c r="Q47" s="1326">
        <f ca="1">C40+J29</f>
        <v>1509</v>
      </c>
      <c r="R47" s="1326" t="s">
        <v>818</v>
      </c>
    </row>
    <row r="48" spans="1:18" s="1291" customFormat="1" ht="28.5" thickBot="1">
      <c r="A48" s="1046" t="s">
        <v>438</v>
      </c>
      <c r="B48" s="292" t="s">
        <v>692</v>
      </c>
      <c r="C48" s="1267">
        <f ca="1">C49+C53+C55</f>
        <v>0</v>
      </c>
      <c r="D48" s="1048"/>
      <c r="E48" s="1049"/>
      <c r="F48" s="907"/>
      <c r="G48" s="680"/>
      <c r="H48" s="681"/>
      <c r="I48" s="1327" t="s">
        <v>819</v>
      </c>
      <c r="J48" s="1328" t="s">
        <v>3428</v>
      </c>
      <c r="K48" s="1329" t="s">
        <v>820</v>
      </c>
      <c r="L48" s="1330">
        <f ca="1">INDIRECT("'数据-取费表'!f"&amp;$G$1)</f>
        <v>17</v>
      </c>
      <c r="O48" s="1324" t="s">
        <v>404</v>
      </c>
      <c r="P48" s="1325" t="s">
        <v>821</v>
      </c>
      <c r="Q48" s="1326">
        <f ca="1">J60</f>
        <v>44</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v>2000</v>
      </c>
      <c r="K49" s="1329" t="s">
        <v>824</v>
      </c>
      <c r="L49" s="1332"/>
      <c r="O49" s="1333" t="s">
        <v>405</v>
      </c>
      <c r="P49" s="1325" t="s">
        <v>825</v>
      </c>
      <c r="Q49" s="1326">
        <f ca="1">C29</f>
        <v>373</v>
      </c>
      <c r="R49" s="1326" t="s">
        <v>818</v>
      </c>
    </row>
    <row r="50" spans="1:18" s="1291" customFormat="1" ht="13.5" thickBot="1">
      <c r="A50" s="921"/>
      <c r="B50" s="924"/>
      <c r="C50" s="1054"/>
      <c r="D50" s="898"/>
      <c r="E50" s="992" t="s">
        <v>697</v>
      </c>
      <c r="F50" s="993">
        <f ca="1">F7</f>
        <v>598.61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35</v>
      </c>
      <c r="K51" s="1338" t="s">
        <v>830</v>
      </c>
      <c r="L51" s="1339">
        <f ca="1">ROUND(-PV(INDIRECT("'数据-取费表'!h"&amp;$G$1),J51,(C39-C13*C76),0),0)</f>
        <v>1631</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17</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17</v>
      </c>
      <c r="K53" s="3384" t="s">
        <v>837</v>
      </c>
      <c r="L53" s="3385"/>
      <c r="O53" s="1324" t="s">
        <v>409</v>
      </c>
      <c r="P53" s="1325" t="s">
        <v>838</v>
      </c>
      <c r="Q53" s="1326">
        <f ca="1">Q47+Q48</f>
        <v>1553</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v>
      </c>
      <c r="K55" s="1349" t="s">
        <v>841</v>
      </c>
      <c r="L55" s="1350"/>
      <c r="O55" s="1317" t="s">
        <v>811</v>
      </c>
      <c r="P55" s="1318" t="s">
        <v>812</v>
      </c>
      <c r="Q55" s="1319" t="s">
        <v>813</v>
      </c>
      <c r="R55" s="1319" t="s">
        <v>814</v>
      </c>
    </row>
    <row r="56" spans="1:18" s="1291" customFormat="1" ht="25.5" thickTop="1" thickBot="1">
      <c r="A56" s="902">
        <v>2</v>
      </c>
      <c r="B56" s="903" t="s">
        <v>704</v>
      </c>
      <c r="C56" s="224">
        <f ca="1">C13</f>
        <v>306</v>
      </c>
      <c r="D56" s="1351"/>
      <c r="E56" s="1352"/>
      <c r="F56" s="1344"/>
      <c r="I56" s="1353" t="s">
        <v>842</v>
      </c>
      <c r="J56" s="1354" t="s">
        <v>3429</v>
      </c>
      <c r="K56" s="1327" t="s">
        <v>843</v>
      </c>
      <c r="L56" s="1330" t="str">
        <f ca="1">IF(L48&lt;J51,"——",L48-J53)</f>
        <v>——</v>
      </c>
      <c r="O56" s="1324" t="s">
        <v>403</v>
      </c>
      <c r="P56" s="1325" t="s">
        <v>817</v>
      </c>
      <c r="Q56" s="1326">
        <f ca="1">C40+J29</f>
        <v>1509</v>
      </c>
      <c r="R56" s="1326" t="s">
        <v>818</v>
      </c>
    </row>
    <row r="57" spans="1:18" s="1291" customFormat="1" ht="24.75" thickBot="1">
      <c r="A57" s="1355"/>
      <c r="B57" s="895" t="s">
        <v>767</v>
      </c>
      <c r="C57" s="230">
        <f ca="1">C29</f>
        <v>373</v>
      </c>
      <c r="D57" s="1356"/>
      <c r="E57" s="1357"/>
      <c r="F57" s="1358"/>
      <c r="I57" s="1359" t="s">
        <v>844</v>
      </c>
      <c r="J57" s="1360">
        <f ca="1">IF(OR(M47="住宅",J51&lt;L48,J56="是"),"——",J51-L48)</f>
        <v>18</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3" t="s">
        <v>714</v>
      </c>
      <c r="C58" s="308">
        <f ca="1">ROUND(C59+C64+C65+C66,0)</f>
        <v>1</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149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f ca="1">IF(OR(M47="住宅",J51&lt;L48,J56="是"),"0",ROUND(J59/(1+J52)^J53,0))</f>
        <v>44</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3324</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24</v>
      </c>
      <c r="I62" s="1366" t="s">
        <v>858</v>
      </c>
      <c r="J62" s="609" t="s">
        <v>859</v>
      </c>
      <c r="K62" s="609" t="s">
        <v>860</v>
      </c>
      <c r="L62" s="609" t="s">
        <v>861</v>
      </c>
      <c r="M62" s="1367" t="s">
        <v>862</v>
      </c>
      <c r="O62" s="1324" t="s">
        <v>409</v>
      </c>
      <c r="P62" s="1325" t="s">
        <v>863</v>
      </c>
      <c r="Q62" s="1326">
        <f ca="1">Q56+Q57</f>
        <v>1509</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0.75</v>
      </c>
      <c r="D64" s="909" t="s">
        <v>791</v>
      </c>
      <c r="E64" s="895" t="s">
        <v>783</v>
      </c>
      <c r="F64" s="320">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0.31</v>
      </c>
      <c r="D65" s="909" t="s">
        <v>743</v>
      </c>
      <c r="E65" s="895" t="s">
        <v>744</v>
      </c>
      <c r="F65" s="321">
        <f t="shared" ca="1" si="0"/>
        <v>1E-3</v>
      </c>
      <c r="I65" s="1366" t="s">
        <v>867</v>
      </c>
      <c r="J65" s="609">
        <v>40</v>
      </c>
      <c r="K65" s="609">
        <v>30</v>
      </c>
      <c r="L65" s="609">
        <v>50</v>
      </c>
      <c r="M65" s="1368">
        <v>0.02</v>
      </c>
      <c r="O65" s="1324" t="s">
        <v>403</v>
      </c>
      <c r="P65" s="1325" t="s">
        <v>868</v>
      </c>
      <c r="Q65" s="1326">
        <f ca="1">C40+J29</f>
        <v>1509</v>
      </c>
      <c r="R65" s="1326" t="s">
        <v>818</v>
      </c>
    </row>
    <row r="66" spans="1:18" s="1291" customFormat="1" ht="16.5" thickBot="1">
      <c r="A66" s="927" t="s">
        <v>793</v>
      </c>
      <c r="B66" s="895" t="s">
        <v>728</v>
      </c>
      <c r="C66" s="21">
        <f ca="1">ROUND(C48*F66,2)</f>
        <v>0</v>
      </c>
      <c r="D66" s="909" t="s">
        <v>794</v>
      </c>
      <c r="E66" s="895" t="s">
        <v>712</v>
      </c>
      <c r="F66" s="304">
        <f t="shared" ca="1" si="0"/>
        <v>5.0000000000000001E-3</v>
      </c>
      <c r="O66" s="1324" t="s">
        <v>404</v>
      </c>
      <c r="P66" s="1325" t="s">
        <v>846</v>
      </c>
      <c r="Q66" s="1326">
        <f ca="1">L60</f>
        <v>0</v>
      </c>
      <c r="R66" s="1326" t="s">
        <v>869</v>
      </c>
    </row>
    <row r="67" spans="1:18" s="1291" customFormat="1" ht="16.5" thickBot="1">
      <c r="A67" s="902" t="s">
        <v>394</v>
      </c>
      <c r="B67" s="912" t="s">
        <v>752</v>
      </c>
      <c r="C67" s="308">
        <f ca="1">C48-C58</f>
        <v>-1</v>
      </c>
      <c r="D67" s="908" t="s">
        <v>753</v>
      </c>
      <c r="E67" s="913"/>
      <c r="F67" s="914"/>
      <c r="O67" s="1333" t="s">
        <v>405</v>
      </c>
      <c r="P67" s="1325" t="s">
        <v>850</v>
      </c>
      <c r="Q67" s="1369">
        <f ca="1">L51</f>
        <v>1631</v>
      </c>
      <c r="R67" s="1326" t="s">
        <v>870</v>
      </c>
    </row>
    <row r="68" spans="1:18" s="1291" customFormat="1" ht="16.5" thickBot="1">
      <c r="A68" s="892" t="s">
        <v>395</v>
      </c>
      <c r="B68" s="893" t="s">
        <v>774</v>
      </c>
      <c r="C68" s="293">
        <f ca="1">ROUND(C67*(1-((1+F70)/(1+F68))^F69)/(F68-F70),0)</f>
        <v>-11</v>
      </c>
      <c r="D68" s="910" t="s">
        <v>758</v>
      </c>
      <c r="E68" s="895" t="s">
        <v>759</v>
      </c>
      <c r="F68" s="304">
        <f ca="1">F40</f>
        <v>5.5E-2</v>
      </c>
      <c r="O68" s="1333" t="s">
        <v>406</v>
      </c>
      <c r="P68" s="1370" t="s">
        <v>871</v>
      </c>
      <c r="Q68" s="1326">
        <f ca="1">ROUND(Q69-Q70*Q71,0)</f>
        <v>100</v>
      </c>
      <c r="R68" s="1326" t="s">
        <v>414</v>
      </c>
    </row>
    <row r="69" spans="1:18" s="1291" customFormat="1" ht="13.5" thickBot="1">
      <c r="A69" s="896"/>
      <c r="B69" s="897"/>
      <c r="C69" s="298"/>
      <c r="D69" s="915" t="s">
        <v>762</v>
      </c>
      <c r="E69" s="895" t="s">
        <v>763</v>
      </c>
      <c r="F69" s="324">
        <f ca="1">F41</f>
        <v>17</v>
      </c>
      <c r="O69" s="1333" t="s">
        <v>411</v>
      </c>
      <c r="P69" s="1370" t="s">
        <v>872</v>
      </c>
      <c r="Q69" s="1326">
        <f ca="1">C39</f>
        <v>121</v>
      </c>
      <c r="R69" s="1326" t="s">
        <v>818</v>
      </c>
    </row>
    <row r="70" spans="1:18" s="1291" customFormat="1" ht="13.5" thickBot="1">
      <c r="A70" s="899"/>
      <c r="B70" s="900"/>
      <c r="C70" s="302"/>
      <c r="D70" s="911"/>
      <c r="E70" s="895" t="s">
        <v>766</v>
      </c>
      <c r="F70" s="990"/>
      <c r="O70" s="1333" t="s">
        <v>412</v>
      </c>
      <c r="P70" s="1370" t="s">
        <v>873</v>
      </c>
      <c r="Q70" s="1326">
        <f ca="1">C13</f>
        <v>306</v>
      </c>
      <c r="R70" s="1326" t="s">
        <v>818</v>
      </c>
    </row>
    <row r="71" spans="1:18" s="1291" customFormat="1" ht="13.5" thickBot="1">
      <c r="A71" s="916" t="s">
        <v>396</v>
      </c>
      <c r="B71" s="917" t="s">
        <v>776</v>
      </c>
      <c r="C71" s="327">
        <f ca="1">ROUND(C68*10000/F71,0)</f>
        <v>-184</v>
      </c>
      <c r="D71" s="918" t="s">
        <v>777</v>
      </c>
      <c r="E71" s="919" t="s">
        <v>778</v>
      </c>
      <c r="F71" s="330">
        <f ca="1">F43</f>
        <v>598.61</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21</v>
      </c>
      <c r="D75" s="1291"/>
      <c r="E75" s="1291"/>
      <c r="F75" s="1291"/>
      <c r="K75" s="1308"/>
      <c r="L75" s="1291"/>
      <c r="O75" s="1324" t="s">
        <v>409</v>
      </c>
      <c r="P75" s="1325" t="s">
        <v>838</v>
      </c>
      <c r="Q75" s="1326">
        <f ca="1">Q65+Q66</f>
        <v>1509</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0.82600000000000007</v>
      </c>
    </row>
    <row r="80" spans="1:18">
      <c r="B80" s="331" t="s">
        <v>800</v>
      </c>
      <c r="C80" s="266">
        <f ca="1">ROUND(C75/C39,3)</f>
        <v>0.17399999999999999</v>
      </c>
    </row>
    <row r="81" spans="2:3">
      <c r="B81" s="262" t="s">
        <v>801</v>
      </c>
      <c r="C81" s="230"/>
    </row>
    <row r="82" spans="2:3">
      <c r="B82" s="265" t="s">
        <v>802</v>
      </c>
      <c r="C82" s="267">
        <f ca="1">1-C83</f>
        <v>0.79699999999999993</v>
      </c>
    </row>
    <row r="83" spans="2:3">
      <c r="B83" s="265" t="s">
        <v>803</v>
      </c>
      <c r="C83" s="266">
        <f ca="1">ROUND(C13/C40,3)</f>
        <v>0.20300000000000001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8</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386" t="s">
        <v>694</v>
      </c>
      <c r="C6" s="1010">
        <f ca="1">ROUND(F6*F8*F7*(1-F9),0)</f>
        <v>0</v>
      </c>
      <c r="D6" s="147" t="s">
        <v>2106</v>
      </c>
      <c r="E6" s="294" t="s">
        <v>696</v>
      </c>
      <c r="F6" s="295">
        <f ca="1">INDIRECT("'数据-取费表'!u"&amp;$G$1)</f>
        <v>0</v>
      </c>
      <c r="G6" s="1291"/>
      <c r="H6" s="1005" t="s">
        <v>398</v>
      </c>
      <c r="I6" s="3386" t="s">
        <v>694</v>
      </c>
      <c r="J6" s="293">
        <f ca="1">ROUND(M6*M8*M7*(1-M9),0)</f>
        <v>0</v>
      </c>
      <c r="K6" s="1283" t="s">
        <v>2107</v>
      </c>
      <c r="L6" s="294" t="s">
        <v>696</v>
      </c>
      <c r="M6" s="295">
        <f ca="1">INDIRECT("'数据-取费表'!z"&amp;$G$1)</f>
        <v>0</v>
      </c>
    </row>
    <row r="7" spans="1:37" ht="18" customHeight="1">
      <c r="A7" s="1009"/>
      <c r="B7" s="3387"/>
      <c r="C7" s="1011"/>
      <c r="D7" s="299"/>
      <c r="E7" s="1012" t="s">
        <v>697</v>
      </c>
      <c r="F7" s="295">
        <f ca="1">IF(INDIRECT("'数据-取费表'!ah"&amp;$G$1)="",INDIRECT("'数据-取费表'!k"&amp;$G$1),INDIRECT("'数据-取费表'!ah"&amp;$G$1))</f>
        <v>0</v>
      </c>
      <c r="G7" s="1291"/>
      <c r="H7" s="296"/>
      <c r="I7" s="3387"/>
      <c r="J7" s="298"/>
      <c r="K7" s="299"/>
      <c r="L7" s="294" t="s">
        <v>697</v>
      </c>
      <c r="M7" s="295">
        <f ca="1">F7</f>
        <v>0</v>
      </c>
    </row>
    <row r="8" spans="1:37" ht="18" customHeight="1">
      <c r="A8" s="296"/>
      <c r="B8" s="3387"/>
      <c r="C8" s="298"/>
      <c r="D8" s="299"/>
      <c r="E8" s="294" t="s">
        <v>698</v>
      </c>
      <c r="F8" s="295">
        <f ca="1">INDIRECT("'数据-取费表'!ai"&amp;$G$1)</f>
        <v>0</v>
      </c>
      <c r="G8" s="1291"/>
      <c r="H8" s="296"/>
      <c r="I8" s="3387"/>
      <c r="J8" s="298"/>
      <c r="K8" s="299"/>
      <c r="L8" s="294" t="s">
        <v>698</v>
      </c>
      <c r="M8" s="295">
        <f ca="1">INDIRECT("'数据-取费表'!ai"&amp;$G$1)</f>
        <v>0</v>
      </c>
    </row>
    <row r="9" spans="1:37" ht="18" customHeight="1">
      <c r="A9" s="296"/>
      <c r="B9" s="3388"/>
      <c r="C9" s="298"/>
      <c r="D9" s="299"/>
      <c r="E9" s="294" t="s">
        <v>699</v>
      </c>
      <c r="F9" s="304">
        <f ca="1">INDIRECT("'数据-取费表'!w"&amp;$G$1)</f>
        <v>0</v>
      </c>
      <c r="G9" s="1291"/>
      <c r="H9" s="296"/>
      <c r="I9" s="338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3324</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0.03</v>
      </c>
      <c r="G20" s="1302"/>
      <c r="H20" s="927" t="s">
        <v>680</v>
      </c>
      <c r="I20" s="147" t="s">
        <v>730</v>
      </c>
      <c r="J20" s="22">
        <f ca="1">ROUND(M20*M21,0)</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2297</v>
      </c>
      <c r="I31" s="1304"/>
      <c r="J31" s="1305"/>
      <c r="K31" s="121"/>
      <c r="L31" s="2471"/>
      <c r="M31" s="2472"/>
    </row>
    <row r="32" spans="1:37" ht="18" customHeight="1">
      <c r="A32" s="927" t="s">
        <v>397</v>
      </c>
      <c r="B32" s="294" t="s">
        <v>723</v>
      </c>
      <c r="C32" s="21">
        <f ca="1">IF(项目基本情况!B11="自然人","——",ROUND(C6*F32/(1+'数据-取费表'!C42),0))</f>
        <v>0</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3324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24</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3340</v>
      </c>
      <c r="B45" s="1306"/>
      <c r="C45" s="1375" t="e">
        <f ca="1">ROUND((C68-C40)/10000,4)</f>
        <v>#DIV/0!</v>
      </c>
      <c r="D45" s="3130" t="s">
        <v>3341</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384" t="s">
        <v>837</v>
      </c>
      <c r="L53" s="3385"/>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3324</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24</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2" t="s">
        <v>2306</v>
      </c>
      <c r="B2" s="2594" t="e">
        <f>IF(D2="——",C40,C40+E2)</f>
        <v>#DIV/0!</v>
      </c>
      <c r="C2" s="2595" t="s">
        <v>2307</v>
      </c>
      <c r="D2" s="3138" t="s">
        <v>3347</v>
      </c>
      <c r="E2" s="3139"/>
      <c r="F2" s="2597"/>
      <c r="G2" s="2598"/>
      <c r="H2" s="2599"/>
      <c r="I2" s="2600"/>
      <c r="J2" s="3389" t="s">
        <v>2308</v>
      </c>
      <c r="K2" s="3390"/>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391" t="s">
        <v>2318</v>
      </c>
      <c r="K3" s="3392"/>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391" t="s">
        <v>2320</v>
      </c>
      <c r="K4" s="3392"/>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393" t="s">
        <v>2324</v>
      </c>
      <c r="B6" s="3394"/>
      <c r="C6" s="3395"/>
      <c r="D6" s="2621"/>
      <c r="E6" s="2622"/>
      <c r="F6" s="2623"/>
      <c r="G6" s="2624"/>
      <c r="H6" s="2599"/>
      <c r="I6" s="2600"/>
      <c r="J6" s="3396">
        <v>1</v>
      </c>
      <c r="K6" s="3397"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396"/>
      <c r="K7" s="3398"/>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00" t="s">
        <v>2338</v>
      </c>
      <c r="C8" s="3401"/>
      <c r="D8" s="2640" t="s">
        <v>2339</v>
      </c>
      <c r="E8" s="2641" t="s">
        <v>2340</v>
      </c>
      <c r="F8" s="2642" t="s">
        <v>2341</v>
      </c>
      <c r="G8" s="2643"/>
      <c r="H8" s="2599"/>
      <c r="I8" s="2600"/>
      <c r="J8" s="3396"/>
      <c r="K8" s="3398"/>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00" t="s">
        <v>2344</v>
      </c>
      <c r="C9" s="3401"/>
      <c r="D9" s="2640">
        <f>ROUND(D6*E9,0)</f>
        <v>0</v>
      </c>
      <c r="E9" s="2644"/>
      <c r="F9" s="2645" t="s">
        <v>2345</v>
      </c>
      <c r="G9" s="2624"/>
      <c r="H9" s="2599"/>
      <c r="I9" s="2600"/>
      <c r="J9" s="3396"/>
      <c r="K9" s="3398"/>
      <c r="L9" s="2634" t="s">
        <v>2346</v>
      </c>
      <c r="M9" s="2635"/>
      <c r="N9" s="2611"/>
      <c r="O9" s="2636"/>
      <c r="P9" s="2636"/>
      <c r="Q9" s="2637">
        <v>365</v>
      </c>
      <c r="R9" s="2638">
        <f t="shared" si="0"/>
        <v>0</v>
      </c>
      <c r="S9" s="2592"/>
      <c r="T9" s="2592"/>
      <c r="U9" s="2592"/>
      <c r="V9" s="2600"/>
    </row>
    <row r="10" spans="1:22" s="2604" customFormat="1" ht="13.15" customHeight="1">
      <c r="A10" s="2639">
        <v>2</v>
      </c>
      <c r="B10" s="3400" t="s">
        <v>2347</v>
      </c>
      <c r="C10" s="3401"/>
      <c r="D10" s="2640">
        <f>ROUND(D6*E10,0)</f>
        <v>0</v>
      </c>
      <c r="E10" s="2644"/>
      <c r="F10" s="2645" t="s">
        <v>2348</v>
      </c>
      <c r="G10" s="2624"/>
      <c r="H10" s="2599"/>
      <c r="I10" s="2600"/>
      <c r="J10" s="3396"/>
      <c r="K10" s="3398"/>
      <c r="L10" s="2634" t="s">
        <v>2349</v>
      </c>
      <c r="M10" s="2635"/>
      <c r="N10" s="2611"/>
      <c r="O10" s="2636"/>
      <c r="P10" s="2636"/>
      <c r="Q10" s="2637">
        <v>365</v>
      </c>
      <c r="R10" s="2638">
        <f t="shared" si="0"/>
        <v>0</v>
      </c>
      <c r="S10" s="2592"/>
      <c r="T10" s="2592"/>
      <c r="U10" s="2592"/>
      <c r="V10" s="2600"/>
    </row>
    <row r="11" spans="1:22" s="2604" customFormat="1" ht="13.15" customHeight="1">
      <c r="A11" s="2639">
        <v>3</v>
      </c>
      <c r="B11" s="3400" t="s">
        <v>2350</v>
      </c>
      <c r="C11" s="3401"/>
      <c r="D11" s="2640">
        <f>D12+D14+D15+D16</f>
        <v>0</v>
      </c>
      <c r="E11" s="2646" t="e">
        <f>D11/D6</f>
        <v>#DIV/0!</v>
      </c>
      <c r="F11" s="2642"/>
      <c r="G11" s="2643"/>
      <c r="H11" s="2599"/>
      <c r="I11" s="2600"/>
      <c r="J11" s="3396"/>
      <c r="K11" s="3398"/>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02" t="s">
        <v>2353</v>
      </c>
      <c r="C12" s="3403"/>
      <c r="D12" s="2648">
        <f>ROUND(D13*1.2%*(1-30%),0)</f>
        <v>0</v>
      </c>
      <c r="E12" s="2649">
        <v>1.2E-2</v>
      </c>
      <c r="F12" s="2642" t="s">
        <v>2354</v>
      </c>
      <c r="G12" s="2643"/>
      <c r="H12" s="2599"/>
      <c r="I12" s="2600"/>
      <c r="J12" s="3396"/>
      <c r="K12" s="3398"/>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396"/>
      <c r="K13" s="3398"/>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02" t="s">
        <v>2359</v>
      </c>
      <c r="C14" s="3403"/>
      <c r="D14" s="2648">
        <f>ROUND(E14*B5/10000,0)</f>
        <v>0</v>
      </c>
      <c r="E14" s="2637"/>
      <c r="F14" s="2642" t="s">
        <v>2360</v>
      </c>
      <c r="G14" s="2643"/>
      <c r="H14" s="2599"/>
      <c r="I14" s="2600"/>
      <c r="J14" s="3396"/>
      <c r="K14" s="3399"/>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02" t="s">
        <v>2363</v>
      </c>
      <c r="C15" s="3403"/>
      <c r="D15" s="2648">
        <f>ROUND(D6*E15,0)</f>
        <v>0</v>
      </c>
      <c r="E15" s="2649">
        <v>5.5E-2</v>
      </c>
      <c r="F15" s="2642" t="s">
        <v>2364</v>
      </c>
      <c r="G15" s="2624"/>
      <c r="H15" s="2599"/>
      <c r="I15" s="2600"/>
      <c r="J15" s="3396">
        <v>2</v>
      </c>
      <c r="K15" s="3397"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02" t="s">
        <v>2372</v>
      </c>
      <c r="C16" s="3403"/>
      <c r="D16" s="2659">
        <f>D6*E16</f>
        <v>0</v>
      </c>
      <c r="E16" s="2660"/>
      <c r="F16" s="2645" t="s">
        <v>2373</v>
      </c>
      <c r="G16" s="2624"/>
      <c r="H16" s="2599"/>
      <c r="I16" s="2600"/>
      <c r="J16" s="3396"/>
      <c r="K16" s="3398"/>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04" t="s">
        <v>2375</v>
      </c>
      <c r="C17" s="3405"/>
      <c r="D17" s="2662">
        <f>ROUND(D6*E17,0)</f>
        <v>0</v>
      </c>
      <c r="E17" s="2663"/>
      <c r="F17" s="2664" t="s">
        <v>2376</v>
      </c>
      <c r="G17" s="2624"/>
      <c r="H17" s="2599"/>
      <c r="I17" s="2600"/>
      <c r="J17" s="3396"/>
      <c r="K17" s="3398"/>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396"/>
      <c r="K18" s="3398"/>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396"/>
      <c r="K19" s="3399"/>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96">
        <v>3</v>
      </c>
      <c r="K20" s="3397"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396"/>
      <c r="K21" s="3398"/>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396"/>
      <c r="K22" s="3398"/>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396"/>
      <c r="K23" s="3398"/>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396"/>
      <c r="K24" s="3399"/>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06">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0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389" t="s">
        <v>2308</v>
      </c>
      <c r="K32" s="3390"/>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391" t="s">
        <v>2318</v>
      </c>
      <c r="K33" s="3392"/>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391" t="s">
        <v>2320</v>
      </c>
      <c r="K34" s="339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396">
        <v>1</v>
      </c>
      <c r="K36" s="3397"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396"/>
      <c r="K37" s="3398"/>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96"/>
      <c r="K38" s="3398"/>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396"/>
      <c r="K39" s="3398"/>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396"/>
      <c r="K40" s="3399"/>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06">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0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2765.9</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428" t="s">
        <v>1667</v>
      </c>
      <c r="D4" s="3429"/>
      <c r="E4" s="3430" t="s">
        <v>1668</v>
      </c>
      <c r="F4" s="3431"/>
      <c r="G4" s="3428" t="s">
        <v>1669</v>
      </c>
      <c r="H4" s="3429"/>
      <c r="I4" s="3428" t="s">
        <v>1670</v>
      </c>
      <c r="J4" s="3429"/>
      <c r="K4" s="1743" t="s">
        <v>1671</v>
      </c>
      <c r="L4" s="2486"/>
      <c r="M4" s="2487"/>
      <c r="N4" s="2487"/>
      <c r="O4" s="2487"/>
      <c r="P4" s="3432" t="s">
        <v>1672</v>
      </c>
      <c r="Q4" s="3433"/>
      <c r="R4" s="3415" t="s">
        <v>1668</v>
      </c>
      <c r="S4" s="3416"/>
      <c r="T4" s="3415" t="s">
        <v>1669</v>
      </c>
      <c r="U4" s="3416"/>
      <c r="V4" s="3440" t="s">
        <v>1670</v>
      </c>
      <c r="W4" s="3440"/>
      <c r="X4" s="1264"/>
      <c r="Y4" s="3415" t="s">
        <v>1672</v>
      </c>
      <c r="Z4" s="3416"/>
      <c r="AA4" s="3410" t="s">
        <v>1668</v>
      </c>
      <c r="AB4" s="3410" t="s">
        <v>1669</v>
      </c>
      <c r="AC4" s="3410" t="s">
        <v>1670</v>
      </c>
    </row>
    <row r="5" spans="1:29" ht="15">
      <c r="A5" s="348"/>
      <c r="B5" s="349"/>
      <c r="C5" s="3421" t="s">
        <v>1673</v>
      </c>
      <c r="D5" s="3422"/>
      <c r="E5" s="3419" t="s">
        <v>1674</v>
      </c>
      <c r="F5" s="3420"/>
      <c r="G5" s="3421" t="s">
        <v>1675</v>
      </c>
      <c r="H5" s="3422"/>
      <c r="I5" s="3421" t="s">
        <v>1676</v>
      </c>
      <c r="J5" s="3422"/>
      <c r="K5" s="1744"/>
      <c r="L5" s="2486"/>
      <c r="M5" s="2487"/>
      <c r="N5" s="2487"/>
      <c r="O5" s="2487"/>
      <c r="P5" s="3434"/>
      <c r="Q5" s="3435"/>
      <c r="R5" s="3417"/>
      <c r="S5" s="3418"/>
      <c r="T5" s="3417"/>
      <c r="U5" s="3418"/>
      <c r="V5" s="3440"/>
      <c r="W5" s="3440"/>
      <c r="X5" s="1264"/>
      <c r="Y5" s="3417"/>
      <c r="Z5" s="3418"/>
      <c r="AA5" s="3411"/>
      <c r="AB5" s="3411"/>
      <c r="AC5" s="3411"/>
    </row>
    <row r="6" spans="1:29" ht="15.75" thickBot="1">
      <c r="A6" s="350"/>
      <c r="B6" s="351"/>
      <c r="C6" s="3423" t="s">
        <v>1677</v>
      </c>
      <c r="D6" s="3424"/>
      <c r="E6" s="3425" t="s">
        <v>1677</v>
      </c>
      <c r="F6" s="3426"/>
      <c r="G6" s="3423" t="s">
        <v>1677</v>
      </c>
      <c r="H6" s="3424"/>
      <c r="I6" s="3423" t="s">
        <v>1677</v>
      </c>
      <c r="J6" s="3424"/>
      <c r="K6" s="1744" t="s">
        <v>1678</v>
      </c>
      <c r="L6" s="2486"/>
      <c r="M6" s="2487"/>
      <c r="N6" s="2487"/>
      <c r="O6" s="2487"/>
      <c r="P6" s="3436"/>
      <c r="Q6" s="3437"/>
      <c r="R6" s="3417"/>
      <c r="S6" s="3418"/>
      <c r="T6" s="3438"/>
      <c r="U6" s="3439"/>
      <c r="V6" s="3440"/>
      <c r="W6" s="3440"/>
      <c r="X6" s="1264"/>
      <c r="Y6" s="3438"/>
      <c r="Z6" s="3439"/>
      <c r="AA6" s="3412"/>
      <c r="AB6" s="3412"/>
      <c r="AC6" s="3412"/>
    </row>
    <row r="7" spans="1:29" s="102" customFormat="1" ht="15.75" thickBot="1">
      <c r="A7" s="352" t="s">
        <v>1679</v>
      </c>
      <c r="B7" s="353"/>
      <c r="C7" s="354">
        <f>'数据-取费表'!B2</f>
        <v>45989</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13" t="s">
        <v>1680</v>
      </c>
      <c r="Q7" s="3441"/>
      <c r="R7" s="663" t="s">
        <v>20</v>
      </c>
      <c r="S7" s="664">
        <f t="shared" ref="S7:S15" si="0">F7</f>
        <v>0</v>
      </c>
      <c r="T7" s="663" t="s">
        <v>20</v>
      </c>
      <c r="U7" s="664">
        <f t="shared" ref="U7:U15" si="1">H7</f>
        <v>0</v>
      </c>
      <c r="V7" s="663" t="s">
        <v>20</v>
      </c>
      <c r="W7" s="664">
        <f t="shared" ref="W7:W15" si="2">J7</f>
        <v>0</v>
      </c>
      <c r="X7" s="665"/>
      <c r="Y7" s="3413" t="s">
        <v>1680</v>
      </c>
      <c r="Z7" s="3414"/>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13" t="s">
        <v>1683</v>
      </c>
      <c r="Q8" s="3414"/>
      <c r="R8" s="663" t="s">
        <v>20</v>
      </c>
      <c r="S8" s="664">
        <f t="shared" si="0"/>
        <v>100</v>
      </c>
      <c r="T8" s="663" t="s">
        <v>20</v>
      </c>
      <c r="U8" s="664">
        <f t="shared" si="1"/>
        <v>100</v>
      </c>
      <c r="V8" s="663" t="s">
        <v>20</v>
      </c>
      <c r="W8" s="664">
        <f t="shared" si="2"/>
        <v>100</v>
      </c>
      <c r="X8" s="665"/>
      <c r="Y8" s="3413" t="s">
        <v>1683</v>
      </c>
      <c r="Z8" s="341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27" t="s">
        <v>1686</v>
      </c>
      <c r="Q9" s="530"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27"/>
      <c r="Q10" s="530"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27"/>
      <c r="Q11" s="530" t="str">
        <f t="shared" si="6"/>
        <v>容积率</v>
      </c>
      <c r="R11" s="663" t="s">
        <v>18</v>
      </c>
      <c r="S11" s="664" t="e">
        <f t="shared" si="0"/>
        <v>#N/A</v>
      </c>
      <c r="T11" s="663" t="s">
        <v>18</v>
      </c>
      <c r="U11" s="664" t="e">
        <f t="shared" si="1"/>
        <v>#N/A</v>
      </c>
      <c r="V11" s="663" t="s">
        <v>18</v>
      </c>
      <c r="W11" s="664" t="e">
        <f t="shared" si="2"/>
        <v>#N/A</v>
      </c>
      <c r="X11" s="665"/>
      <c r="Y11" s="333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27"/>
      <c r="Q12" s="530">
        <f t="shared" si="6"/>
        <v>111</v>
      </c>
      <c r="R12" s="663" t="s">
        <v>18</v>
      </c>
      <c r="S12" s="664">
        <f t="shared" si="0"/>
        <v>100</v>
      </c>
      <c r="T12" s="663" t="s">
        <v>18</v>
      </c>
      <c r="U12" s="664">
        <f t="shared" si="1"/>
        <v>100</v>
      </c>
      <c r="V12" s="663" t="s">
        <v>18</v>
      </c>
      <c r="W12" s="664">
        <f t="shared" si="2"/>
        <v>100</v>
      </c>
      <c r="X12" s="665"/>
      <c r="Y12" s="333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27"/>
      <c r="Q13" s="530">
        <f t="shared" si="6"/>
        <v>111</v>
      </c>
      <c r="R13" s="663" t="s">
        <v>18</v>
      </c>
      <c r="S13" s="664">
        <f t="shared" si="0"/>
        <v>100</v>
      </c>
      <c r="T13" s="663" t="s">
        <v>18</v>
      </c>
      <c r="U13" s="664">
        <f t="shared" si="1"/>
        <v>100</v>
      </c>
      <c r="V13" s="663" t="s">
        <v>18</v>
      </c>
      <c r="W13" s="664">
        <f t="shared" si="2"/>
        <v>100</v>
      </c>
      <c r="X13" s="665"/>
      <c r="Y13" s="3338"/>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27"/>
      <c r="Q14" s="530">
        <f t="shared" si="6"/>
        <v>111</v>
      </c>
      <c r="R14" s="663" t="s">
        <v>18</v>
      </c>
      <c r="S14" s="664">
        <f t="shared" si="0"/>
        <v>100</v>
      </c>
      <c r="T14" s="663" t="s">
        <v>18</v>
      </c>
      <c r="U14" s="664">
        <f t="shared" si="1"/>
        <v>100</v>
      </c>
      <c r="V14" s="663" t="s">
        <v>18</v>
      </c>
      <c r="W14" s="664">
        <f t="shared" si="2"/>
        <v>100</v>
      </c>
      <c r="X14" s="665"/>
      <c r="Y14" s="3338"/>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53" t="s">
        <v>1691</v>
      </c>
      <c r="Q15" s="1262" t="str">
        <f t="shared" si="6"/>
        <v>居住社区成熟度</v>
      </c>
      <c r="R15" s="666" t="s">
        <v>18</v>
      </c>
      <c r="S15" s="667">
        <f t="shared" si="0"/>
        <v>100</v>
      </c>
      <c r="T15" s="666" t="s">
        <v>18</v>
      </c>
      <c r="U15" s="667">
        <f t="shared" si="1"/>
        <v>100</v>
      </c>
      <c r="V15" s="666" t="s">
        <v>18</v>
      </c>
      <c r="W15" s="667">
        <f t="shared" si="2"/>
        <v>100</v>
      </c>
      <c r="X15" s="1264"/>
      <c r="Y15" s="344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54"/>
      <c r="Q16" s="1262"/>
      <c r="R16" s="666"/>
      <c r="S16" s="667"/>
      <c r="T16" s="666"/>
      <c r="U16" s="667"/>
      <c r="V16" s="666"/>
      <c r="W16" s="667"/>
      <c r="X16" s="1264"/>
      <c r="Y16" s="3447"/>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54"/>
      <c r="Q17" s="1262" t="str">
        <f>B17</f>
        <v>交通便捷度</v>
      </c>
      <c r="R17" s="666" t="s">
        <v>18</v>
      </c>
      <c r="S17" s="667">
        <f>F17</f>
        <v>100</v>
      </c>
      <c r="T17" s="666" t="s">
        <v>18</v>
      </c>
      <c r="U17" s="667">
        <f>H17</f>
        <v>100</v>
      </c>
      <c r="V17" s="666" t="s">
        <v>18</v>
      </c>
      <c r="W17" s="667">
        <f>J17</f>
        <v>100</v>
      </c>
      <c r="X17" s="1264"/>
      <c r="Y17" s="344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54"/>
      <c r="Q18" s="1262"/>
      <c r="R18" s="666"/>
      <c r="S18" s="667"/>
      <c r="T18" s="666"/>
      <c r="U18" s="667"/>
      <c r="V18" s="666"/>
      <c r="W18" s="667"/>
      <c r="X18" s="1264"/>
      <c r="Y18" s="3447"/>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54"/>
      <c r="Q19" s="1262" t="str">
        <f>B19</f>
        <v>公共配套设施</v>
      </c>
      <c r="R19" s="666" t="s">
        <v>18</v>
      </c>
      <c r="S19" s="667">
        <f>F19</f>
        <v>100</v>
      </c>
      <c r="T19" s="666" t="s">
        <v>18</v>
      </c>
      <c r="U19" s="667">
        <f>H19</f>
        <v>100</v>
      </c>
      <c r="V19" s="666" t="s">
        <v>18</v>
      </c>
      <c r="W19" s="667">
        <f>J19</f>
        <v>100</v>
      </c>
      <c r="X19" s="1264"/>
      <c r="Y19" s="344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54"/>
      <c r="Q20" s="1262"/>
      <c r="R20" s="666"/>
      <c r="S20" s="667"/>
      <c r="T20" s="666"/>
      <c r="U20" s="667"/>
      <c r="V20" s="666"/>
      <c r="W20" s="667"/>
      <c r="X20" s="1264"/>
      <c r="Y20" s="3447"/>
      <c r="Z20" s="1263"/>
      <c r="AA20" s="1263">
        <v>1</v>
      </c>
      <c r="AB20" s="1263">
        <v>1</v>
      </c>
      <c r="AC20" s="1263">
        <v>1</v>
      </c>
    </row>
    <row r="21" spans="1:29" ht="15">
      <c r="A21" s="367"/>
      <c r="B21" s="585"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54"/>
      <c r="Q21" s="1262" t="str">
        <f>B21</f>
        <v>基础设施水平</v>
      </c>
      <c r="R21" s="666" t="s">
        <v>14</v>
      </c>
      <c r="S21" s="667">
        <f>F21</f>
        <v>100</v>
      </c>
      <c r="T21" s="666" t="s">
        <v>14</v>
      </c>
      <c r="U21" s="667">
        <f>H21</f>
        <v>100</v>
      </c>
      <c r="V21" s="666" t="s">
        <v>14</v>
      </c>
      <c r="W21" s="667">
        <f>J21</f>
        <v>100</v>
      </c>
      <c r="X21" s="1264"/>
      <c r="Y21" s="3447"/>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454"/>
      <c r="Q22" s="1262"/>
      <c r="R22" s="666"/>
      <c r="S22" s="667"/>
      <c r="T22" s="666"/>
      <c r="U22" s="667"/>
      <c r="V22" s="666"/>
      <c r="W22" s="667"/>
      <c r="X22" s="1264"/>
      <c r="Y22" s="3447"/>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54"/>
      <c r="Q23" s="1262" t="str">
        <f>B23</f>
        <v>自然及人文环境</v>
      </c>
      <c r="R23" s="666" t="s">
        <v>18</v>
      </c>
      <c r="S23" s="667">
        <f>F23</f>
        <v>100</v>
      </c>
      <c r="T23" s="666" t="s">
        <v>18</v>
      </c>
      <c r="U23" s="667">
        <f>H23</f>
        <v>100</v>
      </c>
      <c r="V23" s="666" t="s">
        <v>18</v>
      </c>
      <c r="W23" s="667">
        <f>J23</f>
        <v>100</v>
      </c>
      <c r="X23" s="1264"/>
      <c r="Y23" s="344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54"/>
      <c r="Q24" s="1262"/>
      <c r="R24" s="666"/>
      <c r="S24" s="667"/>
      <c r="T24" s="666"/>
      <c r="U24" s="667"/>
      <c r="V24" s="666"/>
      <c r="W24" s="667"/>
      <c r="X24" s="1264"/>
      <c r="Y24" s="344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5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4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54"/>
      <c r="Q26" s="1262" t="str">
        <f t="shared" si="11"/>
        <v>朝向</v>
      </c>
      <c r="R26" s="666" t="s">
        <v>18</v>
      </c>
      <c r="S26" s="667">
        <f t="shared" si="12"/>
        <v>100</v>
      </c>
      <c r="T26" s="666" t="s">
        <v>18</v>
      </c>
      <c r="U26" s="667">
        <f t="shared" si="13"/>
        <v>100</v>
      </c>
      <c r="V26" s="666" t="s">
        <v>18</v>
      </c>
      <c r="W26" s="667">
        <f t="shared" si="14"/>
        <v>100</v>
      </c>
      <c r="X26" s="1264"/>
      <c r="Y26" s="3447"/>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54"/>
      <c r="Q27" s="530">
        <f t="shared" si="11"/>
        <v>111</v>
      </c>
      <c r="R27" s="663" t="s">
        <v>18</v>
      </c>
      <c r="S27" s="664">
        <f t="shared" si="12"/>
        <v>100</v>
      </c>
      <c r="T27" s="663" t="s">
        <v>18</v>
      </c>
      <c r="U27" s="664">
        <f t="shared" si="13"/>
        <v>100</v>
      </c>
      <c r="V27" s="663" t="s">
        <v>18</v>
      </c>
      <c r="W27" s="664">
        <f t="shared" si="14"/>
        <v>100</v>
      </c>
      <c r="X27" s="665"/>
      <c r="Y27" s="3447"/>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54"/>
      <c r="Q28" s="1262">
        <f t="shared" si="11"/>
        <v>111</v>
      </c>
      <c r="R28" s="666" t="s">
        <v>18</v>
      </c>
      <c r="S28" s="667">
        <f t="shared" si="12"/>
        <v>100</v>
      </c>
      <c r="T28" s="666" t="s">
        <v>18</v>
      </c>
      <c r="U28" s="667">
        <f t="shared" si="13"/>
        <v>100</v>
      </c>
      <c r="V28" s="666" t="s">
        <v>18</v>
      </c>
      <c r="W28" s="667">
        <f t="shared" si="14"/>
        <v>100</v>
      </c>
      <c r="X28" s="1264"/>
      <c r="Y28" s="3447"/>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54"/>
      <c r="Q29" s="1262">
        <f t="shared" si="11"/>
        <v>111</v>
      </c>
      <c r="R29" s="666" t="s">
        <v>18</v>
      </c>
      <c r="S29" s="667">
        <f t="shared" si="12"/>
        <v>100</v>
      </c>
      <c r="T29" s="666" t="s">
        <v>18</v>
      </c>
      <c r="U29" s="667">
        <f t="shared" si="13"/>
        <v>100</v>
      </c>
      <c r="V29" s="666" t="s">
        <v>18</v>
      </c>
      <c r="W29" s="667">
        <f t="shared" si="14"/>
        <v>100</v>
      </c>
      <c r="X29" s="1264"/>
      <c r="Y29" s="3447"/>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54"/>
      <c r="Q30" s="1262">
        <f t="shared" si="11"/>
        <v>111</v>
      </c>
      <c r="R30" s="666" t="s">
        <v>18</v>
      </c>
      <c r="S30" s="667">
        <f t="shared" si="12"/>
        <v>100</v>
      </c>
      <c r="T30" s="666" t="s">
        <v>18</v>
      </c>
      <c r="U30" s="667">
        <f t="shared" si="13"/>
        <v>100</v>
      </c>
      <c r="V30" s="666" t="s">
        <v>18</v>
      </c>
      <c r="W30" s="667">
        <f t="shared" si="14"/>
        <v>100</v>
      </c>
      <c r="X30" s="1264"/>
      <c r="Y30" s="3447"/>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54"/>
      <c r="Q31" s="1262">
        <f t="shared" si="11"/>
        <v>111</v>
      </c>
      <c r="R31" s="666" t="s">
        <v>18</v>
      </c>
      <c r="S31" s="667">
        <f t="shared" si="12"/>
        <v>100</v>
      </c>
      <c r="T31" s="666" t="s">
        <v>18</v>
      </c>
      <c r="U31" s="667">
        <f t="shared" si="13"/>
        <v>100</v>
      </c>
      <c r="V31" s="666" t="s">
        <v>18</v>
      </c>
      <c r="W31" s="667">
        <f t="shared" si="14"/>
        <v>100</v>
      </c>
      <c r="X31" s="1264"/>
      <c r="Y31" s="3447"/>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48" t="s">
        <v>1696</v>
      </c>
      <c r="Q32" s="1262" t="str">
        <f t="shared" si="11"/>
        <v>建筑类型</v>
      </c>
      <c r="R32" s="666" t="s">
        <v>18</v>
      </c>
      <c r="S32" s="667">
        <f t="shared" si="12"/>
        <v>100</v>
      </c>
      <c r="T32" s="666" t="s">
        <v>18</v>
      </c>
      <c r="U32" s="667">
        <f t="shared" si="13"/>
        <v>100</v>
      </c>
      <c r="V32" s="666" t="s">
        <v>18</v>
      </c>
      <c r="W32" s="667">
        <f t="shared" si="14"/>
        <v>100</v>
      </c>
      <c r="X32" s="1264"/>
      <c r="Y32" s="345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49"/>
      <c r="Q33" s="531" t="str">
        <f t="shared" si="11"/>
        <v>项目建筑规模</v>
      </c>
      <c r="R33" s="668" t="s">
        <v>18</v>
      </c>
      <c r="S33" s="669" t="e">
        <f t="shared" si="12"/>
        <v>#N/A</v>
      </c>
      <c r="T33" s="668" t="s">
        <v>18</v>
      </c>
      <c r="U33" s="669" t="e">
        <f t="shared" si="13"/>
        <v>#N/A</v>
      </c>
      <c r="V33" s="668" t="s">
        <v>18</v>
      </c>
      <c r="W33" s="669" t="e">
        <f t="shared" si="14"/>
        <v>#N/A</v>
      </c>
      <c r="X33" s="670"/>
      <c r="Y33" s="3451"/>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49"/>
      <c r="Q34" s="1262" t="str">
        <f t="shared" si="11"/>
        <v>建筑结构</v>
      </c>
      <c r="R34" s="666" t="s">
        <v>18</v>
      </c>
      <c r="S34" s="667">
        <f t="shared" si="12"/>
        <v>100</v>
      </c>
      <c r="T34" s="666" t="s">
        <v>18</v>
      </c>
      <c r="U34" s="667">
        <f t="shared" si="13"/>
        <v>100</v>
      </c>
      <c r="V34" s="666" t="s">
        <v>18</v>
      </c>
      <c r="W34" s="667">
        <f t="shared" si="14"/>
        <v>100</v>
      </c>
      <c r="X34" s="1264"/>
      <c r="Y34" s="345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49"/>
      <c r="Q35" s="1262" t="str">
        <f t="shared" si="11"/>
        <v>建筑品质</v>
      </c>
      <c r="R35" s="666" t="s">
        <v>18</v>
      </c>
      <c r="S35" s="667">
        <f t="shared" si="12"/>
        <v>100</v>
      </c>
      <c r="T35" s="666" t="s">
        <v>18</v>
      </c>
      <c r="U35" s="667">
        <f t="shared" si="13"/>
        <v>100</v>
      </c>
      <c r="V35" s="666" t="s">
        <v>18</v>
      </c>
      <c r="W35" s="667">
        <f t="shared" si="14"/>
        <v>100</v>
      </c>
      <c r="X35" s="1264"/>
      <c r="Y35" s="345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49"/>
      <c r="Q36" s="1262" t="str">
        <f t="shared" si="11"/>
        <v>公共部分装修</v>
      </c>
      <c r="R36" s="666" t="s">
        <v>18</v>
      </c>
      <c r="S36" s="667">
        <f t="shared" si="12"/>
        <v>100</v>
      </c>
      <c r="T36" s="666" t="s">
        <v>18</v>
      </c>
      <c r="U36" s="667">
        <f t="shared" si="13"/>
        <v>100</v>
      </c>
      <c r="V36" s="666" t="s">
        <v>18</v>
      </c>
      <c r="W36" s="667">
        <f t="shared" si="14"/>
        <v>100</v>
      </c>
      <c r="X36" s="1264"/>
      <c r="Y36" s="345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49"/>
      <c r="Q37" s="530" t="str">
        <f t="shared" si="11"/>
        <v>成新度</v>
      </c>
      <c r="R37" s="663" t="s">
        <v>18</v>
      </c>
      <c r="S37" s="664" t="e">
        <f t="shared" si="12"/>
        <v>#N/A</v>
      </c>
      <c r="T37" s="663" t="s">
        <v>18</v>
      </c>
      <c r="U37" s="664" t="e">
        <f t="shared" si="13"/>
        <v>#N/A</v>
      </c>
      <c r="V37" s="663" t="s">
        <v>18</v>
      </c>
      <c r="W37" s="664" t="e">
        <f t="shared" si="14"/>
        <v>#N/A</v>
      </c>
      <c r="X37" s="665"/>
      <c r="Y37" s="345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49" t="s">
        <v>1696</v>
      </c>
      <c r="Q38" s="1262" t="str">
        <f t="shared" si="11"/>
        <v>物业管理</v>
      </c>
      <c r="R38" s="666" t="s">
        <v>18</v>
      </c>
      <c r="S38" s="667">
        <f t="shared" si="12"/>
        <v>100</v>
      </c>
      <c r="T38" s="666" t="s">
        <v>18</v>
      </c>
      <c r="U38" s="667">
        <f t="shared" si="13"/>
        <v>100</v>
      </c>
      <c r="V38" s="666" t="s">
        <v>18</v>
      </c>
      <c r="W38" s="667">
        <f t="shared" si="14"/>
        <v>100</v>
      </c>
      <c r="X38" s="1264"/>
      <c r="Y38" s="345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49"/>
      <c r="Q39" s="1262" t="str">
        <f t="shared" si="11"/>
        <v>市政基础设施</v>
      </c>
      <c r="R39" s="666" t="s">
        <v>18</v>
      </c>
      <c r="S39" s="667">
        <f t="shared" si="12"/>
        <v>100</v>
      </c>
      <c r="T39" s="666" t="s">
        <v>18</v>
      </c>
      <c r="U39" s="667">
        <f t="shared" si="13"/>
        <v>100</v>
      </c>
      <c r="V39" s="666" t="s">
        <v>18</v>
      </c>
      <c r="W39" s="667">
        <f t="shared" si="14"/>
        <v>100</v>
      </c>
      <c r="X39" s="1264"/>
      <c r="Y39" s="345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49"/>
      <c r="Q40" s="1262" t="str">
        <f t="shared" si="11"/>
        <v>房型</v>
      </c>
      <c r="R40" s="666" t="s">
        <v>18</v>
      </c>
      <c r="S40" s="667">
        <f t="shared" si="12"/>
        <v>100</v>
      </c>
      <c r="T40" s="666" t="s">
        <v>18</v>
      </c>
      <c r="U40" s="667">
        <f t="shared" si="13"/>
        <v>100</v>
      </c>
      <c r="V40" s="666" t="s">
        <v>18</v>
      </c>
      <c r="W40" s="667">
        <f t="shared" si="14"/>
        <v>100</v>
      </c>
      <c r="X40" s="1264"/>
      <c r="Y40" s="345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49"/>
      <c r="Q41" s="531" t="str">
        <f t="shared" si="11"/>
        <v>单套/主力户型建筑面积</v>
      </c>
      <c r="R41" s="668" t="s">
        <v>18</v>
      </c>
      <c r="S41" s="669">
        <f t="shared" si="12"/>
        <v>100</v>
      </c>
      <c r="T41" s="668" t="s">
        <v>18</v>
      </c>
      <c r="U41" s="669">
        <f t="shared" si="13"/>
        <v>100</v>
      </c>
      <c r="V41" s="668" t="s">
        <v>18</v>
      </c>
      <c r="W41" s="669">
        <f t="shared" si="14"/>
        <v>100</v>
      </c>
      <c r="X41" s="670"/>
      <c r="Y41" s="3451"/>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49"/>
      <c r="Q42" s="1262" t="str">
        <f t="shared" si="11"/>
        <v>内部装修</v>
      </c>
      <c r="R42" s="666" t="s">
        <v>18</v>
      </c>
      <c r="S42" s="667">
        <f t="shared" si="12"/>
        <v>100</v>
      </c>
      <c r="T42" s="666" t="s">
        <v>18</v>
      </c>
      <c r="U42" s="667">
        <f t="shared" si="13"/>
        <v>100</v>
      </c>
      <c r="V42" s="666" t="s">
        <v>18</v>
      </c>
      <c r="W42" s="667">
        <f t="shared" si="14"/>
        <v>100</v>
      </c>
      <c r="X42" s="1264"/>
      <c r="Y42" s="3451"/>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49"/>
      <c r="Q43" s="1262" t="str">
        <f t="shared" si="11"/>
        <v>内部装修维护情况</v>
      </c>
      <c r="R43" s="666" t="s">
        <v>18</v>
      </c>
      <c r="S43" s="667">
        <f t="shared" si="12"/>
        <v>100</v>
      </c>
      <c r="T43" s="666" t="s">
        <v>18</v>
      </c>
      <c r="U43" s="667">
        <f t="shared" si="13"/>
        <v>100</v>
      </c>
      <c r="V43" s="666" t="s">
        <v>18</v>
      </c>
      <c r="W43" s="667">
        <f t="shared" si="14"/>
        <v>100</v>
      </c>
      <c r="X43" s="1264"/>
      <c r="Y43" s="3451"/>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49"/>
      <c r="Q44" s="530">
        <f t="shared" si="11"/>
        <v>111</v>
      </c>
      <c r="R44" s="663" t="s">
        <v>18</v>
      </c>
      <c r="S44" s="664">
        <f t="shared" si="12"/>
        <v>100</v>
      </c>
      <c r="T44" s="663" t="s">
        <v>18</v>
      </c>
      <c r="U44" s="664">
        <f t="shared" si="13"/>
        <v>100</v>
      </c>
      <c r="V44" s="663" t="s">
        <v>18</v>
      </c>
      <c r="W44" s="664">
        <f t="shared" si="14"/>
        <v>100</v>
      </c>
      <c r="X44" s="665"/>
      <c r="Y44" s="3451"/>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49"/>
      <c r="Q45" s="1262">
        <f t="shared" si="11"/>
        <v>111</v>
      </c>
      <c r="R45" s="666" t="s">
        <v>18</v>
      </c>
      <c r="S45" s="667">
        <f t="shared" si="12"/>
        <v>100</v>
      </c>
      <c r="T45" s="666" t="s">
        <v>18</v>
      </c>
      <c r="U45" s="667">
        <f t="shared" si="13"/>
        <v>100</v>
      </c>
      <c r="V45" s="666" t="s">
        <v>18</v>
      </c>
      <c r="W45" s="667">
        <f t="shared" si="14"/>
        <v>100</v>
      </c>
      <c r="X45" s="1264"/>
      <c r="Y45" s="3451"/>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50"/>
      <c r="Q46" s="1262">
        <f t="shared" si="11"/>
        <v>111</v>
      </c>
      <c r="R46" s="666" t="s">
        <v>17</v>
      </c>
      <c r="S46" s="667">
        <f t="shared" si="12"/>
        <v>100</v>
      </c>
      <c r="T46" s="666" t="s">
        <v>17</v>
      </c>
      <c r="U46" s="667">
        <f t="shared" si="13"/>
        <v>100</v>
      </c>
      <c r="V46" s="666" t="s">
        <v>17</v>
      </c>
      <c r="W46" s="667">
        <f t="shared" si="14"/>
        <v>100</v>
      </c>
      <c r="X46" s="1264"/>
      <c r="Y46" s="3452"/>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445" t="str">
        <f>A47</f>
        <v>成交单价（元/平方米）</v>
      </c>
      <c r="Q47" s="3445"/>
      <c r="R47" s="3440">
        <f>E47</f>
        <v>0</v>
      </c>
      <c r="S47" s="3440"/>
      <c r="T47" s="3440">
        <f>G47</f>
        <v>0</v>
      </c>
      <c r="U47" s="3440"/>
      <c r="V47" s="3440">
        <f>I47</f>
        <v>0</v>
      </c>
      <c r="W47" s="3440"/>
      <c r="X47" s="385"/>
      <c r="Y47" s="672"/>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445" t="str">
        <f>A48</f>
        <v>比较价值（元/平方米）</v>
      </c>
      <c r="Q48" s="3445"/>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2025-11</v>
      </c>
      <c r="D58" s="1103">
        <f>EDATE(C58,-1)</f>
        <v>45931</v>
      </c>
      <c r="E58" s="1103">
        <f>EDATE(D58,-1)</f>
        <v>45901</v>
      </c>
      <c r="F58" s="1103">
        <f t="shared" ref="F58:O58" si="19">EDATE(E58,-1)</f>
        <v>45870</v>
      </c>
      <c r="G58" s="1103">
        <f t="shared" si="19"/>
        <v>45839</v>
      </c>
      <c r="H58" s="1103">
        <f t="shared" si="19"/>
        <v>45809</v>
      </c>
      <c r="I58" s="1103">
        <f t="shared" si="19"/>
        <v>45778</v>
      </c>
      <c r="J58" s="1103">
        <f t="shared" si="19"/>
        <v>45748</v>
      </c>
      <c r="K58" s="1103">
        <f t="shared" si="19"/>
        <v>45717</v>
      </c>
      <c r="L58" s="1103">
        <f t="shared" si="19"/>
        <v>45689</v>
      </c>
      <c r="M58" s="1103">
        <f t="shared" si="19"/>
        <v>45658</v>
      </c>
      <c r="N58" s="1103">
        <f t="shared" si="19"/>
        <v>45627</v>
      </c>
      <c r="O58" s="1103">
        <f t="shared" si="19"/>
        <v>45597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估价对象为北京市房地产，为所有。根据《国有土地使用证》[]，估价对象（分摊）出让国有建设用地使用权面积为0平方米，建筑面积为2765.9平方米。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估价对象为北京市房地产,属开发建设的，该项目尚在开发建设中。根据《国有土地使用证》[]，估价对象（分摊）出让国有建设用地使用权面积为0平方米，规划建筑面积为2765.9平方米。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2025年11月28日（评估专业人员实地查勘之日）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7B2F5-4D35-4C34-B690-3AA2B9DD43AA}">
  <sheetPr>
    <tabColor rgb="FF92D050"/>
  </sheetPr>
  <dimension ref="A1:AK83"/>
  <sheetViews>
    <sheetView view="pageBreakPreview" zoomScale="70" zoomScaleNormal="70" zoomScaleSheetLayoutView="70" workbookViewId="0">
      <selection activeCell="E19" sqref="E1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21</v>
      </c>
      <c r="D1" s="1270" t="s">
        <v>43</v>
      </c>
      <c r="E1" s="1271" t="s">
        <v>678</v>
      </c>
      <c r="F1" s="998">
        <f ca="1">J53</f>
        <v>27</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3524</v>
      </c>
      <c r="C2" s="1288" t="s">
        <v>805</v>
      </c>
      <c r="D2" s="1288"/>
      <c r="E2" s="1294"/>
      <c r="F2" s="1295"/>
      <c r="G2" s="2478"/>
      <c r="H2" s="2468"/>
      <c r="I2" s="2468"/>
      <c r="J2" s="2468"/>
      <c r="K2" s="2469"/>
      <c r="L2" s="2468"/>
      <c r="M2" s="2468"/>
    </row>
    <row r="3" spans="1:37" ht="18" customHeight="1" thickBot="1">
      <c r="A3" s="1296" t="s">
        <v>806</v>
      </c>
      <c r="B3" s="1297">
        <f ca="1">IF(ISERROR(B2*10000/F43),0,ROUND(B2*10000/F43,0))</f>
        <v>16260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249</v>
      </c>
      <c r="D5" s="1272" t="s">
        <v>693</v>
      </c>
      <c r="E5" s="1007"/>
      <c r="F5" s="1008"/>
      <c r="G5" s="1291"/>
      <c r="H5" s="291">
        <v>1</v>
      </c>
      <c r="I5" s="292" t="s">
        <v>692</v>
      </c>
      <c r="J5" s="1006">
        <f ca="1">J6+J10+J12</f>
        <v>0</v>
      </c>
      <c r="K5" s="1272" t="s">
        <v>693</v>
      </c>
      <c r="L5" s="1007"/>
      <c r="M5" s="1008"/>
    </row>
    <row r="6" spans="1:37" ht="18" customHeight="1">
      <c r="A6" s="1005" t="s">
        <v>398</v>
      </c>
      <c r="B6" s="3386" t="s">
        <v>694</v>
      </c>
      <c r="C6" s="1010">
        <f ca="1">ROUND(F6*F8*F7*(1-F9)/10000,0)</f>
        <v>249</v>
      </c>
      <c r="D6" s="147" t="s">
        <v>2109</v>
      </c>
      <c r="E6" s="294" t="s">
        <v>696</v>
      </c>
      <c r="F6" s="295">
        <f ca="1">INDIRECT("'数据-取费表'!u"&amp;$G$1)</f>
        <v>3.5</v>
      </c>
      <c r="G6" s="1291"/>
      <c r="H6" s="1005" t="s">
        <v>398</v>
      </c>
      <c r="I6" s="3386" t="s">
        <v>694</v>
      </c>
      <c r="J6" s="293">
        <f ca="1">ROUND(M6*M8*M7*(1-M9)/10000,0)</f>
        <v>0</v>
      </c>
      <c r="K6" s="147" t="s">
        <v>2108</v>
      </c>
      <c r="L6" s="294" t="s">
        <v>696</v>
      </c>
      <c r="M6" s="295">
        <f ca="1">INDIRECT("'数据-取费表'!z"&amp;$G$1)</f>
        <v>0</v>
      </c>
    </row>
    <row r="7" spans="1:37" ht="18" customHeight="1">
      <c r="A7" s="1009"/>
      <c r="B7" s="3387"/>
      <c r="C7" s="1011"/>
      <c r="D7" s="299"/>
      <c r="E7" s="1012" t="s">
        <v>697</v>
      </c>
      <c r="F7" s="295">
        <f ca="1">IF(INDIRECT("'数据-取费表'!ah"&amp;$G$1)="",INDIRECT("'数据-取费表'!k"&amp;$G$1),INDIRECT("'数据-取费表'!ah"&amp;$G$1))</f>
        <v>2167.29</v>
      </c>
      <c r="G7" s="1291"/>
      <c r="H7" s="296"/>
      <c r="I7" s="3387"/>
      <c r="J7" s="298"/>
      <c r="K7" s="299"/>
      <c r="L7" s="294" t="s">
        <v>697</v>
      </c>
      <c r="M7" s="295">
        <f ca="1">F7</f>
        <v>2167.29</v>
      </c>
    </row>
    <row r="8" spans="1:37" ht="18" customHeight="1">
      <c r="A8" s="296"/>
      <c r="B8" s="3387"/>
      <c r="C8" s="298"/>
      <c r="D8" s="299"/>
      <c r="E8" s="294" t="s">
        <v>698</v>
      </c>
      <c r="F8" s="295">
        <f ca="1">INDIRECT("'数据-取费表'!ai"&amp;$G$1)</f>
        <v>365</v>
      </c>
      <c r="G8" s="1291"/>
      <c r="H8" s="296"/>
      <c r="I8" s="3387"/>
      <c r="J8" s="298"/>
      <c r="K8" s="299"/>
      <c r="L8" s="294" t="s">
        <v>698</v>
      </c>
      <c r="M8" s="295">
        <f ca="1">INDIRECT("'数据-取费表'!ai"&amp;$G$1)</f>
        <v>365</v>
      </c>
    </row>
    <row r="9" spans="1:37" ht="18" customHeight="1">
      <c r="A9" s="296"/>
      <c r="B9" s="3388"/>
      <c r="C9" s="298"/>
      <c r="D9" s="299"/>
      <c r="E9" s="294" t="s">
        <v>699</v>
      </c>
      <c r="F9" s="304">
        <f ca="1">INDIRECT("'数据-取费表'!w"&amp;$G$1)</f>
        <v>0.1</v>
      </c>
      <c r="G9" s="1291"/>
      <c r="H9" s="296"/>
      <c r="I9" s="338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t="s">
        <v>3426</v>
      </c>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1062</v>
      </c>
      <c r="D13" s="1017" t="s">
        <v>705</v>
      </c>
      <c r="E13" s="1017" t="s">
        <v>706</v>
      </c>
      <c r="F13" s="1018">
        <f ca="1">INDIRECT("'数据-取费表'!y"&amp;$G$1)</f>
        <v>0.82</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867</v>
      </c>
      <c r="D14" s="1256" t="s">
        <v>708</v>
      </c>
      <c r="E14" s="1254"/>
      <c r="F14" s="311"/>
      <c r="G14" s="1291"/>
      <c r="H14" s="927" t="s">
        <v>398</v>
      </c>
      <c r="I14" s="294" t="s">
        <v>709</v>
      </c>
      <c r="J14" s="21">
        <f ca="1">C29</f>
        <v>1295</v>
      </c>
      <c r="K14" s="12"/>
      <c r="L14" s="758"/>
      <c r="M14" s="759"/>
    </row>
    <row r="15" spans="1:37" s="1303" customFormat="1" ht="18" customHeight="1" thickBot="1">
      <c r="A15" s="927" t="s">
        <v>399</v>
      </c>
      <c r="B15" s="294" t="s">
        <v>710</v>
      </c>
      <c r="C15" s="21">
        <f ca="1">ROUND(C14*F15,0)</f>
        <v>43</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3</v>
      </c>
      <c r="K16" s="1023" t="s">
        <v>715</v>
      </c>
      <c r="L16" s="1024"/>
      <c r="M16" s="1008"/>
    </row>
    <row r="17" spans="1:37" s="1303" customFormat="1" ht="18" customHeight="1">
      <c r="A17" s="927" t="s">
        <v>681</v>
      </c>
      <c r="B17" s="294" t="s">
        <v>716</v>
      </c>
      <c r="C17" s="21">
        <f ca="1">ROUND(F17*(F43+INDIRECT("'数据-取费表'!S"&amp;$G$1))/10000,0)</f>
        <v>43</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17</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970</v>
      </c>
      <c r="D19" s="123" t="s">
        <v>726</v>
      </c>
      <c r="E19" s="1268"/>
      <c r="F19" s="23"/>
      <c r="G19" s="1291"/>
      <c r="H19" s="927" t="s">
        <v>399</v>
      </c>
      <c r="I19" s="294" t="s">
        <v>727</v>
      </c>
      <c r="J19" s="21">
        <f ca="1">IF(K19="按租金收入计税",ROUND(J6*M19/(1+'数据-取费表'!C42),2),ROUND(C29*M19*0.7,2))</f>
        <v>0</v>
      </c>
      <c r="K19" s="1277" t="s">
        <v>3324</v>
      </c>
      <c r="L19" s="294" t="s">
        <v>712</v>
      </c>
      <c r="M19" s="314">
        <f>IF(K19="按租金收入计税",'数据-取费表'!B51,'数据-取费表'!B50)</f>
        <v>0.12</v>
      </c>
    </row>
    <row r="20" spans="1:37" s="1303" customFormat="1" ht="18" customHeight="1">
      <c r="A20" s="927" t="s">
        <v>402</v>
      </c>
      <c r="B20" s="294" t="s">
        <v>728</v>
      </c>
      <c r="C20" s="21">
        <f ca="1">ROUND(C19*F20,0)</f>
        <v>29</v>
      </c>
      <c r="D20" s="315" t="s">
        <v>729</v>
      </c>
      <c r="E20" s="294" t="s">
        <v>712</v>
      </c>
      <c r="F20" s="314">
        <f>'数据-取费表'!B37</f>
        <v>0.03</v>
      </c>
      <c r="G20" s="1302"/>
      <c r="H20" s="927" t="s">
        <v>680</v>
      </c>
      <c r="I20" s="147" t="s">
        <v>730</v>
      </c>
      <c r="J20" s="22">
        <f ca="1">ROUND(M20*M21/10000,2)</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2.59</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31</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712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2"/>
      <c r="H24" s="1025" t="s">
        <v>683</v>
      </c>
      <c r="I24" s="1026" t="s">
        <v>728</v>
      </c>
      <c r="J24" s="1027">
        <f ca="1">ROUND(J5*M24,2)</f>
        <v>0</v>
      </c>
      <c r="K24" s="1028" t="s">
        <v>748</v>
      </c>
      <c r="L24" s="1026" t="s">
        <v>712</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-3</v>
      </c>
      <c r="K25" s="1031" t="s">
        <v>753</v>
      </c>
      <c r="L25" s="1032"/>
      <c r="M25" s="1033"/>
    </row>
    <row r="26" spans="1:37">
      <c r="A26" s="927" t="s">
        <v>397</v>
      </c>
      <c r="B26" s="294" t="s">
        <v>754</v>
      </c>
      <c r="C26" s="21">
        <f ca="1">ROUND((C19+C20)*F26,0)</f>
        <v>150</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4.4999999999999997E-3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1295</v>
      </c>
      <c r="D29" s="1028"/>
      <c r="E29" s="1026"/>
      <c r="F29" s="1029"/>
      <c r="G29" s="1302"/>
      <c r="H29" s="325" t="s">
        <v>396</v>
      </c>
      <c r="I29" s="326" t="s">
        <v>768</v>
      </c>
      <c r="J29" s="327">
        <f ca="1">ROUND(J26/(1+F40)^F41,0)</f>
        <v>0</v>
      </c>
      <c r="K29" s="328" t="s">
        <v>769</v>
      </c>
      <c r="L29" s="329"/>
      <c r="M29" s="330">
        <f ca="1">INDIRECT("'数据-取费表'!k"&amp;$G$1)</f>
        <v>2167.29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47</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41.74</v>
      </c>
      <c r="D31" s="1256" t="s">
        <v>720</v>
      </c>
      <c r="E31" s="1255" t="s">
        <v>770</v>
      </c>
      <c r="F31" s="2138" t="str">
        <f>IF(项目基本情况!B11="企业","——",IF(M47="住宅",IF(F6*F7*F8/12/(1+'数据-取费表'!F30)&gt;100000,4%,2.5%),IF(F6*F7*F8/12/(1+'数据-取费表'!F30)&gt;100000,12%,7%)))</f>
        <v>——</v>
      </c>
      <c r="G31" s="1291"/>
      <c r="H31" s="2569" t="s">
        <v>2297</v>
      </c>
      <c r="I31" s="1304"/>
      <c r="J31" s="1305"/>
      <c r="K31" s="121"/>
      <c r="L31" s="2471"/>
      <c r="M31" s="2472"/>
    </row>
    <row r="32" spans="1:37" ht="18" customHeight="1">
      <c r="A32" s="927" t="s">
        <v>397</v>
      </c>
      <c r="B32" s="294" t="s">
        <v>723</v>
      </c>
      <c r="C32" s="21">
        <f ca="1">IF(项目基本情况!B11="自然人","——",ROUND(C6*F32/(1+'数据-取费表'!C42),2))</f>
        <v>13.28</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28.46</v>
      </c>
      <c r="D33" s="1277" t="s">
        <v>3324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24</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2.59</v>
      </c>
      <c r="D36" s="1255" t="s">
        <v>771</v>
      </c>
      <c r="E36" s="294" t="s">
        <v>712</v>
      </c>
      <c r="F36" s="320">
        <f ca="1">INDIRECT("'数据-取费表'!Ak"&amp;$G$1)</f>
        <v>2E-3</v>
      </c>
      <c r="G36" s="1291"/>
      <c r="H36" s="2473"/>
      <c r="I36" s="1304"/>
      <c r="J36" s="1305"/>
      <c r="K36" s="2330"/>
      <c r="L36" s="2473"/>
      <c r="M36" s="2473"/>
    </row>
    <row r="37" spans="1:18" ht="18" customHeight="1">
      <c r="A37" s="927" t="s">
        <v>437</v>
      </c>
      <c r="B37" s="294" t="s">
        <v>742</v>
      </c>
      <c r="C37" s="21">
        <f ca="1">ROUND(C13*F37,2)</f>
        <v>1.06</v>
      </c>
      <c r="D37" s="1255" t="s">
        <v>743</v>
      </c>
      <c r="E37" s="294" t="s">
        <v>712</v>
      </c>
      <c r="F37" s="321">
        <f ca="1">INDIRECT("'数据-取费表'!Al"&amp;$G$1)</f>
        <v>1E-3</v>
      </c>
      <c r="G37" s="1291"/>
      <c r="H37" s="2473"/>
      <c r="I37" s="1304"/>
      <c r="J37" s="1305"/>
      <c r="K37" s="2330"/>
      <c r="L37" s="2473"/>
      <c r="M37" s="2473"/>
    </row>
    <row r="38" spans="1:18" ht="18" customHeight="1" thickBot="1">
      <c r="A38" s="1025" t="s">
        <v>683</v>
      </c>
      <c r="B38" s="1026" t="s">
        <v>728</v>
      </c>
      <c r="C38" s="1027">
        <f ca="1">ROUND(C5*F38,2)</f>
        <v>1.25</v>
      </c>
      <c r="D38" s="1028" t="s">
        <v>748</v>
      </c>
      <c r="E38" s="1026" t="s">
        <v>712</v>
      </c>
      <c r="F38" s="1022">
        <f ca="1">INDIRECT("'数据-取费表'!Am"&amp;$G$1)</f>
        <v>5.0000000000000001E-3</v>
      </c>
      <c r="G38" s="1291"/>
      <c r="H38" s="2473"/>
      <c r="I38" s="1304"/>
      <c r="J38" s="1305"/>
      <c r="K38" s="2471"/>
      <c r="L38" s="2473"/>
      <c r="M38" s="2473"/>
    </row>
    <row r="39" spans="1:18" ht="24.6" customHeight="1" thickTop="1">
      <c r="A39" s="1015" t="s">
        <v>394</v>
      </c>
      <c r="B39" s="1030" t="s">
        <v>752</v>
      </c>
      <c r="C39" s="302">
        <f ca="1">C5-C30</f>
        <v>202</v>
      </c>
      <c r="D39" s="1031" t="s">
        <v>753</v>
      </c>
      <c r="E39" s="1032"/>
      <c r="F39" s="1033"/>
      <c r="G39" s="1291"/>
      <c r="H39" s="2473"/>
      <c r="I39" s="1304"/>
      <c r="J39" s="1305"/>
      <c r="K39" s="2471"/>
      <c r="L39" s="2473"/>
      <c r="M39" s="2473"/>
    </row>
    <row r="40" spans="1:18" ht="18" customHeight="1">
      <c r="A40" s="291" t="s">
        <v>395</v>
      </c>
      <c r="B40" s="292" t="s">
        <v>774</v>
      </c>
      <c r="C40" s="293">
        <f ca="1">ROUND(C39*(1-((1+F42)/(1+F40))^F41)/(F40-F42),0)</f>
        <v>3450</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27</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ROUND(C40*10000/F43,0)</f>
        <v>15918</v>
      </c>
      <c r="D43" s="328" t="s">
        <v>777</v>
      </c>
      <c r="E43" s="329" t="s">
        <v>778</v>
      </c>
      <c r="F43" s="330">
        <f ca="1">INDIRECT("'数据-取费表'!k"&amp;$G$1)</f>
        <v>2167.29</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f ca="1">C68-C40</f>
        <v>-3506</v>
      </c>
      <c r="D46" s="1312" t="str">
        <f>C2</f>
        <v>万元</v>
      </c>
      <c r="E46" s="1306"/>
      <c r="F46" s="1306"/>
      <c r="I46" s="1313" t="s">
        <v>810</v>
      </c>
      <c r="J46" s="1314"/>
      <c r="K46" s="1315"/>
      <c r="L46" s="1316">
        <f ca="1">IF(M47="住宅",0,IF(L48&gt;J51,L60,J60))</f>
        <v>74</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3427</v>
      </c>
      <c r="K47" s="1322" t="s">
        <v>816</v>
      </c>
      <c r="L47" s="1323">
        <f ca="1">INDIRECT("'数据-取费表'!d"&amp;$G$1)</f>
        <v>50</v>
      </c>
      <c r="M47" s="1287" t="str">
        <f>IF(ISNUMBER(FIND("住宅",C1)),"住宅","非住宅")</f>
        <v>非住宅</v>
      </c>
      <c r="O47" s="1324" t="s">
        <v>403</v>
      </c>
      <c r="P47" s="1325" t="s">
        <v>817</v>
      </c>
      <c r="Q47" s="1326">
        <f ca="1">C40+J29</f>
        <v>3450</v>
      </c>
      <c r="R47" s="1326" t="s">
        <v>818</v>
      </c>
    </row>
    <row r="48" spans="1:18" s="1291" customFormat="1" ht="28.5" thickBot="1">
      <c r="A48" s="1046" t="s">
        <v>438</v>
      </c>
      <c r="B48" s="292" t="s">
        <v>692</v>
      </c>
      <c r="C48" s="1267">
        <f ca="1">C49+C53+C55</f>
        <v>0</v>
      </c>
      <c r="D48" s="1048"/>
      <c r="E48" s="1049"/>
      <c r="F48" s="907"/>
      <c r="G48" s="680"/>
      <c r="H48" s="681"/>
      <c r="I48" s="1327" t="s">
        <v>819</v>
      </c>
      <c r="J48" s="1328" t="s">
        <v>3428</v>
      </c>
      <c r="K48" s="1329" t="s">
        <v>820</v>
      </c>
      <c r="L48" s="1330">
        <f ca="1">INDIRECT("'数据-取费表'!f"&amp;$G$1)</f>
        <v>27</v>
      </c>
      <c r="O48" s="1324" t="s">
        <v>404</v>
      </c>
      <c r="P48" s="1325" t="s">
        <v>821</v>
      </c>
      <c r="Q48" s="1326">
        <f ca="1">J60</f>
        <v>74</v>
      </c>
      <c r="R48" s="1326" t="s">
        <v>822</v>
      </c>
    </row>
    <row r="49" spans="1:18" s="1291" customFormat="1" ht="13.5" thickBot="1">
      <c r="A49" s="920" t="s">
        <v>439</v>
      </c>
      <c r="B49" s="1278" t="s">
        <v>779</v>
      </c>
      <c r="C49" s="1050">
        <f ca="1">ROUND(F49*F51*F50*(1-F52)/10000,0)</f>
        <v>0</v>
      </c>
      <c r="D49" s="991" t="s">
        <v>2108</v>
      </c>
      <c r="E49" s="1279" t="s">
        <v>780</v>
      </c>
      <c r="F49" s="996"/>
      <c r="H49" s="681"/>
      <c r="I49" s="1327" t="s">
        <v>823</v>
      </c>
      <c r="J49" s="1331">
        <v>2000</v>
      </c>
      <c r="K49" s="1329" t="s">
        <v>824</v>
      </c>
      <c r="L49" s="1332"/>
      <c r="O49" s="1333" t="s">
        <v>405</v>
      </c>
      <c r="P49" s="1325" t="s">
        <v>825</v>
      </c>
      <c r="Q49" s="1326">
        <f ca="1">C29</f>
        <v>1295</v>
      </c>
      <c r="R49" s="1326" t="s">
        <v>818</v>
      </c>
    </row>
    <row r="50" spans="1:18" s="1291" customFormat="1" ht="13.5" thickBot="1">
      <c r="A50" s="921"/>
      <c r="B50" s="924"/>
      <c r="C50" s="1054"/>
      <c r="D50" s="898"/>
      <c r="E50" s="992" t="s">
        <v>697</v>
      </c>
      <c r="F50" s="993">
        <f ca="1">F7</f>
        <v>2167.29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35</v>
      </c>
      <c r="K51" s="1338" t="s">
        <v>830</v>
      </c>
      <c r="L51" s="1339">
        <f ca="1">ROUND(-PV(INDIRECT("'数据-取费表'!h"&amp;$G$1),J51,(C39-C13*C76),0),0)</f>
        <v>2090</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27</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27</v>
      </c>
      <c r="K53" s="3384" t="s">
        <v>837</v>
      </c>
      <c r="L53" s="3385"/>
      <c r="O53" s="1324" t="s">
        <v>409</v>
      </c>
      <c r="P53" s="1325" t="s">
        <v>838</v>
      </c>
      <c r="Q53" s="1326">
        <f ca="1">Q47+Q48</f>
        <v>3524</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0.13300000000000001</v>
      </c>
      <c r="K55" s="1349" t="s">
        <v>841</v>
      </c>
      <c r="L55" s="1350"/>
      <c r="O55" s="1317" t="s">
        <v>811</v>
      </c>
      <c r="P55" s="1318" t="s">
        <v>812</v>
      </c>
      <c r="Q55" s="1319" t="s">
        <v>813</v>
      </c>
      <c r="R55" s="1319" t="s">
        <v>814</v>
      </c>
    </row>
    <row r="56" spans="1:18" s="1291" customFormat="1" ht="25.5" thickTop="1" thickBot="1">
      <c r="A56" s="902">
        <v>2</v>
      </c>
      <c r="B56" s="903" t="s">
        <v>704</v>
      </c>
      <c r="C56" s="224">
        <f ca="1">C13</f>
        <v>1062</v>
      </c>
      <c r="D56" s="1351"/>
      <c r="E56" s="1352"/>
      <c r="F56" s="1344"/>
      <c r="I56" s="1353" t="s">
        <v>842</v>
      </c>
      <c r="J56" s="1354" t="s">
        <v>3429</v>
      </c>
      <c r="K56" s="1327" t="s">
        <v>843</v>
      </c>
      <c r="L56" s="1330" t="str">
        <f ca="1">IF(L48&lt;J51,"——",L48-J53)</f>
        <v>——</v>
      </c>
      <c r="O56" s="1324" t="s">
        <v>403</v>
      </c>
      <c r="P56" s="1325" t="s">
        <v>817</v>
      </c>
      <c r="Q56" s="1326">
        <f ca="1">C40+J29</f>
        <v>3450</v>
      </c>
      <c r="R56" s="1326" t="s">
        <v>818</v>
      </c>
    </row>
    <row r="57" spans="1:18" s="1291" customFormat="1" ht="24.75" thickBot="1">
      <c r="A57" s="1355"/>
      <c r="B57" s="895" t="s">
        <v>767</v>
      </c>
      <c r="C57" s="230">
        <f ca="1">C29</f>
        <v>1295</v>
      </c>
      <c r="D57" s="1356"/>
      <c r="E57" s="1357"/>
      <c r="F57" s="1358"/>
      <c r="I57" s="1359" t="s">
        <v>844</v>
      </c>
      <c r="J57" s="1360">
        <f ca="1">IF(OR(M47="住宅",J51&lt;L48,J56="是"),"——",J51-L48)</f>
        <v>8</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3" t="s">
        <v>714</v>
      </c>
      <c r="C58" s="308">
        <f ca="1">ROUND(C59+C64+C65+C66,0)</f>
        <v>4</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518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f ca="1">IF(OR(M47="住宅",J51&lt;L48,J56="是"),"0",ROUND(J59/(1+J52)^J53,0))</f>
        <v>74</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1">
        <f ca="1">IF(项目基本情况!B11="自然人","——",IF(D61="按租金收入计税",ROUND(C49*F61/(1+'数据-取费表'!C42),2),IF(D61="按房产原值计税",ROUND(C57*F61*0.7,2),INDIRECT("'数据-取费表'!Aj"&amp;$G$1))))</f>
        <v>0</v>
      </c>
      <c r="D61" s="1277" t="s">
        <v>3324</v>
      </c>
      <c r="E61" s="895" t="s">
        <v>712</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2">
        <f ca="1">IF(项目基本情况!B11="自然人","——",ROUND(F62*F63/10000,2))</f>
        <v>0</v>
      </c>
      <c r="D62" s="910" t="s">
        <v>731</v>
      </c>
      <c r="E62" s="895" t="s">
        <v>732</v>
      </c>
      <c r="F62" s="317">
        <f t="shared" si="0"/>
        <v>24</v>
      </c>
      <c r="I62" s="1366" t="s">
        <v>858</v>
      </c>
      <c r="J62" s="609" t="s">
        <v>859</v>
      </c>
      <c r="K62" s="609" t="s">
        <v>860</v>
      </c>
      <c r="L62" s="609" t="s">
        <v>861</v>
      </c>
      <c r="M62" s="1367" t="s">
        <v>862</v>
      </c>
      <c r="O62" s="1324" t="s">
        <v>409</v>
      </c>
      <c r="P62" s="1325" t="s">
        <v>838</v>
      </c>
      <c r="Q62" s="1326">
        <f ca="1">Q56+Q57</f>
        <v>3450</v>
      </c>
      <c r="R62" s="1326" t="s">
        <v>410</v>
      </c>
    </row>
    <row r="63" spans="1:18" s="1291" customFormat="1" ht="13.5" thickBot="1">
      <c r="A63" s="318"/>
      <c r="B63" s="901"/>
      <c r="C63" s="26"/>
      <c r="D63" s="911"/>
      <c r="E63" s="895" t="s">
        <v>736</v>
      </c>
      <c r="F63" s="295">
        <f t="shared" ca="1" si="0"/>
        <v>0</v>
      </c>
      <c r="I63" s="1366" t="s">
        <v>864</v>
      </c>
      <c r="J63" s="609">
        <v>70</v>
      </c>
      <c r="K63" s="609">
        <v>50</v>
      </c>
      <c r="L63" s="609">
        <v>80</v>
      </c>
      <c r="M63" s="1368">
        <v>0.02</v>
      </c>
      <c r="O63" s="1309" t="s">
        <v>865</v>
      </c>
      <c r="P63" s="1288"/>
      <c r="Q63" s="1288"/>
      <c r="R63" s="1288"/>
    </row>
    <row r="64" spans="1:18" s="1291" customFormat="1" ht="13.5" thickBot="1">
      <c r="A64" s="927" t="s">
        <v>402</v>
      </c>
      <c r="B64" s="895" t="s">
        <v>738</v>
      </c>
      <c r="C64" s="21">
        <f ca="1">ROUND(C57*F64,2)</f>
        <v>2.59</v>
      </c>
      <c r="D64" s="909" t="s">
        <v>771</v>
      </c>
      <c r="E64" s="895" t="s">
        <v>712</v>
      </c>
      <c r="F64" s="320">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1.06</v>
      </c>
      <c r="D65" s="909" t="s">
        <v>743</v>
      </c>
      <c r="E65" s="895" t="s">
        <v>712</v>
      </c>
      <c r="F65" s="321">
        <f t="shared" ca="1" si="0"/>
        <v>1E-3</v>
      </c>
      <c r="I65" s="1366" t="s">
        <v>867</v>
      </c>
      <c r="J65" s="609">
        <v>40</v>
      </c>
      <c r="K65" s="609">
        <v>30</v>
      </c>
      <c r="L65" s="609">
        <v>50</v>
      </c>
      <c r="M65" s="1368">
        <v>0.02</v>
      </c>
      <c r="O65" s="1324" t="s">
        <v>403</v>
      </c>
      <c r="P65" s="1325" t="s">
        <v>817</v>
      </c>
      <c r="Q65" s="1326">
        <f ca="1">C40+J29</f>
        <v>3450</v>
      </c>
      <c r="R65" s="1326" t="s">
        <v>818</v>
      </c>
    </row>
    <row r="66" spans="1:18" s="1291" customFormat="1" ht="16.5" thickBot="1">
      <c r="A66" s="927" t="s">
        <v>793</v>
      </c>
      <c r="B66" s="895" t="s">
        <v>728</v>
      </c>
      <c r="C66" s="21">
        <f ca="1">ROUND(C48*F66,2)</f>
        <v>0</v>
      </c>
      <c r="D66" s="909" t="s">
        <v>748</v>
      </c>
      <c r="E66" s="895" t="s">
        <v>712</v>
      </c>
      <c r="F66" s="304">
        <f t="shared" ca="1" si="0"/>
        <v>5.0000000000000001E-3</v>
      </c>
      <c r="O66" s="1324" t="s">
        <v>404</v>
      </c>
      <c r="P66" s="1325" t="s">
        <v>846</v>
      </c>
      <c r="Q66" s="1326">
        <f ca="1">L60</f>
        <v>0</v>
      </c>
      <c r="R66" s="1326" t="s">
        <v>869</v>
      </c>
    </row>
    <row r="67" spans="1:18" s="1291" customFormat="1" ht="16.5" thickBot="1">
      <c r="A67" s="902" t="s">
        <v>394</v>
      </c>
      <c r="B67" s="912" t="s">
        <v>752</v>
      </c>
      <c r="C67" s="308">
        <f ca="1">C48-C58</f>
        <v>-4</v>
      </c>
      <c r="D67" s="908" t="s">
        <v>753</v>
      </c>
      <c r="E67" s="913"/>
      <c r="F67" s="914"/>
      <c r="O67" s="1333" t="s">
        <v>405</v>
      </c>
      <c r="P67" s="1325" t="s">
        <v>850</v>
      </c>
      <c r="Q67" s="1369">
        <f ca="1">L51</f>
        <v>2090</v>
      </c>
      <c r="R67" s="1326" t="s">
        <v>870</v>
      </c>
    </row>
    <row r="68" spans="1:18" s="1291" customFormat="1" ht="16.5" thickBot="1">
      <c r="A68" s="892" t="s">
        <v>395</v>
      </c>
      <c r="B68" s="893" t="s">
        <v>774</v>
      </c>
      <c r="C68" s="293">
        <f ca="1">ROUND(C67*(1-((1+F70)/(1+F68))^F69)/(F68-F70),0)</f>
        <v>-56</v>
      </c>
      <c r="D68" s="910" t="s">
        <v>758</v>
      </c>
      <c r="E68" s="895" t="s">
        <v>759</v>
      </c>
      <c r="F68" s="304">
        <f ca="1">F40</f>
        <v>5.5E-2</v>
      </c>
      <c r="O68" s="1333" t="s">
        <v>406</v>
      </c>
      <c r="P68" s="1370" t="s">
        <v>871</v>
      </c>
      <c r="Q68" s="1326">
        <f ca="1">ROUND(Q69-Q70*Q71,0)</f>
        <v>128</v>
      </c>
      <c r="R68" s="1326" t="s">
        <v>414</v>
      </c>
    </row>
    <row r="69" spans="1:18" s="1291" customFormat="1" ht="13.5" thickBot="1">
      <c r="A69" s="896"/>
      <c r="B69" s="897"/>
      <c r="C69" s="298"/>
      <c r="D69" s="915" t="s">
        <v>762</v>
      </c>
      <c r="E69" s="895" t="s">
        <v>763</v>
      </c>
      <c r="F69" s="324">
        <f ca="1">F41</f>
        <v>27</v>
      </c>
      <c r="O69" s="1333" t="s">
        <v>411</v>
      </c>
      <c r="P69" s="1370" t="s">
        <v>872</v>
      </c>
      <c r="Q69" s="1326">
        <f ca="1">C39</f>
        <v>202</v>
      </c>
      <c r="R69" s="1326" t="s">
        <v>818</v>
      </c>
    </row>
    <row r="70" spans="1:18" s="1291" customFormat="1" ht="13.5" thickBot="1">
      <c r="A70" s="899"/>
      <c r="B70" s="900"/>
      <c r="C70" s="302"/>
      <c r="D70" s="911"/>
      <c r="E70" s="895" t="s">
        <v>766</v>
      </c>
      <c r="F70" s="990"/>
      <c r="O70" s="1333" t="s">
        <v>412</v>
      </c>
      <c r="P70" s="1370" t="s">
        <v>873</v>
      </c>
      <c r="Q70" s="1326">
        <f ca="1">C13</f>
        <v>1062</v>
      </c>
      <c r="R70" s="1326" t="s">
        <v>818</v>
      </c>
    </row>
    <row r="71" spans="1:18" s="1291" customFormat="1" ht="13.5" thickBot="1">
      <c r="A71" s="916" t="s">
        <v>396</v>
      </c>
      <c r="B71" s="917" t="s">
        <v>776</v>
      </c>
      <c r="C71" s="327">
        <f ca="1">ROUND(C68*10000/F71,0)</f>
        <v>-258</v>
      </c>
      <c r="D71" s="918" t="s">
        <v>777</v>
      </c>
      <c r="E71" s="919" t="s">
        <v>778</v>
      </c>
      <c r="F71" s="330">
        <f ca="1">F43</f>
        <v>2167.29</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74</v>
      </c>
      <c r="D75" s="1291"/>
      <c r="E75" s="1291"/>
      <c r="F75" s="1291"/>
      <c r="K75" s="1308"/>
      <c r="L75" s="1291"/>
      <c r="O75" s="1324" t="s">
        <v>409</v>
      </c>
      <c r="P75" s="1325" t="s">
        <v>838</v>
      </c>
      <c r="Q75" s="1326">
        <f ca="1">Q65+Q66</f>
        <v>3450</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0.63400000000000001</v>
      </c>
    </row>
    <row r="80" spans="1:18">
      <c r="B80" s="331" t="s">
        <v>800</v>
      </c>
      <c r="C80" s="266">
        <f ca="1">ROUND(C75/C39,3)</f>
        <v>0.36599999999999999</v>
      </c>
    </row>
    <row r="81" spans="2:3">
      <c r="B81" s="262" t="s">
        <v>801</v>
      </c>
      <c r="C81" s="230"/>
    </row>
    <row r="82" spans="2:3">
      <c r="B82" s="265" t="s">
        <v>802</v>
      </c>
      <c r="C82" s="267">
        <f ca="1">1-C83</f>
        <v>0.69199999999999995</v>
      </c>
    </row>
    <row r="83" spans="2:3">
      <c r="B83" s="265" t="s">
        <v>803</v>
      </c>
      <c r="C83" s="266">
        <f ca="1">ROUND(C13/C40,3)</f>
        <v>0.308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75E9D54B-06C8-4D91-8127-D15CB9FFFEEC}">
      <formula1>"在建（套用方法）,土地（套用方法）,——"</formula1>
    </dataValidation>
    <dataValidation type="list" allowBlank="1" showInputMessage="1" showErrorMessage="1" sqref="M10 F10 F53" xr:uid="{3D1C6515-02DB-44D1-BEFD-6B0E3949ADD6}">
      <formula1>"押一,押二,押三,自定义"</formula1>
    </dataValidation>
    <dataValidation type="list" allowBlank="1" showInputMessage="1" showErrorMessage="1" sqref="L55" xr:uid="{056DD932-3EA3-4660-B9F3-19BD4C2B9077}">
      <formula1>"比较法,基准地价,收益还原"</formula1>
    </dataValidation>
    <dataValidation type="list" allowBlank="1" showInputMessage="1" showErrorMessage="1" sqref="J56" xr:uid="{8E5B8FE2-991E-4DAA-B512-239891970AB5}">
      <formula1>估价范围判定</formula1>
    </dataValidation>
    <dataValidation type="list" allowBlank="1" showInputMessage="1" showErrorMessage="1" sqref="J48" xr:uid="{84F7E712-61FB-4E43-A474-5C2B01EE1FBD}">
      <formula1>"非生产用房,生产用房,受腐蚀的生产用房"</formula1>
    </dataValidation>
    <dataValidation type="list" allowBlank="1" showInputMessage="1" showErrorMessage="1" sqref="J47" xr:uid="{B01AADD4-6F7F-481C-ABBA-1E0DE1575F5A}">
      <formula1>"钢,钢混,砖混"</formula1>
    </dataValidation>
    <dataValidation type="list" allowBlank="1" showInputMessage="1" showErrorMessage="1" sqref="C1" xr:uid="{5079B5CB-6160-43DC-BA08-B80864E3828C}">
      <formula1>项目类型</formula1>
    </dataValidation>
    <dataValidation type="list" allowBlank="1" showInputMessage="1" showErrorMessage="1" sqref="D33 D61" xr:uid="{ABCD0B77-7474-468D-ADAD-CD88692F5E1A}">
      <formula1>"按租金收入计税,按房产原值计税,按票据"</formula1>
    </dataValidation>
    <dataValidation type="list" allowBlank="1" showInputMessage="1" showErrorMessage="1" sqref="K19" xr:uid="{23285B0F-D193-4D38-A245-CC48B32B177C}">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8" zoomScale="85" zoomScaleNormal="70" zoomScaleSheetLayoutView="85" workbookViewId="0">
      <selection activeCell="H3" sqref="H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673</v>
      </c>
      <c r="E1" s="3124" t="s">
        <v>3516</v>
      </c>
      <c r="F1" s="1734" t="s">
        <v>3517</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7.5</v>
      </c>
      <c r="C3" s="344" t="s">
        <v>1768</v>
      </c>
      <c r="D3" s="343">
        <f>IF(D1="",'数据-汇总表'!E3,SUMIF('数据-汇总表'!$C19:$C33,D1,'数据-汇总表'!$E19:$E33))</f>
        <v>598.61</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428" t="s">
        <v>1770</v>
      </c>
      <c r="D4" s="3429"/>
      <c r="E4" s="3430" t="s">
        <v>1771</v>
      </c>
      <c r="F4" s="3431"/>
      <c r="G4" s="3428" t="s">
        <v>1772</v>
      </c>
      <c r="H4" s="3429"/>
      <c r="I4" s="3428" t="s">
        <v>1773</v>
      </c>
      <c r="J4" s="3429"/>
      <c r="K4" s="537" t="s">
        <v>1774</v>
      </c>
      <c r="L4" s="2486"/>
      <c r="M4" s="2487"/>
      <c r="N4" s="2487"/>
      <c r="O4" s="2487"/>
      <c r="P4" s="3432" t="s">
        <v>1775</v>
      </c>
      <c r="Q4" s="3433"/>
      <c r="R4" s="3415" t="s">
        <v>1771</v>
      </c>
      <c r="S4" s="3416"/>
      <c r="T4" s="3415" t="s">
        <v>1772</v>
      </c>
      <c r="U4" s="3416"/>
      <c r="V4" s="3440" t="s">
        <v>1773</v>
      </c>
      <c r="W4" s="3440"/>
      <c r="X4" s="1264"/>
      <c r="Y4" s="3415" t="s">
        <v>1775</v>
      </c>
      <c r="Z4" s="3416"/>
      <c r="AA4" s="3410" t="s">
        <v>1771</v>
      </c>
      <c r="AB4" s="3440" t="s">
        <v>1772</v>
      </c>
      <c r="AC4" s="3410" t="s">
        <v>1773</v>
      </c>
    </row>
    <row r="5" spans="1:29" ht="15">
      <c r="A5" s="348"/>
      <c r="B5" s="349"/>
      <c r="C5" s="3421" t="s">
        <v>1673</v>
      </c>
      <c r="D5" s="3422"/>
      <c r="E5" s="3528" t="s">
        <v>3512</v>
      </c>
      <c r="F5" s="3420"/>
      <c r="G5" s="3529" t="s">
        <v>3513</v>
      </c>
      <c r="H5" s="3422"/>
      <c r="I5" s="3529" t="s">
        <v>3514</v>
      </c>
      <c r="J5" s="3422"/>
      <c r="K5" s="537"/>
      <c r="L5" s="2486"/>
      <c r="M5" s="2487"/>
      <c r="N5" s="2487"/>
      <c r="O5" s="2487"/>
      <c r="P5" s="3434"/>
      <c r="Q5" s="3435"/>
      <c r="R5" s="3417"/>
      <c r="S5" s="3418"/>
      <c r="T5" s="3417"/>
      <c r="U5" s="3418"/>
      <c r="V5" s="3440"/>
      <c r="W5" s="3440"/>
      <c r="X5" s="1264"/>
      <c r="Y5" s="3417"/>
      <c r="Z5" s="3418"/>
      <c r="AA5" s="3411"/>
      <c r="AB5" s="3440"/>
      <c r="AC5" s="3411"/>
    </row>
    <row r="6" spans="1:29" ht="15.75" thickBot="1">
      <c r="A6" s="350"/>
      <c r="B6" s="351"/>
      <c r="C6" s="3423" t="s">
        <v>1677</v>
      </c>
      <c r="D6" s="3424"/>
      <c r="E6" s="3425" t="s">
        <v>1677</v>
      </c>
      <c r="F6" s="3426"/>
      <c r="G6" s="3423" t="s">
        <v>1677</v>
      </c>
      <c r="H6" s="3424"/>
      <c r="I6" s="3423" t="s">
        <v>1677</v>
      </c>
      <c r="J6" s="3424"/>
      <c r="K6" s="537" t="s">
        <v>1678</v>
      </c>
      <c r="L6" s="2486"/>
      <c r="M6" s="2487"/>
      <c r="N6" s="2487"/>
      <c r="O6" s="2487"/>
      <c r="P6" s="3436"/>
      <c r="Q6" s="3437"/>
      <c r="R6" s="3417"/>
      <c r="S6" s="3418"/>
      <c r="T6" s="3438"/>
      <c r="U6" s="3439"/>
      <c r="V6" s="3440"/>
      <c r="W6" s="3440"/>
      <c r="X6" s="1264"/>
      <c r="Y6" s="3438"/>
      <c r="Z6" s="3439"/>
      <c r="AA6" s="3412"/>
      <c r="AB6" s="3440"/>
      <c r="AC6" s="3412"/>
    </row>
    <row r="7" spans="1:29" s="102" customFormat="1" ht="15.75" thickBot="1">
      <c r="A7" s="352" t="s">
        <v>1679</v>
      </c>
      <c r="B7" s="353"/>
      <c r="C7" s="354">
        <f>'数据-取费表'!B2</f>
        <v>45989</v>
      </c>
      <c r="D7" s="355">
        <v>100</v>
      </c>
      <c r="E7" s="356">
        <f>C7</f>
        <v>45989</v>
      </c>
      <c r="F7" s="357">
        <f>SUMIF(58:58,YEAR(E7)&amp;"-"&amp;MONTH(E7),59:59)</f>
        <v>100</v>
      </c>
      <c r="G7" s="356">
        <f>C7</f>
        <v>45989</v>
      </c>
      <c r="H7" s="355">
        <f>SUMIF(58:58,YEAR(G7)&amp;"-"&amp;MONTH(G7),59:59)</f>
        <v>100</v>
      </c>
      <c r="I7" s="356">
        <f>C7</f>
        <v>45989</v>
      </c>
      <c r="J7" s="355">
        <f>SUMIF(58:58,YEAR(I7)&amp;"-"&amp;MONTH(I7),59:59)</f>
        <v>100</v>
      </c>
      <c r="K7" s="38"/>
      <c r="L7" s="2488"/>
      <c r="M7" s="2439"/>
      <c r="N7" s="2439"/>
      <c r="O7" s="2439"/>
      <c r="P7" s="3413" t="s">
        <v>1680</v>
      </c>
      <c r="Q7" s="3441"/>
      <c r="R7" s="663" t="s">
        <v>14</v>
      </c>
      <c r="S7" s="664">
        <f t="shared" ref="S7:S15" si="0">F7</f>
        <v>100</v>
      </c>
      <c r="T7" s="663" t="s">
        <v>14</v>
      </c>
      <c r="U7" s="664">
        <f t="shared" ref="U7:U15" si="1">H7</f>
        <v>100</v>
      </c>
      <c r="V7" s="663" t="s">
        <v>14</v>
      </c>
      <c r="W7" s="664">
        <f t="shared" ref="W7:W15" si="2">J7</f>
        <v>100</v>
      </c>
      <c r="X7" s="665"/>
      <c r="Y7" s="3413" t="s">
        <v>1680</v>
      </c>
      <c r="Z7" s="3414"/>
      <c r="AA7" s="50">
        <f>D7/F7</f>
        <v>1</v>
      </c>
      <c r="AB7" s="50">
        <f>D7/H7</f>
        <v>1</v>
      </c>
      <c r="AC7" s="50">
        <f>D7/J7</f>
        <v>1</v>
      </c>
    </row>
    <row r="8" spans="1:29" s="102" customFormat="1" ht="15.75" thickBot="1">
      <c r="A8" s="352" t="s">
        <v>1681</v>
      </c>
      <c r="B8" s="353"/>
      <c r="C8" s="358" t="s">
        <v>3510</v>
      </c>
      <c r="D8" s="355">
        <v>100</v>
      </c>
      <c r="E8" s="358" t="s">
        <v>3511</v>
      </c>
      <c r="F8" s="357">
        <f>SUMIF(61:61,E8,62:62)-SUMIF(61:61,C8,62:62)+100</f>
        <v>102</v>
      </c>
      <c r="G8" s="358" t="s">
        <v>3511</v>
      </c>
      <c r="H8" s="355">
        <f>SUMIF(61:61,G8,62:62)-SUMIF(61:61,C8,62:62)+100</f>
        <v>102</v>
      </c>
      <c r="I8" s="358" t="s">
        <v>3511</v>
      </c>
      <c r="J8" s="355">
        <f>SUMIF(61:61,I8,62:62)-SUMIF(61:61,C8,62:62)+100</f>
        <v>102</v>
      </c>
      <c r="K8" s="38"/>
      <c r="L8" s="2488"/>
      <c r="M8" s="2439"/>
      <c r="N8" s="2439"/>
      <c r="O8" s="2439"/>
      <c r="P8" s="3413" t="s">
        <v>1683</v>
      </c>
      <c r="Q8" s="3414"/>
      <c r="R8" s="663" t="s">
        <v>14</v>
      </c>
      <c r="S8" s="664">
        <f t="shared" si="0"/>
        <v>102</v>
      </c>
      <c r="T8" s="663" t="s">
        <v>14</v>
      </c>
      <c r="U8" s="664">
        <f t="shared" si="1"/>
        <v>102</v>
      </c>
      <c r="V8" s="663" t="s">
        <v>14</v>
      </c>
      <c r="W8" s="664">
        <f t="shared" si="2"/>
        <v>102</v>
      </c>
      <c r="X8" s="665"/>
      <c r="Y8" s="3413" t="s">
        <v>1683</v>
      </c>
      <c r="Z8" s="3414"/>
      <c r="AA8" s="50">
        <f t="shared" ref="AA8:AA46" si="3">D8/F8</f>
        <v>0.98039215686274506</v>
      </c>
      <c r="AB8" s="50">
        <f t="shared" ref="AB8:AB46" si="4">D8/H8</f>
        <v>0.98039215686274506</v>
      </c>
      <c r="AC8" s="50">
        <f t="shared" ref="AC8:AC46" si="5">D8/J8</f>
        <v>0.98039215686274506</v>
      </c>
    </row>
    <row r="9" spans="1:29" s="102" customFormat="1" ht="15" thickBot="1">
      <c r="A9" s="359" t="s">
        <v>1684</v>
      </c>
      <c r="B9" s="60" t="s">
        <v>1685</v>
      </c>
      <c r="C9" s="3530" t="s">
        <v>3515</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427" t="s">
        <v>1686</v>
      </c>
      <c r="Q9" s="530"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50">
        <f t="shared" si="5"/>
        <v>1</v>
      </c>
    </row>
    <row r="10" spans="1:29" s="366" customFormat="1" ht="27" hidden="1">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27"/>
      <c r="Q10" s="530"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427"/>
      <c r="Q11" s="530" t="str">
        <f t="shared" si="6"/>
        <v>容积率</v>
      </c>
      <c r="R11" s="663" t="s">
        <v>14</v>
      </c>
      <c r="S11" s="664">
        <f t="shared" si="0"/>
        <v>100</v>
      </c>
      <c r="T11" s="663" t="s">
        <v>14</v>
      </c>
      <c r="U11" s="664">
        <f t="shared" si="1"/>
        <v>100</v>
      </c>
      <c r="V11" s="663" t="s">
        <v>14</v>
      </c>
      <c r="W11" s="664">
        <f t="shared" si="2"/>
        <v>100</v>
      </c>
      <c r="X11" s="665"/>
      <c r="Y11" s="3338"/>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27"/>
      <c r="Q12" s="530">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27"/>
      <c r="Q13" s="530">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27"/>
      <c r="Q14" s="530">
        <f t="shared" si="6"/>
        <v>111</v>
      </c>
      <c r="R14" s="663" t="s">
        <v>14</v>
      </c>
      <c r="S14" s="664">
        <f t="shared" si="0"/>
        <v>100</v>
      </c>
      <c r="T14" s="663" t="s">
        <v>14</v>
      </c>
      <c r="U14" s="664">
        <f t="shared" si="1"/>
        <v>100</v>
      </c>
      <c r="V14" s="663" t="s">
        <v>14</v>
      </c>
      <c r="W14" s="664">
        <f t="shared" si="2"/>
        <v>100</v>
      </c>
      <c r="X14" s="665"/>
      <c r="Y14" s="3338"/>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103</v>
      </c>
      <c r="G15" s="383"/>
      <c r="H15" s="380">
        <f>SUMIF(76:76,G16,77:77)-SUMIF(76:76,C16,77:77)+100</f>
        <v>100</v>
      </c>
      <c r="I15" s="381"/>
      <c r="J15" s="380">
        <f>SUMIF(76:76,I16,77:77)-SUMIF(76:76,C16,77:77)+100</f>
        <v>103</v>
      </c>
      <c r="K15" s="540">
        <v>3</v>
      </c>
      <c r="L15" s="2492"/>
      <c r="M15" s="2487"/>
      <c r="N15" s="2487"/>
      <c r="O15" s="2487"/>
      <c r="P15" s="3453" t="s">
        <v>1691</v>
      </c>
      <c r="Q15" s="1262" t="str">
        <f t="shared" si="6"/>
        <v>商业繁华度</v>
      </c>
      <c r="R15" s="666" t="s">
        <v>14</v>
      </c>
      <c r="S15" s="667">
        <f t="shared" si="0"/>
        <v>103</v>
      </c>
      <c r="T15" s="666" t="s">
        <v>14</v>
      </c>
      <c r="U15" s="667">
        <f t="shared" si="1"/>
        <v>100</v>
      </c>
      <c r="V15" s="666" t="s">
        <v>14</v>
      </c>
      <c r="W15" s="667">
        <f t="shared" si="2"/>
        <v>103</v>
      </c>
      <c r="X15" s="1264"/>
      <c r="Y15" s="3446" t="s">
        <v>1691</v>
      </c>
      <c r="Z15" s="1263" t="str">
        <f t="shared" si="7"/>
        <v>商业繁华度</v>
      </c>
      <c r="AA15" s="1263">
        <f t="shared" si="3"/>
        <v>0.970873786407767</v>
      </c>
      <c r="AB15" s="1263">
        <f t="shared" si="4"/>
        <v>1</v>
      </c>
      <c r="AC15" s="1263">
        <f t="shared" si="5"/>
        <v>0.970873786407767</v>
      </c>
    </row>
    <row r="16" spans="1:29" ht="15">
      <c r="A16" s="367"/>
      <c r="B16" s="385"/>
      <c r="C16" s="386" t="s">
        <v>3455</v>
      </c>
      <c r="D16" s="387"/>
      <c r="E16" s="386" t="s">
        <v>3456</v>
      </c>
      <c r="F16" s="388"/>
      <c r="G16" s="386" t="s">
        <v>3455</v>
      </c>
      <c r="H16" s="389"/>
      <c r="I16" s="386" t="s">
        <v>3456</v>
      </c>
      <c r="J16" s="387"/>
      <c r="K16" s="541"/>
      <c r="L16" s="2492"/>
      <c r="M16" s="2487"/>
      <c r="N16" s="2487"/>
      <c r="O16" s="2487"/>
      <c r="P16" s="3454"/>
      <c r="Q16" s="1262"/>
      <c r="R16" s="666"/>
      <c r="S16" s="667"/>
      <c r="T16" s="666"/>
      <c r="U16" s="667"/>
      <c r="V16" s="666"/>
      <c r="W16" s="667"/>
      <c r="X16" s="1264"/>
      <c r="Y16" s="3447"/>
      <c r="Z16" s="1263"/>
      <c r="AA16" s="1263">
        <v>1</v>
      </c>
      <c r="AB16" s="1263">
        <v>1</v>
      </c>
      <c r="AC16" s="1263">
        <v>1</v>
      </c>
    </row>
    <row r="17" spans="1:29" ht="15">
      <c r="A17" s="367"/>
      <c r="B17" s="390" t="s">
        <v>1259</v>
      </c>
      <c r="C17" s="1753">
        <f>估价对象房地状况!C6</f>
        <v>0</v>
      </c>
      <c r="D17" s="389">
        <v>100</v>
      </c>
      <c r="E17" s="391"/>
      <c r="F17" s="392">
        <f>SUMIF(78:78,E18,79:79)-SUMIF(78:78,C18,79:79)+100</f>
        <v>102</v>
      </c>
      <c r="G17" s="393"/>
      <c r="H17" s="394">
        <f>SUMIF(78:78,G18,79:79)-SUMIF(78:78,C18,79:79)+100</f>
        <v>100</v>
      </c>
      <c r="I17" s="391"/>
      <c r="J17" s="394">
        <f>SUMIF(78:78,I18,79:79)-SUMIF(78:78,C18,79:79)+100</f>
        <v>100</v>
      </c>
      <c r="K17" s="540">
        <v>2</v>
      </c>
      <c r="L17" s="2492"/>
      <c r="M17" s="2487"/>
      <c r="N17" s="2487"/>
      <c r="O17" s="2487"/>
      <c r="P17" s="3454"/>
      <c r="Q17" s="1262" t="str">
        <f>B17</f>
        <v>交通便捷度</v>
      </c>
      <c r="R17" s="666" t="s">
        <v>14</v>
      </c>
      <c r="S17" s="667">
        <f>F17</f>
        <v>102</v>
      </c>
      <c r="T17" s="666" t="s">
        <v>14</v>
      </c>
      <c r="U17" s="667">
        <f>H17</f>
        <v>100</v>
      </c>
      <c r="V17" s="666" t="s">
        <v>14</v>
      </c>
      <c r="W17" s="667">
        <f>J17</f>
        <v>100</v>
      </c>
      <c r="X17" s="1264"/>
      <c r="Y17" s="3447"/>
      <c r="Z17" s="1263" t="str">
        <f>Q17</f>
        <v>交通便捷度</v>
      </c>
      <c r="AA17" s="1263">
        <f t="shared" si="3"/>
        <v>0.98039215686274506</v>
      </c>
      <c r="AB17" s="1263">
        <f t="shared" si="4"/>
        <v>1</v>
      </c>
      <c r="AC17" s="1263">
        <f t="shared" si="5"/>
        <v>1</v>
      </c>
    </row>
    <row r="18" spans="1:29" ht="15">
      <c r="A18" s="367"/>
      <c r="B18" s="395"/>
      <c r="C18" s="1754" t="s">
        <v>3455</v>
      </c>
      <c r="D18" s="389"/>
      <c r="E18" s="1756" t="s">
        <v>3456</v>
      </c>
      <c r="F18" s="392"/>
      <c r="G18" s="1755" t="s">
        <v>3455</v>
      </c>
      <c r="H18" s="387"/>
      <c r="I18" s="1756" t="s">
        <v>3455</v>
      </c>
      <c r="J18" s="387"/>
      <c r="K18" s="541"/>
      <c r="L18" s="2492"/>
      <c r="M18" s="2487"/>
      <c r="N18" s="2487"/>
      <c r="O18" s="2487"/>
      <c r="P18" s="3454"/>
      <c r="Q18" s="1262"/>
      <c r="R18" s="666"/>
      <c r="S18" s="667"/>
      <c r="T18" s="666"/>
      <c r="U18" s="667"/>
      <c r="V18" s="666"/>
      <c r="W18" s="667"/>
      <c r="X18" s="1264"/>
      <c r="Y18" s="3447"/>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54"/>
      <c r="Q19" s="1262" t="str">
        <f>B19</f>
        <v>公共配套设施</v>
      </c>
      <c r="R19" s="666" t="s">
        <v>14</v>
      </c>
      <c r="S19" s="667">
        <f>F19</f>
        <v>100</v>
      </c>
      <c r="T19" s="666" t="s">
        <v>14</v>
      </c>
      <c r="U19" s="667">
        <f>H19</f>
        <v>100</v>
      </c>
      <c r="V19" s="666" t="s">
        <v>14</v>
      </c>
      <c r="W19" s="667">
        <f>J19</f>
        <v>100</v>
      </c>
      <c r="X19" s="1264"/>
      <c r="Y19" s="3447"/>
      <c r="Z19" s="1263" t="str">
        <f>Q19</f>
        <v>公共配套设施</v>
      </c>
      <c r="AA19" s="1263">
        <f t="shared" si="3"/>
        <v>1</v>
      </c>
      <c r="AB19" s="1263">
        <f t="shared" si="4"/>
        <v>1</v>
      </c>
      <c r="AC19" s="1263">
        <f t="shared" si="5"/>
        <v>1</v>
      </c>
    </row>
    <row r="20" spans="1:29" ht="15">
      <c r="A20" s="367"/>
      <c r="B20" s="395"/>
      <c r="C20" s="386" t="s">
        <v>3455</v>
      </c>
      <c r="D20" s="387"/>
      <c r="E20" s="386" t="s">
        <v>3455</v>
      </c>
      <c r="F20" s="388"/>
      <c r="G20" s="386" t="s">
        <v>3455</v>
      </c>
      <c r="H20" s="387"/>
      <c r="I20" s="386" t="s">
        <v>3455</v>
      </c>
      <c r="J20" s="387"/>
      <c r="K20" s="541"/>
      <c r="L20" s="2492"/>
      <c r="M20" s="2487"/>
      <c r="N20" s="2487"/>
      <c r="O20" s="2487"/>
      <c r="P20" s="3454"/>
      <c r="Q20" s="1262"/>
      <c r="R20" s="666"/>
      <c r="S20" s="667"/>
      <c r="T20" s="666"/>
      <c r="U20" s="667"/>
      <c r="V20" s="666"/>
      <c r="W20" s="667"/>
      <c r="X20" s="1264"/>
      <c r="Y20" s="3447"/>
      <c r="Z20" s="1263"/>
      <c r="AA20" s="1263">
        <v>1</v>
      </c>
      <c r="AB20" s="1263">
        <v>1</v>
      </c>
      <c r="AC20" s="1263">
        <v>1</v>
      </c>
    </row>
    <row r="21" spans="1:29" ht="15">
      <c r="A21" s="367"/>
      <c r="B21" s="585"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54"/>
      <c r="Q21" s="1262" t="str">
        <f>B21</f>
        <v>基础设施水平</v>
      </c>
      <c r="R21" s="666" t="s">
        <v>14</v>
      </c>
      <c r="S21" s="667">
        <f>F21</f>
        <v>100</v>
      </c>
      <c r="T21" s="666" t="s">
        <v>14</v>
      </c>
      <c r="U21" s="667">
        <f>H21</f>
        <v>100</v>
      </c>
      <c r="V21" s="666" t="s">
        <v>14</v>
      </c>
      <c r="W21" s="667">
        <f>J21</f>
        <v>100</v>
      </c>
      <c r="X21" s="1264"/>
      <c r="Y21" s="3447"/>
      <c r="Z21" s="1263" t="str">
        <f>Q21</f>
        <v>基础设施水平</v>
      </c>
      <c r="AA21" s="1263">
        <f t="shared" ref="AA21" si="8">D21/F21</f>
        <v>1</v>
      </c>
      <c r="AB21" s="1263">
        <f t="shared" ref="AB21" si="9">D21/H21</f>
        <v>1</v>
      </c>
      <c r="AC21" s="1263">
        <f t="shared" ref="AC21" si="10">D21/J21</f>
        <v>1</v>
      </c>
    </row>
    <row r="22" spans="1:29" ht="15">
      <c r="A22" s="367"/>
      <c r="B22" s="585"/>
      <c r="C22" s="1754" t="s">
        <v>3495</v>
      </c>
      <c r="D22" s="387"/>
      <c r="E22" s="1754" t="s">
        <v>3495</v>
      </c>
      <c r="F22" s="388"/>
      <c r="G22" s="1754" t="s">
        <v>3495</v>
      </c>
      <c r="H22" s="387"/>
      <c r="I22" s="1754" t="s">
        <v>3495</v>
      </c>
      <c r="J22" s="387"/>
      <c r="K22" s="1063"/>
      <c r="L22" s="2492"/>
      <c r="M22" s="2487"/>
      <c r="N22" s="2487"/>
      <c r="O22" s="2487"/>
      <c r="P22" s="3454"/>
      <c r="Q22" s="1262"/>
      <c r="R22" s="666"/>
      <c r="S22" s="667"/>
      <c r="T22" s="666"/>
      <c r="U22" s="667"/>
      <c r="V22" s="666"/>
      <c r="W22" s="667"/>
      <c r="X22" s="1264"/>
      <c r="Y22" s="3447"/>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54"/>
      <c r="Q23" s="1262" t="str">
        <f>B23</f>
        <v>自然及人文环境</v>
      </c>
      <c r="R23" s="666" t="s">
        <v>14</v>
      </c>
      <c r="S23" s="667">
        <f>F23</f>
        <v>100</v>
      </c>
      <c r="T23" s="666" t="s">
        <v>14</v>
      </c>
      <c r="U23" s="667">
        <f>H23</f>
        <v>100</v>
      </c>
      <c r="V23" s="666" t="s">
        <v>14</v>
      </c>
      <c r="W23" s="667">
        <f>J23</f>
        <v>100</v>
      </c>
      <c r="X23" s="1264"/>
      <c r="Y23" s="3447"/>
      <c r="Z23" s="1263" t="str">
        <f>Q23</f>
        <v>自然及人文环境</v>
      </c>
      <c r="AA23" s="1263">
        <f t="shared" si="3"/>
        <v>1</v>
      </c>
      <c r="AB23" s="1263">
        <f t="shared" si="4"/>
        <v>1</v>
      </c>
      <c r="AC23" s="1263">
        <f t="shared" si="5"/>
        <v>1</v>
      </c>
    </row>
    <row r="24" spans="1:29" ht="15">
      <c r="A24" s="367"/>
      <c r="B24" s="395"/>
      <c r="C24" s="386" t="s">
        <v>3455</v>
      </c>
      <c r="D24" s="387"/>
      <c r="E24" s="386" t="s">
        <v>3455</v>
      </c>
      <c r="F24" s="388"/>
      <c r="G24" s="386" t="s">
        <v>3455</v>
      </c>
      <c r="H24" s="387"/>
      <c r="I24" s="386" t="s">
        <v>3455</v>
      </c>
      <c r="J24" s="387"/>
      <c r="K24" s="541"/>
      <c r="L24" s="2492"/>
      <c r="M24" s="2487"/>
      <c r="N24" s="2487"/>
      <c r="O24" s="2487"/>
      <c r="P24" s="3454"/>
      <c r="Q24" s="1262"/>
      <c r="R24" s="666"/>
      <c r="S24" s="667"/>
      <c r="T24" s="666"/>
      <c r="U24" s="667"/>
      <c r="V24" s="666"/>
      <c r="W24" s="667"/>
      <c r="X24" s="1264"/>
      <c r="Y24" s="3447"/>
      <c r="Z24" s="1263"/>
      <c r="AA24" s="1263">
        <v>1</v>
      </c>
      <c r="AB24" s="1263">
        <v>1</v>
      </c>
      <c r="AC24" s="1263">
        <v>1</v>
      </c>
    </row>
    <row r="25" spans="1:29" ht="15">
      <c r="A25" s="367"/>
      <c r="B25" s="364" t="s">
        <v>1780</v>
      </c>
      <c r="C25" s="542" t="s">
        <v>3476</v>
      </c>
      <c r="D25" s="374">
        <v>100</v>
      </c>
      <c r="E25" s="542" t="s">
        <v>3476</v>
      </c>
      <c r="F25" s="400">
        <f>SUMIF(86:86,E25,87:87)-SUMIF(86:86,C25,87:87)+100</f>
        <v>100</v>
      </c>
      <c r="G25" s="542" t="s">
        <v>3476</v>
      </c>
      <c r="H25" s="374">
        <f>SUMIF(86:86,G25,87:87)-SUMIF(86:86,C25,87:87)+100</f>
        <v>100</v>
      </c>
      <c r="I25" s="542" t="s">
        <v>3476</v>
      </c>
      <c r="J25" s="374">
        <f>SUMIF(86:86,I25,87:87)-SUMIF(86:86,C25,87:87)+100</f>
        <v>100</v>
      </c>
      <c r="K25" s="538">
        <v>2</v>
      </c>
      <c r="L25" s="2492"/>
      <c r="M25" s="2487"/>
      <c r="N25" s="2487"/>
      <c r="O25" s="2487"/>
      <c r="P25" s="3454"/>
      <c r="Q25" s="1262" t="str">
        <f t="shared" ref="Q25:Q46" si="11">B25</f>
        <v>临街状况</v>
      </c>
      <c r="R25" s="666" t="s">
        <v>14</v>
      </c>
      <c r="S25" s="667">
        <f>F25</f>
        <v>100</v>
      </c>
      <c r="T25" s="666" t="s">
        <v>14</v>
      </c>
      <c r="U25" s="667">
        <f>H25</f>
        <v>100</v>
      </c>
      <c r="V25" s="666" t="s">
        <v>14</v>
      </c>
      <c r="W25" s="667">
        <f>J25</f>
        <v>100</v>
      </c>
      <c r="X25" s="1264"/>
      <c r="Y25" s="3447"/>
      <c r="Z25" s="1263" t="str">
        <f>Q25</f>
        <v>临街状况</v>
      </c>
      <c r="AA25" s="1263">
        <f t="shared" si="3"/>
        <v>1</v>
      </c>
      <c r="AB25" s="1263">
        <f t="shared" si="4"/>
        <v>1</v>
      </c>
      <c r="AC25" s="1263">
        <f t="shared" si="5"/>
        <v>1</v>
      </c>
    </row>
    <row r="26" spans="1:29" ht="15">
      <c r="A26" s="367"/>
      <c r="B26" s="1065" t="s">
        <v>1781</v>
      </c>
      <c r="C26" s="3527" t="s">
        <v>3503</v>
      </c>
      <c r="D26" s="374">
        <v>100</v>
      </c>
      <c r="E26" s="3527" t="s">
        <v>3503</v>
      </c>
      <c r="F26" s="400">
        <f>SUMIF(88:88,E26,89:89)-SUMIF(88:88,C26,89:89)+100</f>
        <v>100</v>
      </c>
      <c r="G26" s="3527" t="s">
        <v>3503</v>
      </c>
      <c r="H26" s="374">
        <f>SUMIF(88:88,G26,89:89)-SUMIF(88:88,C26,89:89)+100</f>
        <v>100</v>
      </c>
      <c r="I26" s="3527" t="s">
        <v>3503</v>
      </c>
      <c r="J26" s="374">
        <f>SUMIF(88:88,I26,89:89)-SUMIF(88:88,C26,89:89)+100</f>
        <v>100</v>
      </c>
      <c r="K26" s="539"/>
      <c r="L26" s="2492"/>
      <c r="M26" s="2487"/>
      <c r="N26" s="2487"/>
      <c r="O26" s="2487"/>
      <c r="P26" s="3454"/>
      <c r="Q26" s="1262" t="str">
        <f t="shared" si="11"/>
        <v>平面位置/可视性</v>
      </c>
      <c r="R26" s="666" t="s">
        <v>14</v>
      </c>
      <c r="S26" s="667">
        <f>F26</f>
        <v>100</v>
      </c>
      <c r="T26" s="666" t="s">
        <v>14</v>
      </c>
      <c r="U26" s="667">
        <f>H26</f>
        <v>100</v>
      </c>
      <c r="V26" s="666" t="s">
        <v>14</v>
      </c>
      <c r="W26" s="667">
        <f>J26</f>
        <v>100</v>
      </c>
      <c r="X26" s="1264"/>
      <c r="Y26" s="3447"/>
      <c r="Z26" s="1263" t="str">
        <f>Q26</f>
        <v>平面位置/可视性</v>
      </c>
      <c r="AA26" s="1263">
        <f t="shared" si="3"/>
        <v>1</v>
      </c>
      <c r="AB26" s="1263">
        <f t="shared" si="4"/>
        <v>1</v>
      </c>
      <c r="AC26" s="1263">
        <f t="shared" si="5"/>
        <v>1</v>
      </c>
    </row>
    <row r="27" spans="1:29" s="102" customFormat="1" ht="15">
      <c r="A27" s="370"/>
      <c r="B27" s="390" t="s">
        <v>1782</v>
      </c>
      <c r="C27" s="1806" t="s">
        <v>3481</v>
      </c>
      <c r="D27" s="401">
        <v>100</v>
      </c>
      <c r="E27" s="1806" t="s">
        <v>3480</v>
      </c>
      <c r="F27" s="395">
        <f>SUMIF(90:90,E27,91:91)-SUMIF(90:90,C27,91:91)+100</f>
        <v>102</v>
      </c>
      <c r="G27" s="1806" t="s">
        <v>3481</v>
      </c>
      <c r="H27" s="401">
        <f>SUMIF(90:90,G27,91:91)-SUMIF(90:90,C27,91:91)+100</f>
        <v>100</v>
      </c>
      <c r="I27" s="1806" t="s">
        <v>3480</v>
      </c>
      <c r="J27" s="401">
        <f>SUMIF(90:90,I27,91:91)-SUMIF(90:90,C27,91:91)+100</f>
        <v>102</v>
      </c>
      <c r="K27" s="538">
        <v>2</v>
      </c>
      <c r="L27" s="2488"/>
      <c r="M27" s="2439"/>
      <c r="N27" s="2439"/>
      <c r="O27" s="2439"/>
      <c r="P27" s="3454"/>
      <c r="Q27" s="530" t="str">
        <f t="shared" si="11"/>
        <v>人流量</v>
      </c>
      <c r="R27" s="663" t="s">
        <v>14</v>
      </c>
      <c r="S27" s="664">
        <f>F27</f>
        <v>102</v>
      </c>
      <c r="T27" s="663" t="s">
        <v>14</v>
      </c>
      <c r="U27" s="664">
        <f>H27</f>
        <v>100</v>
      </c>
      <c r="V27" s="663" t="s">
        <v>14</v>
      </c>
      <c r="W27" s="664">
        <f>J27</f>
        <v>102</v>
      </c>
      <c r="X27" s="665"/>
      <c r="Y27" s="3447"/>
      <c r="Z27" s="50" t="str">
        <f>Q27</f>
        <v>人流量</v>
      </c>
      <c r="AA27" s="1263">
        <f>D27/F27</f>
        <v>0.98039215686274506</v>
      </c>
      <c r="AB27" s="1263">
        <f>D27/H27</f>
        <v>1</v>
      </c>
      <c r="AC27" s="1263">
        <f>D27/J27</f>
        <v>0.98039215686274506</v>
      </c>
    </row>
    <row r="28" spans="1:29" ht="15.75" thickBot="1">
      <c r="A28" s="367"/>
      <c r="B28" s="364" t="s">
        <v>1783</v>
      </c>
      <c r="C28" s="542" t="s">
        <v>3485</v>
      </c>
      <c r="D28" s="374">
        <v>100</v>
      </c>
      <c r="E28" s="542" t="s">
        <v>3485</v>
      </c>
      <c r="F28" s="400">
        <f>SUMIF(92:92,E28,93:93)-SUMIF(92:92,C28,93:93)+100</f>
        <v>100</v>
      </c>
      <c r="G28" s="542" t="s">
        <v>3485</v>
      </c>
      <c r="H28" s="374">
        <f>SUMIF(92:92,G28,93:93)-SUMIF(92:92,C28,93:93)+100</f>
        <v>100</v>
      </c>
      <c r="I28" s="542" t="s">
        <v>3485</v>
      </c>
      <c r="J28" s="374">
        <f>SUMIF(92:92,I28,93:93)-SUMIF(92:92,C28,93:93)+100</f>
        <v>100</v>
      </c>
      <c r="K28" s="539"/>
      <c r="L28" s="2492"/>
      <c r="M28" s="2487"/>
      <c r="N28" s="2487"/>
      <c r="O28" s="2487"/>
      <c r="P28" s="345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47"/>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54"/>
      <c r="Q29" s="1262">
        <f t="shared" si="11"/>
        <v>111</v>
      </c>
      <c r="R29" s="666" t="s">
        <v>14</v>
      </c>
      <c r="S29" s="667">
        <f t="shared" si="12"/>
        <v>100</v>
      </c>
      <c r="T29" s="666" t="s">
        <v>14</v>
      </c>
      <c r="U29" s="667">
        <f t="shared" si="13"/>
        <v>100</v>
      </c>
      <c r="V29" s="666" t="s">
        <v>14</v>
      </c>
      <c r="W29" s="667">
        <f t="shared" si="14"/>
        <v>100</v>
      </c>
      <c r="X29" s="1264"/>
      <c r="Y29" s="3447"/>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54"/>
      <c r="Q30" s="1262">
        <f t="shared" si="11"/>
        <v>111</v>
      </c>
      <c r="R30" s="666" t="s">
        <v>14</v>
      </c>
      <c r="S30" s="667">
        <f t="shared" si="12"/>
        <v>100</v>
      </c>
      <c r="T30" s="666" t="s">
        <v>14</v>
      </c>
      <c r="U30" s="667">
        <f t="shared" si="13"/>
        <v>100</v>
      </c>
      <c r="V30" s="666" t="s">
        <v>14</v>
      </c>
      <c r="W30" s="667">
        <f t="shared" si="14"/>
        <v>100</v>
      </c>
      <c r="X30" s="1264"/>
      <c r="Y30" s="3447"/>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54"/>
      <c r="Q31" s="1262">
        <f t="shared" si="11"/>
        <v>111</v>
      </c>
      <c r="R31" s="666" t="s">
        <v>14</v>
      </c>
      <c r="S31" s="667">
        <f t="shared" si="12"/>
        <v>100</v>
      </c>
      <c r="T31" s="666" t="s">
        <v>14</v>
      </c>
      <c r="U31" s="667">
        <f t="shared" si="13"/>
        <v>100</v>
      </c>
      <c r="V31" s="666" t="s">
        <v>14</v>
      </c>
      <c r="W31" s="667">
        <f t="shared" si="14"/>
        <v>100</v>
      </c>
      <c r="X31" s="1264"/>
      <c r="Y31" s="3447"/>
      <c r="Z31" s="1263">
        <f t="shared" si="15"/>
        <v>111</v>
      </c>
      <c r="AA31" s="1263">
        <f t="shared" si="3"/>
        <v>1</v>
      </c>
      <c r="AB31" s="1263">
        <f t="shared" si="4"/>
        <v>1</v>
      </c>
      <c r="AC31" s="1263">
        <f t="shared" si="5"/>
        <v>1</v>
      </c>
    </row>
    <row r="32" spans="1:29" ht="15">
      <c r="A32" s="379" t="s">
        <v>1694</v>
      </c>
      <c r="B32" s="60" t="s">
        <v>1784</v>
      </c>
      <c r="C32" s="1763" t="s">
        <v>3491</v>
      </c>
      <c r="D32" s="405">
        <v>100</v>
      </c>
      <c r="E32" s="1763" t="s">
        <v>3490</v>
      </c>
      <c r="F32" s="400">
        <f>SUMIF(100:100,E32,101:101)-SUMIF(100:100,C32,101:101)+100</f>
        <v>102</v>
      </c>
      <c r="G32" s="1763" t="s">
        <v>3490</v>
      </c>
      <c r="H32" s="374">
        <f>SUMIF(100:100,G32,101:101)-SUMIF(100:100,C32,101:101)+100</f>
        <v>102</v>
      </c>
      <c r="I32" s="1763" t="s">
        <v>3504</v>
      </c>
      <c r="J32" s="405">
        <f>SUMIF(100:100,I32,101:101)-SUMIF(100:100,C32,101:101)+100</f>
        <v>104</v>
      </c>
      <c r="K32" s="538">
        <v>2</v>
      </c>
      <c r="L32" s="2492"/>
      <c r="M32" s="2487"/>
      <c r="N32" s="2487"/>
      <c r="O32" s="2487"/>
      <c r="P32" s="3448" t="s">
        <v>1696</v>
      </c>
      <c r="Q32" s="1262" t="str">
        <f t="shared" si="11"/>
        <v>商业类型</v>
      </c>
      <c r="R32" s="666" t="s">
        <v>14</v>
      </c>
      <c r="S32" s="667">
        <f t="shared" si="12"/>
        <v>102</v>
      </c>
      <c r="T32" s="666" t="s">
        <v>14</v>
      </c>
      <c r="U32" s="667">
        <f t="shared" si="13"/>
        <v>102</v>
      </c>
      <c r="V32" s="666" t="s">
        <v>14</v>
      </c>
      <c r="W32" s="667">
        <f t="shared" si="14"/>
        <v>104</v>
      </c>
      <c r="X32" s="1264"/>
      <c r="Y32" s="3451" t="s">
        <v>1696</v>
      </c>
      <c r="Z32" s="1263" t="str">
        <f t="shared" si="15"/>
        <v>商业类型</v>
      </c>
      <c r="AA32" s="1263">
        <f t="shared" si="3"/>
        <v>0.98039215686274506</v>
      </c>
      <c r="AB32" s="1263">
        <f t="shared" si="4"/>
        <v>0.98039215686274506</v>
      </c>
      <c r="AC32" s="1263">
        <f t="shared" si="5"/>
        <v>0.96153846153846156</v>
      </c>
    </row>
    <row r="33" spans="1:29" s="408" customFormat="1" ht="15">
      <c r="A33" s="406"/>
      <c r="B33" s="364" t="s">
        <v>1697</v>
      </c>
      <c r="C33" s="407">
        <f>'数据-基础表'!I13</f>
        <v>598.61</v>
      </c>
      <c r="D33" s="119">
        <v>100</v>
      </c>
      <c r="E33" s="369">
        <v>133.93</v>
      </c>
      <c r="F33" s="364">
        <f>LOOKUP(E33,103:103,104:104)-LOOKUP(C33,103:103,104:104)+100</f>
        <v>106</v>
      </c>
      <c r="G33" s="368">
        <v>144.75</v>
      </c>
      <c r="H33" s="119">
        <f>LOOKUP(G33,103:103,104:104)-LOOKUP(C33,103:103,104:104)+100</f>
        <v>106</v>
      </c>
      <c r="I33" s="368">
        <v>298</v>
      </c>
      <c r="J33" s="119">
        <f>LOOKUP(I33,103:103,104:104)-LOOKUP(C33,103:103,104:104)+100</f>
        <v>104</v>
      </c>
      <c r="K33" s="539"/>
      <c r="L33" s="2491"/>
      <c r="M33" s="2493"/>
      <c r="N33" s="2493"/>
      <c r="O33" s="2493"/>
      <c r="P33" s="3449"/>
      <c r="Q33" s="531" t="str">
        <f t="shared" si="11"/>
        <v>项目建筑规模</v>
      </c>
      <c r="R33" s="668" t="s">
        <v>14</v>
      </c>
      <c r="S33" s="669">
        <f t="shared" si="12"/>
        <v>106</v>
      </c>
      <c r="T33" s="668" t="s">
        <v>14</v>
      </c>
      <c r="U33" s="669">
        <f t="shared" si="13"/>
        <v>106</v>
      </c>
      <c r="V33" s="668" t="s">
        <v>14</v>
      </c>
      <c r="W33" s="669">
        <f t="shared" si="14"/>
        <v>104</v>
      </c>
      <c r="X33" s="670"/>
      <c r="Y33" s="3451"/>
      <c r="Z33" s="671" t="str">
        <f t="shared" si="15"/>
        <v>项目建筑规模</v>
      </c>
      <c r="AA33" s="1263">
        <f t="shared" si="3"/>
        <v>0.94339622641509435</v>
      </c>
      <c r="AB33" s="1263">
        <f t="shared" si="4"/>
        <v>0.94339622641509435</v>
      </c>
      <c r="AC33" s="1263">
        <f t="shared" si="5"/>
        <v>0.96153846153846156</v>
      </c>
    </row>
    <row r="34" spans="1:29" ht="15">
      <c r="A34" s="409"/>
      <c r="B34" s="364" t="s">
        <v>1698</v>
      </c>
      <c r="C34" s="399" t="s">
        <v>3427</v>
      </c>
      <c r="D34" s="374">
        <v>100</v>
      </c>
      <c r="E34" s="399" t="s">
        <v>3427</v>
      </c>
      <c r="F34" s="400">
        <f>SUMIF(105:105,E34,106:106)-SUMIF(105:105,C34,106:106)+100</f>
        <v>100</v>
      </c>
      <c r="G34" s="399" t="s">
        <v>3427</v>
      </c>
      <c r="H34" s="374">
        <f>SUMIF(105:105,G34,106:106)-SUMIF(105:105,C34,106:106)+100</f>
        <v>100</v>
      </c>
      <c r="I34" s="399" t="s">
        <v>3427</v>
      </c>
      <c r="J34" s="374">
        <f>SUMIF(105:105,I34,106:106)-SUMIF(105:105,C34,106:106)+100</f>
        <v>100</v>
      </c>
      <c r="K34" s="538">
        <v>1</v>
      </c>
      <c r="L34" s="2492"/>
      <c r="M34" s="2487"/>
      <c r="N34" s="2487"/>
      <c r="O34" s="2487"/>
      <c r="P34" s="3449"/>
      <c r="Q34" s="1262" t="str">
        <f t="shared" si="11"/>
        <v>建筑结构</v>
      </c>
      <c r="R34" s="666" t="s">
        <v>14</v>
      </c>
      <c r="S34" s="667">
        <f t="shared" si="12"/>
        <v>100</v>
      </c>
      <c r="T34" s="666" t="s">
        <v>14</v>
      </c>
      <c r="U34" s="667">
        <f t="shared" si="13"/>
        <v>100</v>
      </c>
      <c r="V34" s="666" t="s">
        <v>14</v>
      </c>
      <c r="W34" s="667">
        <f t="shared" si="14"/>
        <v>100</v>
      </c>
      <c r="X34" s="1264"/>
      <c r="Y34" s="3451"/>
      <c r="Z34" s="1263" t="str">
        <f t="shared" si="15"/>
        <v>建筑结构</v>
      </c>
      <c r="AA34" s="1263">
        <f t="shared" si="3"/>
        <v>1</v>
      </c>
      <c r="AB34" s="1263">
        <f t="shared" si="4"/>
        <v>1</v>
      </c>
      <c r="AC34" s="1263">
        <f t="shared" si="5"/>
        <v>1</v>
      </c>
    </row>
    <row r="35" spans="1:29" ht="15">
      <c r="A35" s="409"/>
      <c r="B35" s="364" t="s">
        <v>1785</v>
      </c>
      <c r="C35" s="1759" t="s">
        <v>3493</v>
      </c>
      <c r="D35" s="374">
        <v>100</v>
      </c>
      <c r="E35" s="1759" t="s">
        <v>3493</v>
      </c>
      <c r="F35" s="400">
        <f>SUMIF(107:107,E35,108:108)-SUMIF(107:107,C35,108:108)+100</f>
        <v>100</v>
      </c>
      <c r="G35" s="1759" t="s">
        <v>3493</v>
      </c>
      <c r="H35" s="374">
        <f>SUMIF(107:107,G35,108:108)-SUMIF(107:107,C35,108:108)+100</f>
        <v>100</v>
      </c>
      <c r="I35" s="1759" t="s">
        <v>3493</v>
      </c>
      <c r="J35" s="374">
        <f>SUMIF(107:107,I35,108:108)-SUMIF(107:107,C35,108:108)+100</f>
        <v>100</v>
      </c>
      <c r="K35" s="538">
        <v>1</v>
      </c>
      <c r="L35" s="2492"/>
      <c r="M35" s="2487"/>
      <c r="N35" s="2487"/>
      <c r="O35" s="2487"/>
      <c r="P35" s="3449"/>
      <c r="Q35" s="1262" t="str">
        <f t="shared" si="11"/>
        <v>公共部分装修</v>
      </c>
      <c r="R35" s="666" t="s">
        <v>14</v>
      </c>
      <c r="S35" s="667">
        <f t="shared" si="12"/>
        <v>100</v>
      </c>
      <c r="T35" s="666" t="s">
        <v>14</v>
      </c>
      <c r="U35" s="667">
        <f t="shared" si="13"/>
        <v>100</v>
      </c>
      <c r="V35" s="666" t="s">
        <v>14</v>
      </c>
      <c r="W35" s="667">
        <f t="shared" si="14"/>
        <v>100</v>
      </c>
      <c r="X35" s="1264"/>
      <c r="Y35" s="3451"/>
      <c r="Z35" s="1263" t="str">
        <f t="shared" si="15"/>
        <v>公共部分装修</v>
      </c>
      <c r="AA35" s="1263">
        <f t="shared" si="3"/>
        <v>1</v>
      </c>
      <c r="AB35" s="1263">
        <f t="shared" si="4"/>
        <v>1</v>
      </c>
      <c r="AC35" s="1263">
        <f t="shared" si="5"/>
        <v>1</v>
      </c>
    </row>
    <row r="36" spans="1:29" ht="15" hidden="1">
      <c r="A36" s="409"/>
      <c r="B36" s="364" t="s">
        <v>1786</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449"/>
      <c r="Q36" s="1262" t="str">
        <f t="shared" si="11"/>
        <v>成新度</v>
      </c>
      <c r="R36" s="666" t="s">
        <v>14</v>
      </c>
      <c r="S36" s="667">
        <f t="shared" si="12"/>
        <v>100</v>
      </c>
      <c r="T36" s="666" t="s">
        <v>14</v>
      </c>
      <c r="U36" s="667">
        <f t="shared" si="13"/>
        <v>100</v>
      </c>
      <c r="V36" s="666" t="s">
        <v>14</v>
      </c>
      <c r="W36" s="667">
        <f t="shared" si="14"/>
        <v>100</v>
      </c>
      <c r="X36" s="1264"/>
      <c r="Y36" s="3451"/>
      <c r="Z36" s="1263" t="str">
        <f t="shared" si="15"/>
        <v>成新度</v>
      </c>
      <c r="AA36" s="1263">
        <f t="shared" si="3"/>
        <v>1</v>
      </c>
      <c r="AB36" s="1263">
        <f t="shared" si="4"/>
        <v>1</v>
      </c>
      <c r="AC36" s="1263">
        <f t="shared" si="5"/>
        <v>1</v>
      </c>
    </row>
    <row r="37" spans="1:29" s="102" customFormat="1" ht="15">
      <c r="A37" s="410"/>
      <c r="B37" s="364" t="s">
        <v>1787</v>
      </c>
      <c r="C37" s="1759" t="s">
        <v>3496</v>
      </c>
      <c r="D37" s="119">
        <v>100</v>
      </c>
      <c r="E37" s="1759" t="s">
        <v>3496</v>
      </c>
      <c r="F37" s="400">
        <f>SUMIF(112:112,E37,113:113)-SUMIF(112:112,C37,113:113)+100</f>
        <v>100</v>
      </c>
      <c r="G37" s="1759" t="s">
        <v>3496</v>
      </c>
      <c r="H37" s="374">
        <f>SUMIF(112:112,G37,113:113)-SUMIF(112:112,C37,113:113)+100</f>
        <v>100</v>
      </c>
      <c r="I37" s="1759" t="s">
        <v>3496</v>
      </c>
      <c r="J37" s="374">
        <f>SUMIF(112:112,I37,113:113)-SUMIF(112:112,C37,113:113)+100</f>
        <v>100</v>
      </c>
      <c r="K37" s="538">
        <v>1</v>
      </c>
      <c r="L37" s="2488"/>
      <c r="M37" s="2439"/>
      <c r="N37" s="2439"/>
      <c r="O37" s="2439"/>
      <c r="P37" s="3449"/>
      <c r="Q37" s="530" t="str">
        <f t="shared" si="11"/>
        <v>市政基础设施</v>
      </c>
      <c r="R37" s="663" t="s">
        <v>14</v>
      </c>
      <c r="S37" s="664">
        <f t="shared" si="12"/>
        <v>100</v>
      </c>
      <c r="T37" s="663" t="s">
        <v>14</v>
      </c>
      <c r="U37" s="664">
        <f t="shared" si="13"/>
        <v>100</v>
      </c>
      <c r="V37" s="663" t="s">
        <v>14</v>
      </c>
      <c r="W37" s="664">
        <f t="shared" si="14"/>
        <v>100</v>
      </c>
      <c r="X37" s="665"/>
      <c r="Y37" s="3451"/>
      <c r="Z37" s="50" t="str">
        <f t="shared" si="15"/>
        <v>市政基础设施</v>
      </c>
      <c r="AA37" s="50">
        <f t="shared" si="3"/>
        <v>1</v>
      </c>
      <c r="AB37" s="50">
        <f t="shared" si="4"/>
        <v>1</v>
      </c>
      <c r="AC37" s="50">
        <f t="shared" si="5"/>
        <v>1</v>
      </c>
    </row>
    <row r="38" spans="1:29" ht="15">
      <c r="A38" s="409"/>
      <c r="B38" s="364" t="s">
        <v>1788</v>
      </c>
      <c r="C38" s="1759" t="s">
        <v>3498</v>
      </c>
      <c r="D38" s="374">
        <v>100</v>
      </c>
      <c r="E38" s="1759" t="s">
        <v>3499</v>
      </c>
      <c r="F38" s="400">
        <f>SUMIF(114:114,E38,115:115)-SUMIF(114:114,C38,115:115)+100</f>
        <v>99</v>
      </c>
      <c r="G38" s="1759" t="s">
        <v>3499</v>
      </c>
      <c r="H38" s="374">
        <f>SUMIF(114:114,G38,115:115)-SUMIF(114:114,C38,115:115)+100</f>
        <v>99</v>
      </c>
      <c r="I38" s="1759" t="s">
        <v>3499</v>
      </c>
      <c r="J38" s="374">
        <f>SUMIF(114:114,I38,115:115)-SUMIF(114:114,C38,115:115)+100</f>
        <v>99</v>
      </c>
      <c r="K38" s="538">
        <v>1</v>
      </c>
      <c r="L38" s="2492"/>
      <c r="M38" s="2487"/>
      <c r="N38" s="2487"/>
      <c r="O38" s="2487"/>
      <c r="P38" s="3449" t="s">
        <v>1696</v>
      </c>
      <c r="Q38" s="1262" t="str">
        <f t="shared" si="11"/>
        <v>业态</v>
      </c>
      <c r="R38" s="666" t="s">
        <v>14</v>
      </c>
      <c r="S38" s="667">
        <f t="shared" si="12"/>
        <v>99</v>
      </c>
      <c r="T38" s="666" t="s">
        <v>14</v>
      </c>
      <c r="U38" s="667">
        <f t="shared" si="13"/>
        <v>99</v>
      </c>
      <c r="V38" s="666" t="s">
        <v>14</v>
      </c>
      <c r="W38" s="667">
        <f t="shared" si="14"/>
        <v>99</v>
      </c>
      <c r="X38" s="1264"/>
      <c r="Y38" s="3451" t="s">
        <v>1696</v>
      </c>
      <c r="Z38" s="1263" t="str">
        <f t="shared" si="15"/>
        <v>业态</v>
      </c>
      <c r="AA38" s="1263">
        <f t="shared" si="3"/>
        <v>1.0101010101010102</v>
      </c>
      <c r="AB38" s="1263">
        <f t="shared" si="4"/>
        <v>1.0101010101010102</v>
      </c>
      <c r="AC38" s="1263">
        <f t="shared" si="5"/>
        <v>1.0101010101010102</v>
      </c>
    </row>
    <row r="39" spans="1:29" ht="15">
      <c r="A39" s="409"/>
      <c r="B39" s="364" t="s">
        <v>1789</v>
      </c>
      <c r="C39" s="1759" t="s">
        <v>3506</v>
      </c>
      <c r="D39" s="374">
        <v>100</v>
      </c>
      <c r="E39" s="1759" t="s">
        <v>3509</v>
      </c>
      <c r="F39" s="400">
        <f>SUMIF(116:116,E39,117:117)-SUMIF(116:116,C39,117:117)+100</f>
        <v>99</v>
      </c>
      <c r="G39" s="1759" t="s">
        <v>3509</v>
      </c>
      <c r="H39" s="374">
        <f>SUMIF(116:116,G39,117:117)-SUMIF(116:116,C39,117:117)+100</f>
        <v>99</v>
      </c>
      <c r="I39" s="1759" t="s">
        <v>3509</v>
      </c>
      <c r="J39" s="374">
        <f>SUMIF(116:116,I39,117:117)-SUMIF(116:116,C39,117:117)+100</f>
        <v>99</v>
      </c>
      <c r="K39" s="538">
        <v>1</v>
      </c>
      <c r="L39" s="2492"/>
      <c r="M39" s="2487"/>
      <c r="N39" s="2487"/>
      <c r="O39" s="2487"/>
      <c r="P39" s="3449"/>
      <c r="Q39" s="1262" t="str">
        <f t="shared" si="11"/>
        <v>层高</v>
      </c>
      <c r="R39" s="666" t="s">
        <v>14</v>
      </c>
      <c r="S39" s="667">
        <f t="shared" si="12"/>
        <v>99</v>
      </c>
      <c r="T39" s="666" t="s">
        <v>14</v>
      </c>
      <c r="U39" s="667">
        <f t="shared" si="13"/>
        <v>99</v>
      </c>
      <c r="V39" s="666" t="s">
        <v>14</v>
      </c>
      <c r="W39" s="667">
        <f t="shared" si="14"/>
        <v>99</v>
      </c>
      <c r="X39" s="1264"/>
      <c r="Y39" s="3451"/>
      <c r="Z39" s="1263" t="str">
        <f t="shared" si="15"/>
        <v>层高</v>
      </c>
      <c r="AA39" s="1263">
        <f t="shared" si="3"/>
        <v>1.0101010101010102</v>
      </c>
      <c r="AB39" s="1263">
        <f t="shared" si="4"/>
        <v>1.0101010101010102</v>
      </c>
      <c r="AC39" s="1263">
        <f t="shared" si="5"/>
        <v>1.0101010101010102</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449"/>
      <c r="Q40" s="1262" t="str">
        <f t="shared" si="11"/>
        <v>单套建筑面积</v>
      </c>
      <c r="R40" s="666" t="s">
        <v>14</v>
      </c>
      <c r="S40" s="667">
        <f t="shared" si="12"/>
        <v>100</v>
      </c>
      <c r="T40" s="666" t="s">
        <v>14</v>
      </c>
      <c r="U40" s="667">
        <f t="shared" si="13"/>
        <v>100</v>
      </c>
      <c r="V40" s="666" t="s">
        <v>14</v>
      </c>
      <c r="W40" s="667">
        <f t="shared" si="14"/>
        <v>100</v>
      </c>
      <c r="X40" s="1264"/>
      <c r="Y40" s="3451"/>
      <c r="Z40" s="1263" t="str">
        <f t="shared" si="15"/>
        <v>单套建筑面积</v>
      </c>
      <c r="AA40" s="1263">
        <f t="shared" si="3"/>
        <v>1</v>
      </c>
      <c r="AB40" s="1263">
        <f t="shared" si="4"/>
        <v>1</v>
      </c>
      <c r="AC40" s="1263">
        <f t="shared" si="5"/>
        <v>1</v>
      </c>
    </row>
    <row r="41" spans="1:29" s="408" customFormat="1" ht="15">
      <c r="A41" s="406"/>
      <c r="B41" s="400" t="s">
        <v>1791</v>
      </c>
      <c r="C41" s="542" t="s">
        <v>3500</v>
      </c>
      <c r="D41" s="374">
        <v>100</v>
      </c>
      <c r="E41" s="542" t="s">
        <v>3500</v>
      </c>
      <c r="F41" s="400">
        <f>SUMIF(120:120,E41,121:121)-SUMIF(120:120,C41,121:121)+100</f>
        <v>100</v>
      </c>
      <c r="G41" s="542" t="s">
        <v>3500</v>
      </c>
      <c r="H41" s="374">
        <f>SUMIF(120:120,G41,121:121)-SUMIF(120:120,C41,121:121)+100</f>
        <v>100</v>
      </c>
      <c r="I41" s="542" t="s">
        <v>3500</v>
      </c>
      <c r="J41" s="374">
        <f>SUMIF(120:120,I41,121:121)-SUMIF(120:120,C41,121:121)+100</f>
        <v>100</v>
      </c>
      <c r="K41" s="538">
        <v>1</v>
      </c>
      <c r="L41" s="2491"/>
      <c r="M41" s="2493"/>
      <c r="N41" s="2493"/>
      <c r="O41" s="2493"/>
      <c r="P41" s="3449"/>
      <c r="Q41" s="531" t="str">
        <f t="shared" si="11"/>
        <v>进深比</v>
      </c>
      <c r="R41" s="668" t="s">
        <v>14</v>
      </c>
      <c r="S41" s="669">
        <f t="shared" si="12"/>
        <v>100</v>
      </c>
      <c r="T41" s="668" t="s">
        <v>14</v>
      </c>
      <c r="U41" s="669">
        <f t="shared" si="13"/>
        <v>100</v>
      </c>
      <c r="V41" s="668" t="s">
        <v>14</v>
      </c>
      <c r="W41" s="669">
        <f t="shared" si="14"/>
        <v>100</v>
      </c>
      <c r="X41" s="670"/>
      <c r="Y41" s="3451"/>
      <c r="Z41" s="671" t="str">
        <f t="shared" si="15"/>
        <v>进深比</v>
      </c>
      <c r="AA41" s="1263">
        <f t="shared" si="3"/>
        <v>1</v>
      </c>
      <c r="AB41" s="1263">
        <f t="shared" si="4"/>
        <v>1</v>
      </c>
      <c r="AC41" s="1263">
        <f t="shared" si="5"/>
        <v>1</v>
      </c>
    </row>
    <row r="42" spans="1:29" ht="15.75" thickBot="1">
      <c r="A42" s="409"/>
      <c r="B42" s="364" t="s">
        <v>1792</v>
      </c>
      <c r="C42" s="1759" t="s">
        <v>3502</v>
      </c>
      <c r="D42" s="374">
        <v>100</v>
      </c>
      <c r="E42" s="1759" t="s">
        <v>3494</v>
      </c>
      <c r="F42" s="400">
        <f>SUMIF(122:122,E42,123:123)-SUMIF(122:122,C42,123:123)+100</f>
        <v>102</v>
      </c>
      <c r="G42" s="1759" t="s">
        <v>3494</v>
      </c>
      <c r="H42" s="374">
        <f>SUMIF(122:122,G42,123:123)-SUMIF(122:122,C42,123:123)+100</f>
        <v>102</v>
      </c>
      <c r="I42" s="1759" t="s">
        <v>3494</v>
      </c>
      <c r="J42" s="374">
        <f>SUMIF(122:122,I42,123:123)-SUMIF(122:122,C42,123:123)+100</f>
        <v>102</v>
      </c>
      <c r="K42" s="538">
        <v>1</v>
      </c>
      <c r="L42" s="2492"/>
      <c r="M42" s="2487"/>
      <c r="N42" s="2487"/>
      <c r="O42" s="2487"/>
      <c r="P42" s="3449"/>
      <c r="Q42" s="1262" t="str">
        <f t="shared" si="11"/>
        <v>内部装修</v>
      </c>
      <c r="R42" s="666" t="s">
        <v>14</v>
      </c>
      <c r="S42" s="667">
        <f t="shared" si="12"/>
        <v>102</v>
      </c>
      <c r="T42" s="666" t="s">
        <v>14</v>
      </c>
      <c r="U42" s="667">
        <f t="shared" si="13"/>
        <v>102</v>
      </c>
      <c r="V42" s="666" t="s">
        <v>14</v>
      </c>
      <c r="W42" s="667">
        <f t="shared" si="14"/>
        <v>102</v>
      </c>
      <c r="X42" s="1264"/>
      <c r="Y42" s="3451"/>
      <c r="Z42" s="1263" t="str">
        <f t="shared" si="15"/>
        <v>内部装修</v>
      </c>
      <c r="AA42" s="1263">
        <f t="shared" si="3"/>
        <v>0.98039215686274506</v>
      </c>
      <c r="AB42" s="1263">
        <f t="shared" si="4"/>
        <v>0.98039215686274506</v>
      </c>
      <c r="AC42" s="1263">
        <f t="shared" si="5"/>
        <v>0.98039215686274506</v>
      </c>
    </row>
    <row r="43" spans="1:29" ht="15" hidden="1">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49"/>
      <c r="Q43" s="1262" t="str">
        <f t="shared" si="11"/>
        <v>内部装修维护情况</v>
      </c>
      <c r="R43" s="666" t="s">
        <v>14</v>
      </c>
      <c r="S43" s="667">
        <f t="shared" si="12"/>
        <v>100</v>
      </c>
      <c r="T43" s="666" t="s">
        <v>14</v>
      </c>
      <c r="U43" s="667">
        <f t="shared" si="13"/>
        <v>100</v>
      </c>
      <c r="V43" s="666" t="s">
        <v>14</v>
      </c>
      <c r="W43" s="667">
        <f t="shared" si="14"/>
        <v>100</v>
      </c>
      <c r="X43" s="1264"/>
      <c r="Y43" s="3451"/>
      <c r="Z43" s="1263" t="str">
        <f t="shared" si="15"/>
        <v>内部装修维护情况</v>
      </c>
      <c r="AA43" s="1263">
        <f t="shared" si="3"/>
        <v>1</v>
      </c>
      <c r="AB43" s="1263">
        <f t="shared" si="4"/>
        <v>1</v>
      </c>
      <c r="AC43" s="1263">
        <f t="shared" si="5"/>
        <v>1</v>
      </c>
    </row>
    <row r="44" spans="1:29" s="102" customFormat="1" ht="15" hidden="1">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49"/>
      <c r="Q44" s="530">
        <f t="shared" si="11"/>
        <v>111</v>
      </c>
      <c r="R44" s="663" t="s">
        <v>14</v>
      </c>
      <c r="S44" s="664">
        <f t="shared" si="12"/>
        <v>100</v>
      </c>
      <c r="T44" s="663" t="s">
        <v>14</v>
      </c>
      <c r="U44" s="664">
        <f t="shared" si="13"/>
        <v>100</v>
      </c>
      <c r="V44" s="663" t="s">
        <v>14</v>
      </c>
      <c r="W44" s="664">
        <f t="shared" si="14"/>
        <v>100</v>
      </c>
      <c r="X44" s="665"/>
      <c r="Y44" s="3451"/>
      <c r="Z44" s="50">
        <f t="shared" si="15"/>
        <v>111</v>
      </c>
      <c r="AA44" s="50">
        <f t="shared" si="3"/>
        <v>1</v>
      </c>
      <c r="AB44" s="50">
        <f t="shared" si="4"/>
        <v>1</v>
      </c>
      <c r="AC44" s="50">
        <f t="shared" si="5"/>
        <v>1</v>
      </c>
    </row>
    <row r="45" spans="1:29" ht="15" hidden="1">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49"/>
      <c r="Q45" s="1262">
        <f t="shared" si="11"/>
        <v>111</v>
      </c>
      <c r="R45" s="666" t="s">
        <v>14</v>
      </c>
      <c r="S45" s="667">
        <f t="shared" si="12"/>
        <v>100</v>
      </c>
      <c r="T45" s="666" t="s">
        <v>14</v>
      </c>
      <c r="U45" s="667">
        <f t="shared" si="13"/>
        <v>100</v>
      </c>
      <c r="V45" s="666" t="s">
        <v>14</v>
      </c>
      <c r="W45" s="667">
        <f t="shared" si="14"/>
        <v>100</v>
      </c>
      <c r="X45" s="1264"/>
      <c r="Y45" s="3451"/>
      <c r="Z45" s="1263">
        <f t="shared" si="15"/>
        <v>111</v>
      </c>
      <c r="AA45" s="1263">
        <f t="shared" si="3"/>
        <v>1</v>
      </c>
      <c r="AB45" s="1263">
        <f t="shared" si="4"/>
        <v>1</v>
      </c>
      <c r="AC45" s="1263">
        <f t="shared" si="5"/>
        <v>1</v>
      </c>
    </row>
    <row r="46" spans="1:29" ht="15.75" hidden="1"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50"/>
      <c r="Q46" s="1262">
        <f t="shared" si="11"/>
        <v>111</v>
      </c>
      <c r="R46" s="666" t="s">
        <v>14</v>
      </c>
      <c r="S46" s="667">
        <f t="shared" si="12"/>
        <v>100</v>
      </c>
      <c r="T46" s="666" t="s">
        <v>14</v>
      </c>
      <c r="U46" s="667">
        <f t="shared" si="13"/>
        <v>100</v>
      </c>
      <c r="V46" s="666" t="s">
        <v>14</v>
      </c>
      <c r="W46" s="667">
        <f t="shared" si="14"/>
        <v>100</v>
      </c>
      <c r="X46" s="1264"/>
      <c r="Y46" s="3452"/>
      <c r="Z46" s="1263">
        <f t="shared" si="15"/>
        <v>111</v>
      </c>
      <c r="AA46" s="1263">
        <f t="shared" si="3"/>
        <v>1</v>
      </c>
      <c r="AB46" s="1263">
        <f t="shared" si="4"/>
        <v>1</v>
      </c>
      <c r="AC46" s="1263">
        <f t="shared" si="5"/>
        <v>1</v>
      </c>
    </row>
    <row r="47" spans="1:29" ht="15">
      <c r="A47" s="416" t="s">
        <v>1708</v>
      </c>
      <c r="B47" s="417"/>
      <c r="C47" s="1080" t="s">
        <v>0</v>
      </c>
      <c r="D47" s="418"/>
      <c r="E47" s="419">
        <v>9.08</v>
      </c>
      <c r="F47" s="420"/>
      <c r="G47" s="421">
        <v>8.5</v>
      </c>
      <c r="H47" s="422"/>
      <c r="I47" s="419">
        <v>8.27</v>
      </c>
      <c r="J47" s="422"/>
      <c r="K47" s="673"/>
      <c r="L47" s="2494"/>
      <c r="M47" s="2487"/>
      <c r="N47" s="2487"/>
      <c r="O47" s="2487"/>
      <c r="P47" s="3445" t="str">
        <f>A47</f>
        <v>成交单价（元/平方米）</v>
      </c>
      <c r="Q47" s="3445"/>
      <c r="R47" s="3440">
        <f>E47</f>
        <v>9.08</v>
      </c>
      <c r="S47" s="3440"/>
      <c r="T47" s="3440">
        <f>G47</f>
        <v>8.5</v>
      </c>
      <c r="U47" s="3440"/>
      <c r="V47" s="3440">
        <f>I47</f>
        <v>8.27</v>
      </c>
      <c r="W47" s="3440"/>
      <c r="X47" s="385"/>
      <c r="Y47" s="672"/>
      <c r="Z47" s="385"/>
      <c r="AA47" s="385"/>
      <c r="AB47" s="385"/>
      <c r="AC47" s="385"/>
    </row>
    <row r="48" spans="1:29" ht="15.75" thickBot="1">
      <c r="A48" s="423" t="s">
        <v>1793</v>
      </c>
      <c r="B48" s="424"/>
      <c r="C48" s="1081">
        <f>R49</f>
        <v>7.5</v>
      </c>
      <c r="D48" s="2140" t="s">
        <v>2138</v>
      </c>
      <c r="E48" s="1082">
        <f>R48</f>
        <v>7.7</v>
      </c>
      <c r="F48" s="2141"/>
      <c r="G48" s="1081">
        <f>T48</f>
        <v>7.7</v>
      </c>
      <c r="H48" s="2141"/>
      <c r="I48" s="1082">
        <f>V48</f>
        <v>7.1</v>
      </c>
      <c r="J48" s="2141"/>
      <c r="K48" s="2143">
        <f>F48+H48+J48</f>
        <v>0</v>
      </c>
      <c r="L48" s="2494"/>
      <c r="M48" s="2487"/>
      <c r="N48" s="2487"/>
      <c r="O48" s="2487"/>
      <c r="P48" s="3445" t="str">
        <f>A48</f>
        <v>比较价值（元/平方米）</v>
      </c>
      <c r="Q48" s="3445"/>
      <c r="R48" s="3440">
        <f>IF(F1="售价",ROUND(PRODUCT(R47,AA7:AA46),0),ROUND(PRODUCT(R47,AA7:AA46),1))</f>
        <v>7.7</v>
      </c>
      <c r="S48" s="3440"/>
      <c r="T48" s="3440">
        <f>IF(F1="售价",ROUND(PRODUCT(T47,AB7:AB46),0),ROUND(PRODUCT(T47,AB7:AB46),1))</f>
        <v>7.7</v>
      </c>
      <c r="U48" s="3440"/>
      <c r="V48" s="3440">
        <f>IF(F1="售价",ROUND(PRODUCT(V47,AC7:AC46),0),ROUND(PRODUCT(V47,AC7:AC46),1))</f>
        <v>7.1</v>
      </c>
      <c r="W48" s="3440"/>
      <c r="X48" s="385"/>
      <c r="Y48" s="385"/>
      <c r="Z48" s="385"/>
      <c r="AA48" s="385"/>
      <c r="AB48" s="385"/>
      <c r="AC48" s="385"/>
    </row>
    <row r="49" spans="1:29" ht="15.75" thickBot="1">
      <c r="A49" s="427" t="s">
        <v>1794</v>
      </c>
      <c r="B49" s="428"/>
      <c r="C49" s="351">
        <f>R49</f>
        <v>7.5</v>
      </c>
      <c r="D49" s="351"/>
      <c r="E49" s="351"/>
      <c r="F49" s="351"/>
      <c r="G49" s="351"/>
      <c r="H49" s="351"/>
      <c r="I49" s="351"/>
      <c r="J49" s="351"/>
      <c r="K49" s="674"/>
      <c r="L49" s="2494"/>
      <c r="M49" s="2487"/>
      <c r="N49" s="2487"/>
      <c r="O49" s="2487"/>
      <c r="P49" s="3442" t="str">
        <f>A49</f>
        <v>估价对象XX用房的比较价值（楼面单价，元/平方米）</v>
      </c>
      <c r="Q49" s="3443"/>
      <c r="R49" s="3444">
        <f>IF(F1="售价",ROUND(IF(D48="简单平均",AVERAGE(R48:V48),R48*F48+T48*H48+V48*J48),0),ROUND(IF(D48="简单平均",AVERAGE(R48:V48),R48*F48+T48*H48+V48*J48),1))</f>
        <v>7.5</v>
      </c>
      <c r="S49" s="3444"/>
      <c r="T49" s="3444"/>
      <c r="U49" s="3444"/>
      <c r="V49" s="3444"/>
      <c r="W49" s="344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0.17922077922077917</v>
      </c>
      <c r="F52" s="435" t="str">
        <f>IF(OR(E52&gt;=0.3,E52&lt;=-0.3),"超过30%","")</f>
        <v/>
      </c>
      <c r="G52" s="434">
        <f>IF(G47&lt;G48,G48/G47-1,G47/G48-1)</f>
        <v>0.10389610389610393</v>
      </c>
      <c r="H52" s="435" t="str">
        <f>IF(OR(G52&gt;=0.3,G52&lt;=-0.3),"超过30%","")</f>
        <v/>
      </c>
      <c r="I52" s="434">
        <f>IF(I47&lt;I48,I48/I47-1,I47/I48-1)</f>
        <v>0.1647887323943662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0</v>
      </c>
      <c r="F53" s="435" t="str">
        <f>IF(OR(E53&gt;=0.2,E53&lt;=-0.2),"超过20%","")</f>
        <v/>
      </c>
      <c r="G53" s="434">
        <f>IF(G48&lt;I48,I48/G48-1,G48/I48-1)</f>
        <v>8.4507042253521236E-2</v>
      </c>
      <c r="H53" s="435" t="str">
        <f>IF(OR(G53&gt;=0.2,G53&lt;=-0.2),"超过20%","")</f>
        <v/>
      </c>
      <c r="I53" s="434">
        <f>IF(I48&lt;E48,E48/I48-1,I48/E48-1)</f>
        <v>8.4507042253521236E-2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6.8235294117647172E-2</v>
      </c>
      <c r="F54" s="435" t="str">
        <f>IF(OR(E54&gt;=0.3,E54&lt;=-0.3),"超过30%","")</f>
        <v/>
      </c>
      <c r="G54" s="434">
        <f>IF(G47&lt;I47,I47/G47-1,G47/I47-1)</f>
        <v>2.7811366384522529E-2</v>
      </c>
      <c r="H54" s="435" t="str">
        <f>IF(OR(G54&gt;=0.3,G54&lt;=-0.3),"超过30%","")</f>
        <v/>
      </c>
      <c r="I54" s="434">
        <f>IF(I47&lt;E47,E47/I47-1,I47/E47-1)</f>
        <v>9.7944377267231042E-2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2025-11</v>
      </c>
      <c r="D58" s="1103">
        <f>EDATE(C58,-1)</f>
        <v>45931</v>
      </c>
      <c r="E58" s="1103">
        <f t="shared" ref="E58:N58" si="16">EDATE(D58,-1)</f>
        <v>45901</v>
      </c>
      <c r="F58" s="1103">
        <f t="shared" si="16"/>
        <v>45870</v>
      </c>
      <c r="G58" s="1103">
        <f t="shared" si="16"/>
        <v>45839</v>
      </c>
      <c r="H58" s="1103">
        <f t="shared" si="16"/>
        <v>45809</v>
      </c>
      <c r="I58" s="1103">
        <f t="shared" si="16"/>
        <v>45778</v>
      </c>
      <c r="J58" s="1103">
        <f t="shared" si="16"/>
        <v>45748</v>
      </c>
      <c r="K58" s="1103">
        <f t="shared" si="16"/>
        <v>45717</v>
      </c>
      <c r="L58" s="1103">
        <f t="shared" si="16"/>
        <v>45689</v>
      </c>
      <c r="M58" s="1103">
        <f t="shared" si="16"/>
        <v>45658</v>
      </c>
      <c r="N58" s="1103">
        <f t="shared" si="16"/>
        <v>45627</v>
      </c>
      <c r="O58" s="1103">
        <f>EDATE(N58,-1)</f>
        <v>45597</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517" t="s">
        <v>3466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t="s">
        <v>3467</v>
      </c>
      <c r="D65" s="513" t="s">
        <v>3468</v>
      </c>
      <c r="E65" s="513" t="s">
        <v>3469</v>
      </c>
      <c r="F65" s="513" t="s">
        <v>3470</v>
      </c>
      <c r="G65" s="513" t="s">
        <v>3471</v>
      </c>
      <c r="H65" s="513" t="s">
        <v>3472</v>
      </c>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f>C66-5</f>
        <v>95</v>
      </c>
      <c r="E66" s="467">
        <f t="shared" ref="E66:H66" si="17">D66-5</f>
        <v>90</v>
      </c>
      <c r="F66" s="467">
        <f t="shared" si="17"/>
        <v>85</v>
      </c>
      <c r="G66" s="467">
        <f t="shared" si="17"/>
        <v>80</v>
      </c>
      <c r="H66" s="467">
        <f t="shared" si="17"/>
        <v>75</v>
      </c>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8">D68&amp;"（含）"&amp;"-"&amp;E68</f>
        <v>1（含）-2</v>
      </c>
      <c r="E67" s="478" t="str">
        <f t="shared" si="18"/>
        <v>2（含）-3</v>
      </c>
      <c r="F67" s="478" t="str">
        <f t="shared" si="18"/>
        <v>3（含）-4</v>
      </c>
      <c r="G67" s="478" t="str">
        <f t="shared" si="18"/>
        <v>4（含）-5</v>
      </c>
      <c r="H67" s="478" t="str">
        <f t="shared" si="18"/>
        <v>5（含）-6</v>
      </c>
      <c r="I67" s="478" t="str">
        <f t="shared" si="18"/>
        <v>6（含）-7</v>
      </c>
      <c r="J67" s="478" t="str">
        <f t="shared" si="18"/>
        <v>7（含）-8</v>
      </c>
      <c r="K67" s="478" t="str">
        <f t="shared" si="18"/>
        <v>8（含）-9</v>
      </c>
      <c r="L67" s="478" t="str">
        <f t="shared" si="18"/>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0" t="s">
        <v>1799</v>
      </c>
      <c r="D82" s="580" t="s">
        <v>1800</v>
      </c>
      <c r="E82" s="580" t="s">
        <v>1801</v>
      </c>
      <c r="F82" s="580" t="s">
        <v>1802</v>
      </c>
      <c r="G82" s="580"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20">D83-$K21</f>
        <v>96</v>
      </c>
      <c r="F83" s="475">
        <f t="shared" si="20"/>
        <v>94</v>
      </c>
      <c r="G83" s="475">
        <f t="shared" si="20"/>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518" t="s">
        <v>3473</v>
      </c>
      <c r="D86" s="3518" t="s">
        <v>3474</v>
      </c>
      <c r="E86" s="3518" t="s">
        <v>3475</v>
      </c>
      <c r="F86" s="3518" t="s">
        <v>3476</v>
      </c>
      <c r="G86" s="3518" t="s">
        <v>3477</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519" t="s">
        <v>3478</v>
      </c>
      <c r="D88" s="3519" t="s">
        <v>3479</v>
      </c>
      <c r="E88" s="3518"/>
      <c r="F88" s="3520"/>
      <c r="G88" s="3518"/>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521">
        <v>100</v>
      </c>
      <c r="D89" s="3522">
        <v>95</v>
      </c>
      <c r="E89" s="3521"/>
      <c r="F89" s="3522"/>
      <c r="G89" s="3521"/>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519" t="s">
        <v>3480</v>
      </c>
      <c r="D90" s="3519" t="s">
        <v>3481</v>
      </c>
      <c r="E90" s="3519" t="s">
        <v>3482</v>
      </c>
      <c r="F90" s="3519" t="s">
        <v>3483</v>
      </c>
      <c r="G90" s="3519" t="s">
        <v>3484</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98</v>
      </c>
      <c r="E91" s="475">
        <f t="shared" ref="E91:M91" si="22">D91-$K27</f>
        <v>96</v>
      </c>
      <c r="F91" s="475">
        <f t="shared" si="22"/>
        <v>94</v>
      </c>
      <c r="G91" s="475">
        <f t="shared" si="22"/>
        <v>92</v>
      </c>
      <c r="H91" s="475">
        <f t="shared" si="22"/>
        <v>90</v>
      </c>
      <c r="I91" s="475">
        <f t="shared" si="22"/>
        <v>88</v>
      </c>
      <c r="J91" s="475">
        <f t="shared" si="22"/>
        <v>86</v>
      </c>
      <c r="K91" s="475">
        <f t="shared" si="22"/>
        <v>84</v>
      </c>
      <c r="L91" s="475">
        <f t="shared" si="22"/>
        <v>82</v>
      </c>
      <c r="M91" s="475">
        <f t="shared" si="22"/>
        <v>80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519" t="s">
        <v>3485</v>
      </c>
      <c r="D92" s="3519" t="s">
        <v>3486</v>
      </c>
      <c r="E92" s="3523" t="s">
        <v>3487</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3522">
        <v>100</v>
      </c>
      <c r="D93" s="3522">
        <v>80</v>
      </c>
      <c r="E93" s="467">
        <v>100</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524" t="s">
        <v>3488</v>
      </c>
      <c r="D100" s="3524" t="s">
        <v>3489</v>
      </c>
      <c r="E100" s="3524" t="s">
        <v>3505</v>
      </c>
      <c r="F100" s="3524" t="s">
        <v>3490</v>
      </c>
      <c r="G100" s="3524" t="s">
        <v>3491</v>
      </c>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0(含)-50</v>
      </c>
      <c r="D102" s="509" t="str">
        <f t="shared" ref="D102:L102" si="24">D103&amp;"(含)"&amp;"-"&amp;E103</f>
        <v>50(含)-100</v>
      </c>
      <c r="E102" s="509" t="str">
        <f t="shared" si="24"/>
        <v>100(含)-200</v>
      </c>
      <c r="F102" s="509" t="str">
        <f t="shared" si="24"/>
        <v>200(含)-300</v>
      </c>
      <c r="G102" s="509" t="str">
        <f t="shared" si="24"/>
        <v>300(含)-400</v>
      </c>
      <c r="H102" s="509" t="str">
        <f t="shared" si="24"/>
        <v>400(含)-</v>
      </c>
      <c r="I102" s="509" t="str">
        <f t="shared" si="24"/>
        <v>(含)-</v>
      </c>
      <c r="J102" s="509" t="str">
        <f t="shared" si="24"/>
        <v>(含)-</v>
      </c>
      <c r="K102" s="509" t="str">
        <f t="shared" si="24"/>
        <v>(含)-</v>
      </c>
      <c r="L102" s="509" t="str">
        <f t="shared" si="24"/>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525">
        <v>0</v>
      </c>
      <c r="D103" s="3525">
        <v>50</v>
      </c>
      <c r="E103" s="3525">
        <v>100</v>
      </c>
      <c r="F103" s="3525">
        <v>200</v>
      </c>
      <c r="G103" s="3525">
        <v>300</v>
      </c>
      <c r="H103" s="3525">
        <v>400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521">
        <v>100</v>
      </c>
      <c r="D104" s="3522">
        <v>98</v>
      </c>
      <c r="E104" s="3521">
        <v>96</v>
      </c>
      <c r="F104" s="3522">
        <v>94</v>
      </c>
      <c r="G104" s="3521">
        <v>92</v>
      </c>
      <c r="H104" s="3522">
        <v>90</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519" t="s">
        <v>3427</v>
      </c>
      <c r="D105" s="3523" t="s">
        <v>3492</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99</v>
      </c>
      <c r="E106" s="475">
        <f t="shared" si="25"/>
        <v>98</v>
      </c>
      <c r="F106" s="475">
        <f t="shared" si="25"/>
        <v>97</v>
      </c>
      <c r="G106" s="475">
        <f t="shared" si="25"/>
        <v>96</v>
      </c>
      <c r="H106" s="475">
        <f t="shared" si="25"/>
        <v>95</v>
      </c>
      <c r="I106" s="475">
        <f t="shared" si="25"/>
        <v>94</v>
      </c>
      <c r="J106" s="475">
        <f t="shared" si="25"/>
        <v>93</v>
      </c>
      <c r="K106" s="475">
        <f t="shared" si="25"/>
        <v>92</v>
      </c>
      <c r="L106" s="475">
        <f t="shared" si="25"/>
        <v>91</v>
      </c>
      <c r="M106" s="476">
        <f t="shared" si="25"/>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519" t="s">
        <v>3493</v>
      </c>
      <c r="D107" s="3519" t="s">
        <v>3494</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99</v>
      </c>
      <c r="E108" s="475">
        <f t="shared" si="26"/>
        <v>98</v>
      </c>
      <c r="F108" s="475">
        <f t="shared" si="26"/>
        <v>97</v>
      </c>
      <c r="G108" s="475">
        <f t="shared" si="26"/>
        <v>96</v>
      </c>
      <c r="H108" s="475">
        <f t="shared" si="26"/>
        <v>95</v>
      </c>
      <c r="I108" s="475">
        <f t="shared" si="26"/>
        <v>94</v>
      </c>
      <c r="J108" s="475">
        <f t="shared" si="26"/>
        <v>93</v>
      </c>
      <c r="K108" s="475">
        <f t="shared" si="26"/>
        <v>92</v>
      </c>
      <c r="L108" s="475">
        <f t="shared" si="26"/>
        <v>91</v>
      </c>
      <c r="M108" s="476">
        <f t="shared" si="26"/>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519" t="s">
        <v>3495</v>
      </c>
      <c r="D112" s="3519" t="s">
        <v>3496</v>
      </c>
      <c r="E112" s="3519" t="s">
        <v>3497</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519" t="s">
        <v>3498</v>
      </c>
      <c r="D114" s="3519" t="s">
        <v>3499</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99</v>
      </c>
      <c r="E115" s="475">
        <f t="shared" si="29"/>
        <v>98</v>
      </c>
      <c r="F115" s="475">
        <f t="shared" si="29"/>
        <v>97</v>
      </c>
      <c r="G115" s="475">
        <f t="shared" si="29"/>
        <v>96</v>
      </c>
      <c r="H115" s="475">
        <f t="shared" si="29"/>
        <v>95</v>
      </c>
      <c r="I115" s="475">
        <f t="shared" si="29"/>
        <v>94</v>
      </c>
      <c r="J115" s="475">
        <f t="shared" si="29"/>
        <v>93</v>
      </c>
      <c r="K115" s="475">
        <f t="shared" si="29"/>
        <v>92</v>
      </c>
      <c r="L115" s="475">
        <f t="shared" si="29"/>
        <v>91</v>
      </c>
      <c r="M115" s="476">
        <f t="shared" si="29"/>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519" t="s">
        <v>3507</v>
      </c>
      <c r="D116" s="3518" t="s">
        <v>3508</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526" t="s">
        <v>3500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30">D121-$K41</f>
        <v>98</v>
      </c>
      <c r="F121" s="475">
        <f t="shared" si="30"/>
        <v>97</v>
      </c>
      <c r="G121" s="475">
        <f t="shared" si="30"/>
        <v>96</v>
      </c>
      <c r="H121" s="475">
        <f t="shared" si="30"/>
        <v>95</v>
      </c>
      <c r="I121" s="475">
        <f t="shared" si="30"/>
        <v>94</v>
      </c>
      <c r="J121" s="475">
        <f t="shared" si="30"/>
        <v>93</v>
      </c>
      <c r="K121" s="475">
        <f t="shared" si="30"/>
        <v>92</v>
      </c>
      <c r="L121" s="475">
        <f t="shared" si="30"/>
        <v>91</v>
      </c>
      <c r="M121" s="476">
        <f t="shared" si="30"/>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519" t="s">
        <v>3494</v>
      </c>
      <c r="D122" s="3519" t="s">
        <v>3501</v>
      </c>
      <c r="E122" s="3519" t="s">
        <v>3502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6" zoomScale="85" zoomScaleNormal="70" zoomScaleSheetLayoutView="85" workbookViewId="0">
      <selection activeCell="M39" sqref="M3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21</v>
      </c>
      <c r="E1" s="3131" t="s">
        <v>3516</v>
      </c>
      <c r="F1" s="1734" t="s">
        <v>3517</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e">
        <f ca="1">IF(E1="项目模式",IF(C2="——",ROUND(C50*D3/10000,0),ROUND(C50*D3/10000,0)-D2),IF(E1="单套模式",IF(C2="——",ROUND(C50*D3/10000,4),ROUND(C50*D3/10000,4)-D2)))</f>
        <v>#REF!</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 ca="1">IF(C2="——",C50,ROUND(B2*10000/D3,0))</f>
        <v>#REF!</v>
      </c>
      <c r="C3" s="344" t="s">
        <v>1768</v>
      </c>
      <c r="D3" s="343">
        <f>IF(D1="",'数据-汇总表'!E3,SUMIF('数据-汇总表'!$C19:$C33,D1,'数据-汇总表'!$E19:$E33))</f>
        <v>2167.29</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428" t="s">
        <v>1770</v>
      </c>
      <c r="D4" s="3429"/>
      <c r="E4" s="3430" t="s">
        <v>1771</v>
      </c>
      <c r="F4" s="3431"/>
      <c r="G4" s="3428" t="s">
        <v>1772</v>
      </c>
      <c r="H4" s="3429"/>
      <c r="I4" s="3428" t="s">
        <v>1773</v>
      </c>
      <c r="J4" s="3429"/>
      <c r="K4" s="537" t="s">
        <v>1774</v>
      </c>
      <c r="L4" s="2486"/>
      <c r="M4" s="2487"/>
      <c r="N4" s="2487"/>
      <c r="O4" s="2487"/>
      <c r="P4" s="3461" t="s">
        <v>1775</v>
      </c>
      <c r="Q4" s="3462"/>
      <c r="R4" s="3456" t="s">
        <v>1771</v>
      </c>
      <c r="S4" s="3457"/>
      <c r="T4" s="3456" t="s">
        <v>1772</v>
      </c>
      <c r="U4" s="3457"/>
      <c r="V4" s="3465" t="s">
        <v>1773</v>
      </c>
      <c r="W4" s="3465"/>
      <c r="X4" s="1808"/>
      <c r="Y4" s="3456" t="s">
        <v>1775</v>
      </c>
      <c r="Z4" s="3457"/>
      <c r="AA4" s="3455" t="s">
        <v>1771</v>
      </c>
      <c r="AB4" s="3455" t="s">
        <v>1772</v>
      </c>
      <c r="AC4" s="3458" t="s">
        <v>1773</v>
      </c>
    </row>
    <row r="5" spans="1:29" ht="15">
      <c r="A5" s="348"/>
      <c r="B5" s="349"/>
      <c r="C5" s="3421" t="s">
        <v>1673</v>
      </c>
      <c r="D5" s="3422"/>
      <c r="E5" s="3528" t="s">
        <v>3518</v>
      </c>
      <c r="F5" s="3420"/>
      <c r="G5" s="3529" t="s">
        <v>3518</v>
      </c>
      <c r="H5" s="3422"/>
      <c r="I5" s="3529" t="s">
        <v>3518</v>
      </c>
      <c r="J5" s="3422"/>
      <c r="K5" s="537"/>
      <c r="L5" s="2486"/>
      <c r="M5" s="2487"/>
      <c r="N5" s="2487"/>
      <c r="O5" s="2487"/>
      <c r="P5" s="3463"/>
      <c r="Q5" s="3435"/>
      <c r="R5" s="3417"/>
      <c r="S5" s="3418"/>
      <c r="T5" s="3417"/>
      <c r="U5" s="3418"/>
      <c r="V5" s="3440"/>
      <c r="W5" s="3440"/>
      <c r="X5" s="1264"/>
      <c r="Y5" s="3417"/>
      <c r="Z5" s="3418"/>
      <c r="AA5" s="3411"/>
      <c r="AB5" s="3411"/>
      <c r="AC5" s="3459"/>
    </row>
    <row r="6" spans="1:29" ht="15.75" thickBot="1">
      <c r="A6" s="350"/>
      <c r="B6" s="351"/>
      <c r="C6" s="3423" t="s">
        <v>1677</v>
      </c>
      <c r="D6" s="3424"/>
      <c r="E6" s="3425" t="s">
        <v>1677</v>
      </c>
      <c r="F6" s="3426"/>
      <c r="G6" s="3423" t="s">
        <v>1677</v>
      </c>
      <c r="H6" s="3424"/>
      <c r="I6" s="3423" t="s">
        <v>1677</v>
      </c>
      <c r="J6" s="3424"/>
      <c r="K6" s="537" t="s">
        <v>1678</v>
      </c>
      <c r="L6" s="2486"/>
      <c r="M6" s="2487"/>
      <c r="N6" s="2487"/>
      <c r="O6" s="2487"/>
      <c r="P6" s="3464"/>
      <c r="Q6" s="3437"/>
      <c r="R6" s="3417"/>
      <c r="S6" s="3418"/>
      <c r="T6" s="3438"/>
      <c r="U6" s="3439"/>
      <c r="V6" s="3440"/>
      <c r="W6" s="3440"/>
      <c r="X6" s="1264"/>
      <c r="Y6" s="3438"/>
      <c r="Z6" s="3439"/>
      <c r="AA6" s="3412"/>
      <c r="AB6" s="3412"/>
      <c r="AC6" s="3460"/>
    </row>
    <row r="7" spans="1:29" s="102" customFormat="1" ht="15.75" thickBot="1">
      <c r="A7" s="352" t="s">
        <v>1679</v>
      </c>
      <c r="B7" s="353"/>
      <c r="C7" s="354">
        <f>'数据-取费表'!B2</f>
        <v>45989</v>
      </c>
      <c r="D7" s="355">
        <v>100</v>
      </c>
      <c r="E7" s="356">
        <f>C7</f>
        <v>45989</v>
      </c>
      <c r="F7" s="357">
        <f>SUMIF(59:59,YEAR(E7)&amp;"-"&amp;MONTH(E7),60:60)</f>
        <v>100</v>
      </c>
      <c r="G7" s="356">
        <f>C7</f>
        <v>45989</v>
      </c>
      <c r="H7" s="355">
        <f>SUMIF(59:59,YEAR(G7)&amp;"-"&amp;MONTH(G7),60:60)</f>
        <v>100</v>
      </c>
      <c r="I7" s="356">
        <f>C7</f>
        <v>45989</v>
      </c>
      <c r="J7" s="355">
        <f>SUMIF(59:59,YEAR(I7)&amp;"-"&amp;MONTH(I7),60:60)</f>
        <v>100</v>
      </c>
      <c r="K7" s="38"/>
      <c r="L7" s="2488"/>
      <c r="M7" s="2439"/>
      <c r="N7" s="2439"/>
      <c r="O7" s="2439"/>
      <c r="P7" s="3466" t="s">
        <v>1680</v>
      </c>
      <c r="Q7" s="3441"/>
      <c r="R7" s="663" t="s">
        <v>14</v>
      </c>
      <c r="S7" s="664">
        <f t="shared" ref="S7:S15" si="0">F7</f>
        <v>100</v>
      </c>
      <c r="T7" s="663" t="s">
        <v>14</v>
      </c>
      <c r="U7" s="664">
        <f t="shared" ref="U7:U15" si="1">H7</f>
        <v>100</v>
      </c>
      <c r="V7" s="663" t="s">
        <v>14</v>
      </c>
      <c r="W7" s="664">
        <f t="shared" ref="W7:W15" si="2">J7</f>
        <v>100</v>
      </c>
      <c r="X7" s="665"/>
      <c r="Y7" s="3413" t="s">
        <v>1680</v>
      </c>
      <c r="Z7" s="3414"/>
      <c r="AA7" s="50">
        <f>D7/F7</f>
        <v>1</v>
      </c>
      <c r="AB7" s="50">
        <f>D7/H7</f>
        <v>1</v>
      </c>
      <c r="AC7" s="801">
        <f>D7/J7</f>
        <v>1</v>
      </c>
    </row>
    <row r="8" spans="1:29" s="102" customFormat="1" ht="15.75" thickBot="1">
      <c r="A8" s="352" t="s">
        <v>1681</v>
      </c>
      <c r="B8" s="353"/>
      <c r="C8" s="358" t="s">
        <v>3510</v>
      </c>
      <c r="D8" s="355">
        <v>100</v>
      </c>
      <c r="E8" s="358" t="s">
        <v>3511</v>
      </c>
      <c r="F8" s="357">
        <f>SUMIF(62:62,E8,63:63)-SUMIF(62:62,C8,63:63)+100</f>
        <v>102</v>
      </c>
      <c r="G8" s="358" t="s">
        <v>3511</v>
      </c>
      <c r="H8" s="355">
        <f>SUMIF(62:62,G8,63:63)-SUMIF(62:62,C8,63:63)+100</f>
        <v>102</v>
      </c>
      <c r="I8" s="358" t="s">
        <v>3511</v>
      </c>
      <c r="J8" s="355">
        <f>SUMIF(62:62,I8,63:63)-SUMIF(62:62,C8,63:63)+100</f>
        <v>102</v>
      </c>
      <c r="K8" s="38"/>
      <c r="L8" s="2488"/>
      <c r="M8" s="2439"/>
      <c r="N8" s="2439"/>
      <c r="O8" s="2439"/>
      <c r="P8" s="3466" t="s">
        <v>1683</v>
      </c>
      <c r="Q8" s="3414"/>
      <c r="R8" s="663" t="s">
        <v>14</v>
      </c>
      <c r="S8" s="664">
        <f t="shared" si="0"/>
        <v>102</v>
      </c>
      <c r="T8" s="663" t="s">
        <v>14</v>
      </c>
      <c r="U8" s="664">
        <f t="shared" si="1"/>
        <v>102</v>
      </c>
      <c r="V8" s="663" t="s">
        <v>14</v>
      </c>
      <c r="W8" s="664">
        <f t="shared" si="2"/>
        <v>102</v>
      </c>
      <c r="X8" s="665"/>
      <c r="Y8" s="3413" t="s">
        <v>1683</v>
      </c>
      <c r="Z8" s="3414"/>
      <c r="AA8" s="50">
        <f t="shared" ref="AA8:AA47" si="3">D8/F8</f>
        <v>0.98039215686274506</v>
      </c>
      <c r="AB8" s="50">
        <f t="shared" ref="AB8:AB47" si="4">D8/H8</f>
        <v>0.98039215686274506</v>
      </c>
      <c r="AC8" s="801">
        <f t="shared" ref="AC8:AC47" si="5">D8/J8</f>
        <v>0.98039215686274506</v>
      </c>
    </row>
    <row r="9" spans="1:29" s="102" customFormat="1" ht="15" thickBot="1">
      <c r="A9" s="359" t="s">
        <v>1684</v>
      </c>
      <c r="B9" s="60" t="s">
        <v>1685</v>
      </c>
      <c r="C9" s="3530" t="s">
        <v>3535</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427" t="s">
        <v>1686</v>
      </c>
      <c r="Q9" s="530"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801">
        <f t="shared" si="5"/>
        <v>1</v>
      </c>
    </row>
    <row r="10" spans="1:29" s="366" customFormat="1" ht="27" hidden="1">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27"/>
      <c r="Q10" s="530"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801">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27"/>
      <c r="Q11" s="530" t="str">
        <f t="shared" si="6"/>
        <v>容积率</v>
      </c>
      <c r="R11" s="663" t="s">
        <v>14</v>
      </c>
      <c r="S11" s="664">
        <f t="shared" si="0"/>
        <v>100</v>
      </c>
      <c r="T11" s="663" t="s">
        <v>14</v>
      </c>
      <c r="U11" s="664">
        <f t="shared" si="1"/>
        <v>100</v>
      </c>
      <c r="V11" s="663" t="s">
        <v>14</v>
      </c>
      <c r="W11" s="664">
        <f t="shared" si="2"/>
        <v>100</v>
      </c>
      <c r="X11" s="665"/>
      <c r="Y11" s="3338"/>
      <c r="Z11" s="50" t="str">
        <f t="shared" si="7"/>
        <v>容积率</v>
      </c>
      <c r="AA11" s="50">
        <f t="shared" si="3"/>
        <v>1</v>
      </c>
      <c r="AB11" s="50">
        <f t="shared" si="4"/>
        <v>1</v>
      </c>
      <c r="AC11" s="801">
        <f t="shared" si="5"/>
        <v>1</v>
      </c>
    </row>
    <row r="12" spans="1:29" s="102" customFormat="1" ht="15" hidden="1">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27"/>
      <c r="Q12" s="530">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801">
        <f>D12/J12</f>
        <v>1</v>
      </c>
    </row>
    <row r="13" spans="1:29" ht="15" hidden="1">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27"/>
      <c r="Q13" s="530">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801">
        <f t="shared" si="5"/>
        <v>1</v>
      </c>
    </row>
    <row r="14" spans="1:29" ht="15.75" hidden="1"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427"/>
      <c r="Q14" s="530">
        <f t="shared" si="6"/>
        <v>111</v>
      </c>
      <c r="R14" s="663" t="s">
        <v>14</v>
      </c>
      <c r="S14" s="664">
        <f t="shared" si="0"/>
        <v>100</v>
      </c>
      <c r="T14" s="663" t="s">
        <v>14</v>
      </c>
      <c r="U14" s="664">
        <f t="shared" si="1"/>
        <v>100</v>
      </c>
      <c r="V14" s="663" t="s">
        <v>14</v>
      </c>
      <c r="W14" s="664">
        <f t="shared" si="2"/>
        <v>100</v>
      </c>
      <c r="X14" s="665"/>
      <c r="Y14" s="3338"/>
      <c r="Z14" s="50">
        <f t="shared" si="7"/>
        <v>111</v>
      </c>
      <c r="AA14" s="50">
        <f t="shared" si="3"/>
        <v>1</v>
      </c>
      <c r="AB14" s="50">
        <f t="shared" si="4"/>
        <v>1</v>
      </c>
      <c r="AC14" s="801">
        <f t="shared" si="5"/>
        <v>1</v>
      </c>
    </row>
    <row r="15" spans="1:29" ht="15">
      <c r="A15" s="379" t="s">
        <v>1690</v>
      </c>
      <c r="B15" s="553"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453" t="s">
        <v>1691</v>
      </c>
      <c r="Q15" s="1262" t="str">
        <f t="shared" si="6"/>
        <v>办公集聚程度</v>
      </c>
      <c r="R15" s="666" t="s">
        <v>14</v>
      </c>
      <c r="S15" s="667">
        <f t="shared" si="0"/>
        <v>100</v>
      </c>
      <c r="T15" s="666" t="s">
        <v>14</v>
      </c>
      <c r="U15" s="667">
        <f t="shared" si="1"/>
        <v>100</v>
      </c>
      <c r="V15" s="666" t="s">
        <v>14</v>
      </c>
      <c r="W15" s="667">
        <f t="shared" si="2"/>
        <v>100</v>
      </c>
      <c r="X15" s="1264"/>
      <c r="Y15" s="3446" t="s">
        <v>1691</v>
      </c>
      <c r="Z15" s="1263" t="str">
        <f t="shared" si="7"/>
        <v>办公集聚程度</v>
      </c>
      <c r="AA15" s="1263">
        <f t="shared" si="3"/>
        <v>1</v>
      </c>
      <c r="AB15" s="1263">
        <f t="shared" si="4"/>
        <v>1</v>
      </c>
      <c r="AC15" s="1811">
        <f t="shared" si="5"/>
        <v>1</v>
      </c>
    </row>
    <row r="16" spans="1:29" ht="15">
      <c r="A16" s="367"/>
      <c r="B16" s="554"/>
      <c r="C16" s="1757" t="s">
        <v>3455</v>
      </c>
      <c r="D16" s="387"/>
      <c r="E16" s="1757" t="s">
        <v>3455</v>
      </c>
      <c r="F16" s="387"/>
      <c r="G16" s="1757" t="s">
        <v>3455</v>
      </c>
      <c r="H16" s="389"/>
      <c r="I16" s="1757" t="s">
        <v>3455</v>
      </c>
      <c r="J16" s="387"/>
      <c r="K16" s="541"/>
      <c r="L16" s="2492"/>
      <c r="M16" s="2487"/>
      <c r="N16" s="2487"/>
      <c r="O16" s="2487"/>
      <c r="P16" s="3454"/>
      <c r="Q16" s="1262"/>
      <c r="R16" s="666"/>
      <c r="S16" s="667"/>
      <c r="T16" s="666"/>
      <c r="U16" s="667"/>
      <c r="V16" s="666"/>
      <c r="W16" s="667"/>
      <c r="X16" s="1264"/>
      <c r="Y16" s="3447"/>
      <c r="Z16" s="1263"/>
      <c r="AA16" s="1263">
        <v>1</v>
      </c>
      <c r="AB16" s="1263">
        <v>1</v>
      </c>
      <c r="AC16" s="1811">
        <v>1</v>
      </c>
    </row>
    <row r="17" spans="1:29" ht="15">
      <c r="A17" s="367"/>
      <c r="B17" s="555"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54"/>
      <c r="Q17" s="1262" t="str">
        <f>B17</f>
        <v>交通便捷度</v>
      </c>
      <c r="R17" s="666" t="s">
        <v>14</v>
      </c>
      <c r="S17" s="667">
        <f>F17</f>
        <v>100</v>
      </c>
      <c r="T17" s="666" t="s">
        <v>14</v>
      </c>
      <c r="U17" s="667">
        <f>H17</f>
        <v>100</v>
      </c>
      <c r="V17" s="666" t="s">
        <v>14</v>
      </c>
      <c r="W17" s="667">
        <f>J17</f>
        <v>100</v>
      </c>
      <c r="X17" s="1264"/>
      <c r="Y17" s="3447"/>
      <c r="Z17" s="1263" t="str">
        <f>Q17</f>
        <v>交通便捷度</v>
      </c>
      <c r="AA17" s="1263">
        <f t="shared" si="3"/>
        <v>1</v>
      </c>
      <c r="AB17" s="1263">
        <f t="shared" si="4"/>
        <v>1</v>
      </c>
      <c r="AC17" s="1811">
        <f t="shared" si="5"/>
        <v>1</v>
      </c>
    </row>
    <row r="18" spans="1:29" ht="15">
      <c r="A18" s="367"/>
      <c r="B18" s="401"/>
      <c r="C18" s="1813" t="s">
        <v>3455</v>
      </c>
      <c r="D18" s="389"/>
      <c r="E18" s="1813" t="s">
        <v>3455</v>
      </c>
      <c r="F18" s="389"/>
      <c r="G18" s="1813" t="s">
        <v>3455</v>
      </c>
      <c r="H18" s="387"/>
      <c r="I18" s="1813" t="s">
        <v>3455</v>
      </c>
      <c r="J18" s="387"/>
      <c r="K18" s="541"/>
      <c r="L18" s="2492"/>
      <c r="M18" s="2487"/>
      <c r="N18" s="2487"/>
      <c r="O18" s="2487"/>
      <c r="P18" s="3454"/>
      <c r="Q18" s="1262"/>
      <c r="R18" s="666"/>
      <c r="S18" s="667"/>
      <c r="T18" s="666"/>
      <c r="U18" s="667"/>
      <c r="V18" s="666"/>
      <c r="W18" s="667"/>
      <c r="X18" s="1264"/>
      <c r="Y18" s="3447"/>
      <c r="Z18" s="1263"/>
      <c r="AA18" s="1263">
        <v>1</v>
      </c>
      <c r="AB18" s="1263">
        <v>1</v>
      </c>
      <c r="AC18" s="1811">
        <v>1</v>
      </c>
    </row>
    <row r="19" spans="1:29" ht="15">
      <c r="A19" s="367"/>
      <c r="B19" s="555"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54"/>
      <c r="Q19" s="1262" t="str">
        <f>B19</f>
        <v>公共配套设施</v>
      </c>
      <c r="R19" s="666" t="s">
        <v>14</v>
      </c>
      <c r="S19" s="667">
        <f>F19</f>
        <v>100</v>
      </c>
      <c r="T19" s="666" t="s">
        <v>14</v>
      </c>
      <c r="U19" s="667">
        <f>H19</f>
        <v>100</v>
      </c>
      <c r="V19" s="666" t="s">
        <v>14</v>
      </c>
      <c r="W19" s="667">
        <f>J19</f>
        <v>100</v>
      </c>
      <c r="X19" s="1264"/>
      <c r="Y19" s="3447"/>
      <c r="Z19" s="1263" t="str">
        <f>Q19</f>
        <v>公共配套设施</v>
      </c>
      <c r="AA19" s="1263">
        <f t="shared" si="3"/>
        <v>1</v>
      </c>
      <c r="AB19" s="1263">
        <f t="shared" si="4"/>
        <v>1</v>
      </c>
      <c r="AC19" s="1811">
        <f t="shared" si="5"/>
        <v>1</v>
      </c>
    </row>
    <row r="20" spans="1:29" ht="15">
      <c r="A20" s="367"/>
      <c r="B20" s="401"/>
      <c r="C20" s="1757" t="s">
        <v>3455</v>
      </c>
      <c r="D20" s="387"/>
      <c r="E20" s="1757" t="s">
        <v>3455</v>
      </c>
      <c r="F20" s="387"/>
      <c r="G20" s="1757" t="s">
        <v>3455</v>
      </c>
      <c r="H20" s="387"/>
      <c r="I20" s="1757" t="s">
        <v>3455</v>
      </c>
      <c r="J20" s="387"/>
      <c r="K20" s="541"/>
      <c r="L20" s="2492"/>
      <c r="M20" s="2487"/>
      <c r="N20" s="2487"/>
      <c r="O20" s="2487"/>
      <c r="P20" s="3454"/>
      <c r="Q20" s="1262"/>
      <c r="R20" s="666"/>
      <c r="S20" s="667"/>
      <c r="T20" s="666"/>
      <c r="U20" s="667"/>
      <c r="V20" s="666"/>
      <c r="W20" s="667"/>
      <c r="X20" s="1264"/>
      <c r="Y20" s="3447"/>
      <c r="Z20" s="1263"/>
      <c r="AA20" s="1263">
        <v>1</v>
      </c>
      <c r="AB20" s="1263">
        <v>1</v>
      </c>
      <c r="AC20" s="1811">
        <v>1</v>
      </c>
    </row>
    <row r="21" spans="1:29" ht="15">
      <c r="A21" s="367"/>
      <c r="B21" s="556"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454"/>
      <c r="Q21" s="1262" t="str">
        <f>B21</f>
        <v>基础设施水平</v>
      </c>
      <c r="R21" s="666" t="s">
        <v>14</v>
      </c>
      <c r="S21" s="667">
        <f>F21</f>
        <v>100</v>
      </c>
      <c r="T21" s="666" t="s">
        <v>14</v>
      </c>
      <c r="U21" s="667">
        <f>H21</f>
        <v>100</v>
      </c>
      <c r="V21" s="666" t="s">
        <v>14</v>
      </c>
      <c r="W21" s="667">
        <f>J21</f>
        <v>100</v>
      </c>
      <c r="X21" s="1264"/>
      <c r="Y21" s="3447"/>
      <c r="Z21" s="1263" t="str">
        <f>Q21</f>
        <v>基础设施水平</v>
      </c>
      <c r="AA21" s="1263">
        <f t="shared" ref="AA21" si="8">D21/F21</f>
        <v>1</v>
      </c>
      <c r="AB21" s="1263">
        <f t="shared" ref="AB21" si="9">D21/H21</f>
        <v>1</v>
      </c>
      <c r="AC21" s="1811">
        <f t="shared" ref="AC21" si="10">D21/J21</f>
        <v>1</v>
      </c>
    </row>
    <row r="22" spans="1:29" ht="15">
      <c r="A22" s="367"/>
      <c r="B22" s="556"/>
      <c r="C22" s="1813" t="s">
        <v>3495</v>
      </c>
      <c r="D22" s="387"/>
      <c r="E22" s="1813" t="s">
        <v>3495</v>
      </c>
      <c r="F22" s="387"/>
      <c r="G22" s="1813" t="s">
        <v>3495</v>
      </c>
      <c r="H22" s="387"/>
      <c r="I22" s="1813" t="s">
        <v>3495</v>
      </c>
      <c r="J22" s="387"/>
      <c r="K22" s="1063"/>
      <c r="L22" s="2492"/>
      <c r="M22" s="2487"/>
      <c r="N22" s="2487"/>
      <c r="O22" s="2487"/>
      <c r="P22" s="3454"/>
      <c r="Q22" s="1262"/>
      <c r="R22" s="666"/>
      <c r="S22" s="667"/>
      <c r="T22" s="666"/>
      <c r="U22" s="667"/>
      <c r="V22" s="666"/>
      <c r="W22" s="667"/>
      <c r="X22" s="1264"/>
      <c r="Y22" s="3447"/>
      <c r="Z22" s="1263"/>
      <c r="AA22" s="1263">
        <v>1</v>
      </c>
      <c r="AB22" s="1263">
        <v>1</v>
      </c>
      <c r="AC22" s="1811">
        <v>1</v>
      </c>
    </row>
    <row r="23" spans="1:29" ht="15">
      <c r="A23" s="367"/>
      <c r="B23" s="555"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54"/>
      <c r="Q23" s="1262" t="str">
        <f>B23</f>
        <v>环境质量</v>
      </c>
      <c r="R23" s="666" t="s">
        <v>14</v>
      </c>
      <c r="S23" s="667">
        <f>F23</f>
        <v>100</v>
      </c>
      <c r="T23" s="666" t="s">
        <v>14</v>
      </c>
      <c r="U23" s="667">
        <f>H23</f>
        <v>100</v>
      </c>
      <c r="V23" s="666" t="s">
        <v>14</v>
      </c>
      <c r="W23" s="667">
        <f>J23</f>
        <v>100</v>
      </c>
      <c r="X23" s="1264"/>
      <c r="Y23" s="3447"/>
      <c r="Z23" s="1263" t="str">
        <f>Q23</f>
        <v>环境质量</v>
      </c>
      <c r="AA23" s="1263">
        <f t="shared" si="3"/>
        <v>1</v>
      </c>
      <c r="AB23" s="1263">
        <f t="shared" si="4"/>
        <v>1</v>
      </c>
      <c r="AC23" s="1811">
        <f t="shared" si="5"/>
        <v>1</v>
      </c>
    </row>
    <row r="24" spans="1:29" ht="15">
      <c r="A24" s="367"/>
      <c r="B24" s="556"/>
      <c r="C24" s="1757" t="s">
        <v>3455</v>
      </c>
      <c r="D24" s="387"/>
      <c r="E24" s="1757" t="s">
        <v>3455</v>
      </c>
      <c r="F24" s="387"/>
      <c r="G24" s="1757" t="s">
        <v>3455</v>
      </c>
      <c r="H24" s="387"/>
      <c r="I24" s="1757" t="s">
        <v>3455</v>
      </c>
      <c r="J24" s="387"/>
      <c r="K24" s="541"/>
      <c r="L24" s="2492"/>
      <c r="M24" s="2487"/>
      <c r="N24" s="2487"/>
      <c r="O24" s="2487"/>
      <c r="P24" s="3454"/>
      <c r="Q24" s="1262"/>
      <c r="R24" s="666"/>
      <c r="S24" s="667"/>
      <c r="T24" s="666"/>
      <c r="U24" s="667"/>
      <c r="V24" s="666"/>
      <c r="W24" s="667"/>
      <c r="X24" s="1264"/>
      <c r="Y24" s="3447"/>
      <c r="Z24" s="1263"/>
      <c r="AA24" s="1263">
        <v>1</v>
      </c>
      <c r="AB24" s="1263">
        <v>1</v>
      </c>
      <c r="AC24" s="1811">
        <v>1</v>
      </c>
    </row>
    <row r="25" spans="1:29" ht="27">
      <c r="A25" s="348"/>
      <c r="B25" s="555" t="s">
        <v>1815</v>
      </c>
      <c r="C25" s="3533" t="s">
        <v>3541</v>
      </c>
      <c r="D25" s="374">
        <v>100</v>
      </c>
      <c r="E25" s="3527" t="s">
        <v>3541</v>
      </c>
      <c r="F25" s="374">
        <f>SUMIF(87:87,E26,88:88)-SUMIF(87:87,C26,88:88)+100</f>
        <v>100</v>
      </c>
      <c r="G25" s="3533" t="s">
        <v>3541</v>
      </c>
      <c r="H25" s="374">
        <f>SUMIF(87:87,G26,88:88)-SUMIF(87:87,C26,88:88)+100</f>
        <v>100</v>
      </c>
      <c r="I25" s="3527" t="s">
        <v>3541</v>
      </c>
      <c r="J25" s="374">
        <f>SUMIF(87:87,I26,88:88)-SUMIF(87:87,C26,88:88)+100</f>
        <v>100</v>
      </c>
      <c r="K25" s="540">
        <v>2</v>
      </c>
      <c r="L25" s="2492"/>
      <c r="M25" s="2487"/>
      <c r="N25" s="2487"/>
      <c r="O25" s="2487"/>
      <c r="P25" s="3454"/>
      <c r="Q25" s="1262" t="str">
        <f>B25</f>
        <v>毗邻道路的类型与等级</v>
      </c>
      <c r="R25" s="666" t="s">
        <v>14</v>
      </c>
      <c r="S25" s="667">
        <f>F25</f>
        <v>100</v>
      </c>
      <c r="T25" s="666" t="s">
        <v>14</v>
      </c>
      <c r="U25" s="667">
        <f>H25</f>
        <v>100</v>
      </c>
      <c r="V25" s="666" t="s">
        <v>14</v>
      </c>
      <c r="W25" s="667">
        <f>J25</f>
        <v>100</v>
      </c>
      <c r="X25" s="1264"/>
      <c r="Y25" s="3447"/>
      <c r="Z25" s="1263" t="str">
        <f>Q25</f>
        <v>毗邻道路的类型与等级</v>
      </c>
      <c r="AA25" s="1263">
        <f t="shared" si="3"/>
        <v>1</v>
      </c>
      <c r="AB25" s="1263">
        <f t="shared" si="4"/>
        <v>1</v>
      </c>
      <c r="AC25" s="1811">
        <f t="shared" si="5"/>
        <v>1</v>
      </c>
    </row>
    <row r="26" spans="1:29" ht="15">
      <c r="A26" s="348"/>
      <c r="B26" s="401"/>
      <c r="C26" s="557" t="s">
        <v>3526</v>
      </c>
      <c r="D26" s="374"/>
      <c r="E26" s="557" t="s">
        <v>3526</v>
      </c>
      <c r="F26" s="374"/>
      <c r="G26" s="557" t="s">
        <v>3526</v>
      </c>
      <c r="H26" s="374"/>
      <c r="I26" s="557" t="s">
        <v>3526</v>
      </c>
      <c r="J26" s="374"/>
      <c r="K26" s="541"/>
      <c r="L26" s="2492"/>
      <c r="M26" s="2487"/>
      <c r="N26" s="2487"/>
      <c r="O26" s="2487"/>
      <c r="P26" s="3454"/>
      <c r="Q26" s="1262"/>
      <c r="R26" s="666"/>
      <c r="S26" s="667"/>
      <c r="T26" s="666"/>
      <c r="U26" s="667"/>
      <c r="V26" s="666"/>
      <c r="W26" s="667"/>
      <c r="X26" s="1264"/>
      <c r="Y26" s="3447"/>
      <c r="Z26" s="1263"/>
      <c r="AA26" s="1263">
        <v>1</v>
      </c>
      <c r="AB26" s="1263">
        <v>1</v>
      </c>
      <c r="AC26" s="1811">
        <v>1</v>
      </c>
    </row>
    <row r="27" spans="1:29" ht="15.75" thickBot="1">
      <c r="A27" s="367"/>
      <c r="B27" s="401" t="s">
        <v>1783</v>
      </c>
      <c r="C27" s="557" t="s">
        <v>3539</v>
      </c>
      <c r="D27" s="374">
        <v>100</v>
      </c>
      <c r="E27" s="542" t="s">
        <v>3536</v>
      </c>
      <c r="F27" s="374">
        <f>SUMIF(89:89,E27,90:90)-SUMIF(89:89,C27,90:90)+100</f>
        <v>104</v>
      </c>
      <c r="G27" s="542" t="s">
        <v>3536</v>
      </c>
      <c r="H27" s="374">
        <f>SUMIF(89:89,G27,90:90)-SUMIF(89:89,C27,90:90)+100</f>
        <v>104</v>
      </c>
      <c r="I27" s="542" t="s">
        <v>3536</v>
      </c>
      <c r="J27" s="374">
        <f>SUMIF(89:89,I27,90:90)-SUMIF(89:89,C27,90:90)+100</f>
        <v>104</v>
      </c>
      <c r="K27" s="538">
        <v>2</v>
      </c>
      <c r="L27" s="2492"/>
      <c r="M27" s="2487"/>
      <c r="N27" s="2487"/>
      <c r="O27" s="2487"/>
      <c r="P27" s="3454"/>
      <c r="Q27" s="1262" t="str">
        <f t="shared" ref="Q27:Q47" si="11">B27</f>
        <v>楼层</v>
      </c>
      <c r="R27" s="666" t="s">
        <v>14</v>
      </c>
      <c r="S27" s="667">
        <f>F27</f>
        <v>104</v>
      </c>
      <c r="T27" s="666" t="s">
        <v>14</v>
      </c>
      <c r="U27" s="667">
        <f>H27</f>
        <v>104</v>
      </c>
      <c r="V27" s="666" t="s">
        <v>14</v>
      </c>
      <c r="W27" s="667">
        <f>J27</f>
        <v>104</v>
      </c>
      <c r="X27" s="1264"/>
      <c r="Y27" s="3447"/>
      <c r="Z27" s="1263" t="str">
        <f>Q27</f>
        <v>楼层</v>
      </c>
      <c r="AA27" s="1263">
        <f t="shared" si="3"/>
        <v>0.96153846153846156</v>
      </c>
      <c r="AB27" s="1263">
        <f t="shared" si="4"/>
        <v>0.96153846153846156</v>
      </c>
      <c r="AC27" s="1811">
        <f t="shared" si="5"/>
        <v>0.96153846153846156</v>
      </c>
    </row>
    <row r="28" spans="1:29" s="102" customFormat="1" ht="15" hidden="1">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54"/>
      <c r="Q28" s="530" t="str">
        <f t="shared" si="11"/>
        <v>朝向</v>
      </c>
      <c r="R28" s="663" t="s">
        <v>14</v>
      </c>
      <c r="S28" s="664">
        <f>F28</f>
        <v>100</v>
      </c>
      <c r="T28" s="663" t="s">
        <v>14</v>
      </c>
      <c r="U28" s="664">
        <f>H28</f>
        <v>100</v>
      </c>
      <c r="V28" s="663" t="s">
        <v>14</v>
      </c>
      <c r="W28" s="664">
        <f>J28</f>
        <v>100</v>
      </c>
      <c r="X28" s="665"/>
      <c r="Y28" s="3447"/>
      <c r="Z28" s="50" t="str">
        <f>Q28</f>
        <v>朝向</v>
      </c>
      <c r="AA28" s="1263">
        <f>D28/F28</f>
        <v>1</v>
      </c>
      <c r="AB28" s="1263">
        <f>D28/H28</f>
        <v>1</v>
      </c>
      <c r="AC28" s="1811">
        <f>D28/J28</f>
        <v>1</v>
      </c>
    </row>
    <row r="29" spans="1:29" ht="15" hidden="1">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54"/>
      <c r="Q29" s="1262">
        <f t="shared" si="11"/>
        <v>111</v>
      </c>
      <c r="R29" s="666" t="s">
        <v>14</v>
      </c>
      <c r="S29" s="667">
        <f t="shared" ref="S29:S47" si="12">F29</f>
        <v>100</v>
      </c>
      <c r="T29" s="666" t="s">
        <v>14</v>
      </c>
      <c r="U29" s="667">
        <f t="shared" ref="U29:U47" si="13">H29</f>
        <v>100</v>
      </c>
      <c r="V29" s="666" t="s">
        <v>14</v>
      </c>
      <c r="W29" s="667">
        <f t="shared" ref="W29:W47" si="14">J29</f>
        <v>100</v>
      </c>
      <c r="X29" s="1264"/>
      <c r="Y29" s="3447"/>
      <c r="Z29" s="1263">
        <f t="shared" ref="Z29:Z47" si="15">Q29</f>
        <v>111</v>
      </c>
      <c r="AA29" s="1263">
        <f t="shared" si="3"/>
        <v>1</v>
      </c>
      <c r="AB29" s="1263">
        <f t="shared" si="4"/>
        <v>1</v>
      </c>
      <c r="AC29" s="1811">
        <f t="shared" si="5"/>
        <v>1</v>
      </c>
    </row>
    <row r="30" spans="1:29" ht="15" hidden="1">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54"/>
      <c r="Q30" s="1262">
        <f t="shared" si="11"/>
        <v>111</v>
      </c>
      <c r="R30" s="666" t="s">
        <v>14</v>
      </c>
      <c r="S30" s="667">
        <f t="shared" si="12"/>
        <v>100</v>
      </c>
      <c r="T30" s="666" t="s">
        <v>14</v>
      </c>
      <c r="U30" s="667">
        <f t="shared" si="13"/>
        <v>100</v>
      </c>
      <c r="V30" s="666" t="s">
        <v>14</v>
      </c>
      <c r="W30" s="667">
        <f t="shared" si="14"/>
        <v>100</v>
      </c>
      <c r="X30" s="1264"/>
      <c r="Y30" s="3447"/>
      <c r="Z30" s="1263">
        <f t="shared" si="15"/>
        <v>111</v>
      </c>
      <c r="AA30" s="1263">
        <f t="shared" si="3"/>
        <v>1</v>
      </c>
      <c r="AB30" s="1263">
        <f t="shared" si="4"/>
        <v>1</v>
      </c>
      <c r="AC30" s="1811">
        <f t="shared" si="5"/>
        <v>1</v>
      </c>
    </row>
    <row r="31" spans="1:29" ht="15" hidden="1">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54"/>
      <c r="Q31" s="1262">
        <f t="shared" si="11"/>
        <v>111</v>
      </c>
      <c r="R31" s="666" t="s">
        <v>14</v>
      </c>
      <c r="S31" s="667">
        <f t="shared" si="12"/>
        <v>100</v>
      </c>
      <c r="T31" s="666" t="s">
        <v>14</v>
      </c>
      <c r="U31" s="667">
        <f t="shared" si="13"/>
        <v>100</v>
      </c>
      <c r="V31" s="666" t="s">
        <v>14</v>
      </c>
      <c r="W31" s="667">
        <f t="shared" si="14"/>
        <v>100</v>
      </c>
      <c r="X31" s="1264"/>
      <c r="Y31" s="3447"/>
      <c r="Z31" s="1263">
        <f t="shared" si="15"/>
        <v>111</v>
      </c>
      <c r="AA31" s="1263">
        <f t="shared" si="3"/>
        <v>1</v>
      </c>
      <c r="AB31" s="1263">
        <f t="shared" si="4"/>
        <v>1</v>
      </c>
      <c r="AC31" s="1811">
        <f t="shared" si="5"/>
        <v>1</v>
      </c>
    </row>
    <row r="32" spans="1:29" ht="15.75" hidden="1"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54"/>
      <c r="Q32" s="1262">
        <f t="shared" si="11"/>
        <v>111</v>
      </c>
      <c r="R32" s="666" t="s">
        <v>14</v>
      </c>
      <c r="S32" s="667">
        <f t="shared" si="12"/>
        <v>100</v>
      </c>
      <c r="T32" s="666" t="s">
        <v>14</v>
      </c>
      <c r="U32" s="667">
        <f t="shared" si="13"/>
        <v>100</v>
      </c>
      <c r="V32" s="666" t="s">
        <v>14</v>
      </c>
      <c r="W32" s="667">
        <f t="shared" si="14"/>
        <v>100</v>
      </c>
      <c r="X32" s="1264"/>
      <c r="Y32" s="3447"/>
      <c r="Z32" s="1263">
        <f t="shared" si="15"/>
        <v>111</v>
      </c>
      <c r="AA32" s="1263">
        <f t="shared" si="3"/>
        <v>1</v>
      </c>
      <c r="AB32" s="1263">
        <f t="shared" si="4"/>
        <v>1</v>
      </c>
      <c r="AC32" s="1811">
        <f t="shared" si="5"/>
        <v>1</v>
      </c>
    </row>
    <row r="33" spans="1:29" ht="15">
      <c r="A33" s="379" t="s">
        <v>1694</v>
      </c>
      <c r="B33" s="60" t="s">
        <v>1817</v>
      </c>
      <c r="C33" s="1763" t="s">
        <v>3528</v>
      </c>
      <c r="D33" s="405">
        <v>100</v>
      </c>
      <c r="E33" s="1763" t="s">
        <v>3528</v>
      </c>
      <c r="F33" s="400">
        <f>SUMIF(101:101,E33,102:102)-SUMIF(101:101,C33,102:102)+100</f>
        <v>100</v>
      </c>
      <c r="G33" s="1763" t="s">
        <v>3528</v>
      </c>
      <c r="H33" s="374">
        <f>SUMIF(101:101,G33,102:102)-SUMIF(101:101,C33,102:102)+100</f>
        <v>100</v>
      </c>
      <c r="I33" s="1763" t="s">
        <v>3528</v>
      </c>
      <c r="J33" s="405">
        <f>SUMIF(101:101,I33,102:102)-SUMIF(101:101,C33,102:102)+100</f>
        <v>100</v>
      </c>
      <c r="K33" s="538"/>
      <c r="L33" s="2492"/>
      <c r="M33" s="2487"/>
      <c r="N33" s="2487"/>
      <c r="O33" s="2487"/>
      <c r="P33" s="3448" t="s">
        <v>1696</v>
      </c>
      <c r="Q33" s="1262" t="str">
        <f t="shared" si="11"/>
        <v>建筑类型</v>
      </c>
      <c r="R33" s="666" t="s">
        <v>14</v>
      </c>
      <c r="S33" s="667">
        <f t="shared" si="12"/>
        <v>100</v>
      </c>
      <c r="T33" s="666" t="s">
        <v>14</v>
      </c>
      <c r="U33" s="667">
        <f t="shared" si="13"/>
        <v>100</v>
      </c>
      <c r="V33" s="666" t="s">
        <v>14</v>
      </c>
      <c r="W33" s="667">
        <f t="shared" si="14"/>
        <v>100</v>
      </c>
      <c r="X33" s="1264"/>
      <c r="Y33" s="3451" t="s">
        <v>1696</v>
      </c>
      <c r="Z33" s="1263" t="str">
        <f t="shared" si="15"/>
        <v>建筑类型</v>
      </c>
      <c r="AA33" s="1263">
        <f t="shared" si="3"/>
        <v>1</v>
      </c>
      <c r="AB33" s="1263">
        <f t="shared" si="4"/>
        <v>1</v>
      </c>
      <c r="AC33" s="1811">
        <f t="shared" si="5"/>
        <v>1</v>
      </c>
    </row>
    <row r="34" spans="1:29" s="408" customFormat="1" ht="15">
      <c r="A34" s="406"/>
      <c r="B34" s="364" t="s">
        <v>1697</v>
      </c>
      <c r="C34" s="407">
        <f>'数据-汇总表'!F20</f>
        <v>2167.29</v>
      </c>
      <c r="D34" s="119">
        <v>100</v>
      </c>
      <c r="E34" s="407">
        <v>214</v>
      </c>
      <c r="F34" s="364">
        <f>LOOKUP(E34,104:104,105:105)-LOOKUP(C34,104:104,105:105)+100</f>
        <v>103</v>
      </c>
      <c r="G34" s="407">
        <v>120.75</v>
      </c>
      <c r="H34" s="119">
        <f>LOOKUP(G34,104:104,105:105)-LOOKUP(C34,104:104,105:105)+100</f>
        <v>103</v>
      </c>
      <c r="I34" s="407">
        <v>180.45</v>
      </c>
      <c r="J34" s="119">
        <f>LOOKUP(I34,104:104,105:105)-LOOKUP(C34,104:104,105:105)+100</f>
        <v>103</v>
      </c>
      <c r="K34" s="539"/>
      <c r="L34" s="2491"/>
      <c r="M34" s="2493"/>
      <c r="N34" s="2493"/>
      <c r="O34" s="2493"/>
      <c r="P34" s="3449"/>
      <c r="Q34" s="531" t="str">
        <f t="shared" si="11"/>
        <v>项目建筑规模</v>
      </c>
      <c r="R34" s="668" t="s">
        <v>14</v>
      </c>
      <c r="S34" s="669">
        <f t="shared" si="12"/>
        <v>103</v>
      </c>
      <c r="T34" s="668" t="s">
        <v>14</v>
      </c>
      <c r="U34" s="669">
        <f t="shared" si="13"/>
        <v>103</v>
      </c>
      <c r="V34" s="668" t="s">
        <v>14</v>
      </c>
      <c r="W34" s="669">
        <f t="shared" si="14"/>
        <v>103</v>
      </c>
      <c r="X34" s="670"/>
      <c r="Y34" s="3451"/>
      <c r="Z34" s="671" t="str">
        <f t="shared" si="15"/>
        <v>项目建筑规模</v>
      </c>
      <c r="AA34" s="1263">
        <f t="shared" si="3"/>
        <v>0.970873786407767</v>
      </c>
      <c r="AB34" s="1263">
        <f t="shared" si="4"/>
        <v>0.970873786407767</v>
      </c>
      <c r="AC34" s="1811">
        <f t="shared" si="5"/>
        <v>0.970873786407767</v>
      </c>
    </row>
    <row r="35" spans="1:29" ht="15">
      <c r="A35" s="409"/>
      <c r="B35" s="364" t="s">
        <v>1698</v>
      </c>
      <c r="C35" s="399" t="s">
        <v>3427</v>
      </c>
      <c r="D35" s="374">
        <v>100</v>
      </c>
      <c r="E35" s="399" t="s">
        <v>3427</v>
      </c>
      <c r="F35" s="400">
        <f>SUMIF(106:106,E35,107:107)-SUMIF(106:106,C35,107:107)+100</f>
        <v>100</v>
      </c>
      <c r="G35" s="399" t="s">
        <v>3427</v>
      </c>
      <c r="H35" s="374">
        <f>SUMIF(106:106,G35,107:107)-SUMIF(106:106,C35,107:107)+100</f>
        <v>100</v>
      </c>
      <c r="I35" s="399" t="s">
        <v>3427</v>
      </c>
      <c r="J35" s="374">
        <f>SUMIF(106:106,I35,107:107)-SUMIF(106:106,C35,107:107)+100</f>
        <v>100</v>
      </c>
      <c r="K35" s="538">
        <v>1</v>
      </c>
      <c r="L35" s="2492"/>
      <c r="M35" s="2487"/>
      <c r="N35" s="2487"/>
      <c r="O35" s="2487"/>
      <c r="P35" s="3449"/>
      <c r="Q35" s="1262" t="str">
        <f t="shared" si="11"/>
        <v>建筑结构</v>
      </c>
      <c r="R35" s="666" t="s">
        <v>14</v>
      </c>
      <c r="S35" s="667">
        <f t="shared" si="12"/>
        <v>100</v>
      </c>
      <c r="T35" s="666" t="s">
        <v>14</v>
      </c>
      <c r="U35" s="667">
        <f t="shared" si="13"/>
        <v>100</v>
      </c>
      <c r="V35" s="666" t="s">
        <v>14</v>
      </c>
      <c r="W35" s="667">
        <f t="shared" si="14"/>
        <v>100</v>
      </c>
      <c r="X35" s="1264"/>
      <c r="Y35" s="3451"/>
      <c r="Z35" s="1263" t="str">
        <f t="shared" si="15"/>
        <v>建筑结构</v>
      </c>
      <c r="AA35" s="1263">
        <f t="shared" si="3"/>
        <v>1</v>
      </c>
      <c r="AB35" s="1263">
        <f t="shared" si="4"/>
        <v>1</v>
      </c>
      <c r="AC35" s="1811">
        <f t="shared" si="5"/>
        <v>1</v>
      </c>
    </row>
    <row r="36" spans="1:29" ht="15">
      <c r="A36" s="409"/>
      <c r="B36" s="364" t="s">
        <v>1785</v>
      </c>
      <c r="C36" s="399" t="s">
        <v>3493</v>
      </c>
      <c r="D36" s="374">
        <v>100</v>
      </c>
      <c r="E36" s="399" t="s">
        <v>3493</v>
      </c>
      <c r="F36" s="400">
        <f>SUMIF(108:108,E36,109:109)-SUMIF(108:108,C36,109:109)+100</f>
        <v>100</v>
      </c>
      <c r="G36" s="399" t="s">
        <v>3493</v>
      </c>
      <c r="H36" s="374">
        <f>SUMIF(108:108,G36,109:109)-SUMIF(108:108,C36,109:109)+100</f>
        <v>100</v>
      </c>
      <c r="I36" s="399" t="s">
        <v>3493</v>
      </c>
      <c r="J36" s="374">
        <f>SUMIF(108:108,I36,109:109)-SUMIF(108:108,C36,109:109)+100</f>
        <v>100</v>
      </c>
      <c r="K36" s="538">
        <v>1</v>
      </c>
      <c r="L36" s="2492"/>
      <c r="M36" s="2487"/>
      <c r="N36" s="2487"/>
      <c r="O36" s="2487"/>
      <c r="P36" s="3449"/>
      <c r="Q36" s="1262" t="str">
        <f t="shared" si="11"/>
        <v>公共部分装修</v>
      </c>
      <c r="R36" s="666" t="s">
        <v>14</v>
      </c>
      <c r="S36" s="667">
        <f t="shared" si="12"/>
        <v>100</v>
      </c>
      <c r="T36" s="666" t="s">
        <v>14</v>
      </c>
      <c r="U36" s="667">
        <f t="shared" si="13"/>
        <v>100</v>
      </c>
      <c r="V36" s="666" t="s">
        <v>14</v>
      </c>
      <c r="W36" s="667">
        <f t="shared" si="14"/>
        <v>100</v>
      </c>
      <c r="X36" s="1264"/>
      <c r="Y36" s="3451"/>
      <c r="Z36" s="1263" t="str">
        <f t="shared" si="15"/>
        <v>公共部分装修</v>
      </c>
      <c r="AA36" s="1263">
        <f t="shared" si="3"/>
        <v>1</v>
      </c>
      <c r="AB36" s="1263">
        <f t="shared" si="4"/>
        <v>1</v>
      </c>
      <c r="AC36" s="1811">
        <f t="shared" si="5"/>
        <v>1</v>
      </c>
    </row>
    <row r="37" spans="1:29" ht="15">
      <c r="A37" s="409"/>
      <c r="B37" s="364" t="s">
        <v>1786</v>
      </c>
      <c r="C37" s="411">
        <f>'数据-取费表'!Y7</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v>1</v>
      </c>
      <c r="L37" s="2492"/>
      <c r="M37" s="2487"/>
      <c r="N37" s="2487"/>
      <c r="O37" s="2487"/>
      <c r="P37" s="3449"/>
      <c r="Q37" s="1262" t="str">
        <f t="shared" si="11"/>
        <v>成新度</v>
      </c>
      <c r="R37" s="666" t="s">
        <v>14</v>
      </c>
      <c r="S37" s="667">
        <f t="shared" si="12"/>
        <v>100</v>
      </c>
      <c r="T37" s="666" t="s">
        <v>14</v>
      </c>
      <c r="U37" s="667">
        <f t="shared" si="13"/>
        <v>100</v>
      </c>
      <c r="V37" s="666" t="s">
        <v>14</v>
      </c>
      <c r="W37" s="667">
        <f t="shared" si="14"/>
        <v>100</v>
      </c>
      <c r="X37" s="1264"/>
      <c r="Y37" s="3451"/>
      <c r="Z37" s="1263" t="str">
        <f t="shared" si="15"/>
        <v>成新度</v>
      </c>
      <c r="AA37" s="1263">
        <f t="shared" si="3"/>
        <v>1</v>
      </c>
      <c r="AB37" s="1263">
        <f t="shared" si="4"/>
        <v>1</v>
      </c>
      <c r="AC37" s="1811">
        <f t="shared" si="5"/>
        <v>1</v>
      </c>
    </row>
    <row r="38" spans="1:29" s="102" customFormat="1" ht="15">
      <c r="A38" s="410"/>
      <c r="B38" s="364" t="s">
        <v>1818</v>
      </c>
      <c r="C38" s="399" t="s">
        <v>3530</v>
      </c>
      <c r="D38" s="119">
        <v>100</v>
      </c>
      <c r="E38" s="399" t="s">
        <v>3530</v>
      </c>
      <c r="F38" s="400">
        <f>SUMIF(113:113,E38,114:114)-SUMIF(113:113,C38,114:114)+100</f>
        <v>100</v>
      </c>
      <c r="G38" s="399" t="s">
        <v>3530</v>
      </c>
      <c r="H38" s="374">
        <f>SUMIF(113:113,G38,114:114)-SUMIF(113:113,C38,114:114)+100</f>
        <v>100</v>
      </c>
      <c r="I38" s="399" t="s">
        <v>3530</v>
      </c>
      <c r="J38" s="374">
        <f>SUMIF(113:113,I38,114:114)-SUMIF(113:113,C38,114:114)+100</f>
        <v>100</v>
      </c>
      <c r="K38" s="538">
        <v>1</v>
      </c>
      <c r="L38" s="2488"/>
      <c r="M38" s="2439"/>
      <c r="N38" s="2439"/>
      <c r="O38" s="2439"/>
      <c r="P38" s="3449"/>
      <c r="Q38" s="530" t="str">
        <f t="shared" si="11"/>
        <v>写字楼等级</v>
      </c>
      <c r="R38" s="663" t="s">
        <v>14</v>
      </c>
      <c r="S38" s="664">
        <f t="shared" si="12"/>
        <v>100</v>
      </c>
      <c r="T38" s="663" t="s">
        <v>14</v>
      </c>
      <c r="U38" s="664">
        <f t="shared" si="13"/>
        <v>100</v>
      </c>
      <c r="V38" s="663" t="s">
        <v>14</v>
      </c>
      <c r="W38" s="664">
        <f t="shared" si="14"/>
        <v>100</v>
      </c>
      <c r="X38" s="665"/>
      <c r="Y38" s="3451"/>
      <c r="Z38" s="50" t="str">
        <f t="shared" si="15"/>
        <v>写字楼等级</v>
      </c>
      <c r="AA38" s="50">
        <f t="shared" si="3"/>
        <v>1</v>
      </c>
      <c r="AB38" s="50">
        <f t="shared" si="4"/>
        <v>1</v>
      </c>
      <c r="AC38" s="801">
        <f t="shared" si="5"/>
        <v>1</v>
      </c>
    </row>
    <row r="39" spans="1:29" ht="15">
      <c r="A39" s="409"/>
      <c r="B39" s="364" t="s">
        <v>1819</v>
      </c>
      <c r="C39" s="399" t="s">
        <v>3531</v>
      </c>
      <c r="D39" s="374">
        <v>100</v>
      </c>
      <c r="E39" s="399" t="s">
        <v>3531</v>
      </c>
      <c r="F39" s="400">
        <f>SUMIF(115:115,E39,116:116)-SUMIF(115:115,C39,116:116)+100</f>
        <v>100</v>
      </c>
      <c r="G39" s="399" t="s">
        <v>3531</v>
      </c>
      <c r="H39" s="374">
        <f>SUMIF(115:115,G39,116:116)-SUMIF(115:115,C39,116:116)+100</f>
        <v>100</v>
      </c>
      <c r="I39" s="399" t="s">
        <v>3531</v>
      </c>
      <c r="J39" s="374">
        <f>SUMIF(115:115,I39,116:116)-SUMIF(115:115,C39,116:116)+100</f>
        <v>100</v>
      </c>
      <c r="K39" s="538">
        <v>1</v>
      </c>
      <c r="L39" s="2492"/>
      <c r="M39" s="2487"/>
      <c r="N39" s="2487"/>
      <c r="O39" s="2487"/>
      <c r="P39" s="3449" t="s">
        <v>1696</v>
      </c>
      <c r="Q39" s="1262" t="str">
        <f t="shared" si="11"/>
        <v>物业管理</v>
      </c>
      <c r="R39" s="666" t="s">
        <v>14</v>
      </c>
      <c r="S39" s="667">
        <f t="shared" si="12"/>
        <v>100</v>
      </c>
      <c r="T39" s="666" t="s">
        <v>14</v>
      </c>
      <c r="U39" s="667">
        <f t="shared" si="13"/>
        <v>100</v>
      </c>
      <c r="V39" s="666" t="s">
        <v>14</v>
      </c>
      <c r="W39" s="667">
        <f t="shared" si="14"/>
        <v>100</v>
      </c>
      <c r="X39" s="1264"/>
      <c r="Y39" s="3451" t="s">
        <v>1696</v>
      </c>
      <c r="Z39" s="1263" t="str">
        <f t="shared" si="15"/>
        <v>物业管理</v>
      </c>
      <c r="AA39" s="1263">
        <f t="shared" si="3"/>
        <v>1</v>
      </c>
      <c r="AB39" s="1263">
        <f t="shared" si="4"/>
        <v>1</v>
      </c>
      <c r="AC39" s="1811">
        <f t="shared" si="5"/>
        <v>1</v>
      </c>
    </row>
    <row r="40" spans="1:29" ht="15">
      <c r="A40" s="409"/>
      <c r="B40" s="364" t="s">
        <v>1787</v>
      </c>
      <c r="C40" s="399" t="s">
        <v>3496</v>
      </c>
      <c r="D40" s="374">
        <v>100</v>
      </c>
      <c r="E40" s="399" t="s">
        <v>3496</v>
      </c>
      <c r="F40" s="400">
        <f>SUMIF(117:117,E40,118:118)-SUMIF(117:117,C40,118:118)+100</f>
        <v>100</v>
      </c>
      <c r="G40" s="399" t="s">
        <v>3496</v>
      </c>
      <c r="H40" s="374">
        <f>SUMIF(117:117,G40,118:118)-SUMIF(117:117,C40,118:118)+100</f>
        <v>100</v>
      </c>
      <c r="I40" s="399" t="s">
        <v>3496</v>
      </c>
      <c r="J40" s="374">
        <f>SUMIF(117:117,I40,118:118)-SUMIF(117:117,C40,118:118)+100</f>
        <v>100</v>
      </c>
      <c r="K40" s="538">
        <v>1</v>
      </c>
      <c r="L40" s="2492"/>
      <c r="M40" s="2487"/>
      <c r="N40" s="2487"/>
      <c r="O40" s="2487"/>
      <c r="P40" s="3449"/>
      <c r="Q40" s="1262" t="str">
        <f t="shared" si="11"/>
        <v>市政基础设施</v>
      </c>
      <c r="R40" s="666" t="s">
        <v>14</v>
      </c>
      <c r="S40" s="667">
        <f t="shared" si="12"/>
        <v>100</v>
      </c>
      <c r="T40" s="666" t="s">
        <v>14</v>
      </c>
      <c r="U40" s="667">
        <f t="shared" si="13"/>
        <v>100</v>
      </c>
      <c r="V40" s="666" t="s">
        <v>14</v>
      </c>
      <c r="W40" s="667">
        <f t="shared" si="14"/>
        <v>100</v>
      </c>
      <c r="X40" s="1264"/>
      <c r="Y40" s="3451"/>
      <c r="Z40" s="1263" t="str">
        <f t="shared" si="15"/>
        <v>市政基础设施</v>
      </c>
      <c r="AA40" s="1263">
        <f t="shared" si="3"/>
        <v>1</v>
      </c>
      <c r="AB40" s="1263">
        <f t="shared" si="4"/>
        <v>1</v>
      </c>
      <c r="AC40" s="1811">
        <f t="shared" si="5"/>
        <v>1</v>
      </c>
    </row>
    <row r="41" spans="1:29" ht="15">
      <c r="A41" s="409"/>
      <c r="B41" s="364" t="s">
        <v>1789</v>
      </c>
      <c r="C41" s="542" t="s">
        <v>3533</v>
      </c>
      <c r="D41" s="374">
        <v>100</v>
      </c>
      <c r="E41" s="542" t="s">
        <v>3533</v>
      </c>
      <c r="F41" s="400">
        <f>SUMIF(119:119,E41,120:120)-SUMIF(119:119,C41,120:120)+100</f>
        <v>100</v>
      </c>
      <c r="G41" s="542" t="s">
        <v>3533</v>
      </c>
      <c r="H41" s="374">
        <f>SUMIF(119:119,G41,120:120)-SUMIF(119:119,C41,120:120)+100</f>
        <v>100</v>
      </c>
      <c r="I41" s="542" t="s">
        <v>3533</v>
      </c>
      <c r="J41" s="374">
        <f>SUMIF(119:119,I41,120:120)-SUMIF(119:119,C41,120:120)+100</f>
        <v>100</v>
      </c>
      <c r="K41" s="538">
        <v>1</v>
      </c>
      <c r="L41" s="2492"/>
      <c r="M41" s="2487"/>
      <c r="N41" s="2487"/>
      <c r="O41" s="2487"/>
      <c r="P41" s="3449"/>
      <c r="Q41" s="1262" t="str">
        <f t="shared" si="11"/>
        <v>层高</v>
      </c>
      <c r="R41" s="666" t="s">
        <v>14</v>
      </c>
      <c r="S41" s="667">
        <f t="shared" si="12"/>
        <v>100</v>
      </c>
      <c r="T41" s="666" t="s">
        <v>14</v>
      </c>
      <c r="U41" s="667">
        <f t="shared" si="13"/>
        <v>100</v>
      </c>
      <c r="V41" s="666" t="s">
        <v>14</v>
      </c>
      <c r="W41" s="667">
        <f t="shared" si="14"/>
        <v>100</v>
      </c>
      <c r="X41" s="1264"/>
      <c r="Y41" s="3451"/>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49"/>
      <c r="Q42" s="531" t="str">
        <f t="shared" si="11"/>
        <v>单套建筑面积</v>
      </c>
      <c r="R42" s="668" t="s">
        <v>14</v>
      </c>
      <c r="S42" s="669">
        <f t="shared" si="12"/>
        <v>100</v>
      </c>
      <c r="T42" s="668" t="s">
        <v>14</v>
      </c>
      <c r="U42" s="669">
        <f t="shared" si="13"/>
        <v>100</v>
      </c>
      <c r="V42" s="668" t="s">
        <v>14</v>
      </c>
      <c r="W42" s="669">
        <f t="shared" si="14"/>
        <v>100</v>
      </c>
      <c r="X42" s="670"/>
      <c r="Y42" s="3451"/>
      <c r="Z42" s="671" t="str">
        <f t="shared" si="15"/>
        <v>单套建筑面积</v>
      </c>
      <c r="AA42" s="1263">
        <f t="shared" si="3"/>
        <v>1</v>
      </c>
      <c r="AB42" s="1263">
        <f t="shared" si="4"/>
        <v>1</v>
      </c>
      <c r="AC42" s="1811">
        <f t="shared" si="5"/>
        <v>1</v>
      </c>
    </row>
    <row r="43" spans="1:29" ht="15.75" thickBot="1">
      <c r="A43" s="409"/>
      <c r="B43" s="364" t="s">
        <v>1792</v>
      </c>
      <c r="C43" s="399" t="s">
        <v>3502</v>
      </c>
      <c r="D43" s="374">
        <v>100</v>
      </c>
      <c r="E43" s="399" t="s">
        <v>3494</v>
      </c>
      <c r="F43" s="400">
        <f>SUMIF(123:123,E43,124:124)-SUMIF(123:123,C43,124:124)+100</f>
        <v>104</v>
      </c>
      <c r="G43" s="399" t="s">
        <v>3494</v>
      </c>
      <c r="H43" s="374">
        <f>SUMIF(123:123,G43,124:124)-SUMIF(123:123,C43,124:124)+100</f>
        <v>104</v>
      </c>
      <c r="I43" s="399" t="s">
        <v>3494</v>
      </c>
      <c r="J43" s="374">
        <f>SUMIF(123:123,I43,124:124)-SUMIF(123:123,C43,124:124)+100</f>
        <v>104</v>
      </c>
      <c r="K43" s="538">
        <v>2</v>
      </c>
      <c r="L43" s="2492"/>
      <c r="M43" s="2487"/>
      <c r="N43" s="2487"/>
      <c r="O43" s="2487"/>
      <c r="P43" s="3449"/>
      <c r="Q43" s="1262" t="str">
        <f t="shared" si="11"/>
        <v>内部装修</v>
      </c>
      <c r="R43" s="666" t="s">
        <v>14</v>
      </c>
      <c r="S43" s="667">
        <f t="shared" si="12"/>
        <v>104</v>
      </c>
      <c r="T43" s="666" t="s">
        <v>14</v>
      </c>
      <c r="U43" s="667">
        <f t="shared" si="13"/>
        <v>104</v>
      </c>
      <c r="V43" s="666" t="s">
        <v>14</v>
      </c>
      <c r="W43" s="667">
        <f t="shared" si="14"/>
        <v>104</v>
      </c>
      <c r="X43" s="1264"/>
      <c r="Y43" s="3451"/>
      <c r="Z43" s="1263" t="str">
        <f t="shared" si="15"/>
        <v>内部装修</v>
      </c>
      <c r="AA43" s="1263">
        <f t="shared" si="3"/>
        <v>0.96153846153846156</v>
      </c>
      <c r="AB43" s="1263">
        <f t="shared" si="4"/>
        <v>0.96153846153846156</v>
      </c>
      <c r="AC43" s="1811">
        <f t="shared" si="5"/>
        <v>0.96153846153846156</v>
      </c>
    </row>
    <row r="44" spans="1:29" ht="15" hidden="1">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49"/>
      <c r="Q44" s="1262" t="str">
        <f t="shared" si="11"/>
        <v>内部装修维护情况</v>
      </c>
      <c r="R44" s="666" t="s">
        <v>14</v>
      </c>
      <c r="S44" s="667">
        <f t="shared" si="12"/>
        <v>100</v>
      </c>
      <c r="T44" s="666" t="s">
        <v>14</v>
      </c>
      <c r="U44" s="667">
        <f t="shared" si="13"/>
        <v>100</v>
      </c>
      <c r="V44" s="666" t="s">
        <v>14</v>
      </c>
      <c r="W44" s="667">
        <f t="shared" si="14"/>
        <v>100</v>
      </c>
      <c r="X44" s="1264"/>
      <c r="Y44" s="3451"/>
      <c r="Z44" s="1263" t="str">
        <f t="shared" si="15"/>
        <v>内部装修维护情况</v>
      </c>
      <c r="AA44" s="1263">
        <f t="shared" si="3"/>
        <v>1</v>
      </c>
      <c r="AB44" s="1263">
        <f t="shared" si="4"/>
        <v>1</v>
      </c>
      <c r="AC44" s="1811">
        <f t="shared" si="5"/>
        <v>1</v>
      </c>
    </row>
    <row r="45" spans="1:29" s="102" customFormat="1" ht="15" hidden="1">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49"/>
      <c r="Q45" s="530">
        <f t="shared" si="11"/>
        <v>111</v>
      </c>
      <c r="R45" s="663" t="s">
        <v>14</v>
      </c>
      <c r="S45" s="664">
        <f t="shared" si="12"/>
        <v>100</v>
      </c>
      <c r="T45" s="663" t="s">
        <v>14</v>
      </c>
      <c r="U45" s="664">
        <f t="shared" si="13"/>
        <v>100</v>
      </c>
      <c r="V45" s="663" t="s">
        <v>14</v>
      </c>
      <c r="W45" s="664">
        <f t="shared" si="14"/>
        <v>100</v>
      </c>
      <c r="X45" s="665"/>
      <c r="Y45" s="3451"/>
      <c r="Z45" s="50">
        <f t="shared" si="15"/>
        <v>111</v>
      </c>
      <c r="AA45" s="50">
        <f t="shared" si="3"/>
        <v>1</v>
      </c>
      <c r="AB45" s="50">
        <f t="shared" si="4"/>
        <v>1</v>
      </c>
      <c r="AC45" s="801">
        <f t="shared" si="5"/>
        <v>1</v>
      </c>
    </row>
    <row r="46" spans="1:29" ht="15" hidden="1">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49"/>
      <c r="Q46" s="1262">
        <f t="shared" si="11"/>
        <v>111</v>
      </c>
      <c r="R46" s="666" t="s">
        <v>14</v>
      </c>
      <c r="S46" s="667">
        <f t="shared" si="12"/>
        <v>100</v>
      </c>
      <c r="T46" s="666" t="s">
        <v>14</v>
      </c>
      <c r="U46" s="667">
        <f t="shared" si="13"/>
        <v>100</v>
      </c>
      <c r="V46" s="666" t="s">
        <v>14</v>
      </c>
      <c r="W46" s="667">
        <f t="shared" si="14"/>
        <v>100</v>
      </c>
      <c r="X46" s="1264"/>
      <c r="Y46" s="3451"/>
      <c r="Z46" s="1263">
        <f t="shared" si="15"/>
        <v>111</v>
      </c>
      <c r="AA46" s="1263">
        <f t="shared" si="3"/>
        <v>1</v>
      </c>
      <c r="AB46" s="1263">
        <f t="shared" si="4"/>
        <v>1</v>
      </c>
      <c r="AC46" s="1811">
        <f t="shared" si="5"/>
        <v>1</v>
      </c>
    </row>
    <row r="47" spans="1:29" ht="15.75" hidden="1"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50"/>
      <c r="Q47" s="1262">
        <f t="shared" si="11"/>
        <v>111</v>
      </c>
      <c r="R47" s="666" t="s">
        <v>14</v>
      </c>
      <c r="S47" s="667">
        <f t="shared" si="12"/>
        <v>100</v>
      </c>
      <c r="T47" s="666" t="s">
        <v>14</v>
      </c>
      <c r="U47" s="667">
        <f t="shared" si="13"/>
        <v>100</v>
      </c>
      <c r="V47" s="666" t="s">
        <v>14</v>
      </c>
      <c r="W47" s="667">
        <f t="shared" si="14"/>
        <v>100</v>
      </c>
      <c r="X47" s="1264"/>
      <c r="Y47" s="3452"/>
      <c r="Z47" s="1263">
        <f t="shared" si="15"/>
        <v>111</v>
      </c>
      <c r="AA47" s="1263">
        <f t="shared" si="3"/>
        <v>1</v>
      </c>
      <c r="AB47" s="1263">
        <f t="shared" si="4"/>
        <v>1</v>
      </c>
      <c r="AC47" s="1811">
        <f t="shared" si="5"/>
        <v>1</v>
      </c>
    </row>
    <row r="48" spans="1:29" ht="15">
      <c r="A48" s="416" t="s">
        <v>1708</v>
      </c>
      <c r="B48" s="417"/>
      <c r="C48" s="1080" t="s">
        <v>0</v>
      </c>
      <c r="D48" s="418"/>
      <c r="E48" s="419">
        <v>4</v>
      </c>
      <c r="F48" s="420"/>
      <c r="G48" s="421">
        <v>4</v>
      </c>
      <c r="H48" s="422"/>
      <c r="I48" s="419">
        <v>3.95</v>
      </c>
      <c r="J48" s="422"/>
      <c r="K48" s="673"/>
      <c r="L48" s="2494"/>
      <c r="M48" s="2487"/>
      <c r="N48" s="2487"/>
      <c r="O48" s="2487"/>
      <c r="P48" s="3427" t="str">
        <f>A48</f>
        <v>成交单价（元/平方米）</v>
      </c>
      <c r="Q48" s="3445"/>
      <c r="R48" s="3440">
        <f>E48</f>
        <v>4</v>
      </c>
      <c r="S48" s="3440"/>
      <c r="T48" s="3440">
        <f>G48</f>
        <v>4</v>
      </c>
      <c r="U48" s="3440"/>
      <c r="V48" s="3440">
        <f>I48</f>
        <v>3.95</v>
      </c>
      <c r="W48" s="3440"/>
      <c r="X48" s="385"/>
      <c r="Y48" s="672"/>
      <c r="Z48" s="385"/>
      <c r="AA48" s="385"/>
      <c r="AB48" s="385"/>
      <c r="AC48" s="554"/>
    </row>
    <row r="49" spans="1:29" ht="15.75" thickBot="1">
      <c r="A49" s="423" t="s">
        <v>1793</v>
      </c>
      <c r="B49" s="424"/>
      <c r="C49" s="1081">
        <f>R50</f>
        <v>3.5</v>
      </c>
      <c r="D49" s="2140" t="s">
        <v>2138</v>
      </c>
      <c r="E49" s="1082">
        <f>R49</f>
        <v>3.5</v>
      </c>
      <c r="F49" s="2141"/>
      <c r="G49" s="1081">
        <f>T49</f>
        <v>3.5</v>
      </c>
      <c r="H49" s="2141"/>
      <c r="I49" s="1082">
        <f>V49</f>
        <v>3.5</v>
      </c>
      <c r="J49" s="2141"/>
      <c r="K49" s="2143">
        <f>F49+H49+J49</f>
        <v>0</v>
      </c>
      <c r="L49" s="2494"/>
      <c r="M49" s="2487"/>
      <c r="N49" s="2487"/>
      <c r="O49" s="2487"/>
      <c r="P49" s="3427" t="str">
        <f>A49</f>
        <v>比较价值（元/平方米）</v>
      </c>
      <c r="Q49" s="3445"/>
      <c r="R49" s="3440">
        <f>IF(F1="售价",ROUND(PRODUCT(R48,AA7:AA47),0),ROUND(PRODUCT(R48,AA7:AA47),1))</f>
        <v>3.5</v>
      </c>
      <c r="S49" s="3440"/>
      <c r="T49" s="3440">
        <f>IF(F1="售价",ROUND(PRODUCT(T48,AB7:AB47),0),ROUND(PRODUCT(T48,AB7:AB47),1))</f>
        <v>3.5</v>
      </c>
      <c r="U49" s="3440"/>
      <c r="V49" s="3440">
        <f>IF(F1="售价",ROUND(PRODUCT(V48,AC7:AC47),0),ROUND(PRODUCT(V48,AC7:AC47),1))</f>
        <v>3.5</v>
      </c>
      <c r="W49" s="3440"/>
      <c r="X49" s="385"/>
      <c r="Y49" s="385"/>
      <c r="Z49" s="385"/>
      <c r="AA49" s="385"/>
      <c r="AB49" s="385"/>
      <c r="AC49" s="554"/>
    </row>
    <row r="50" spans="1:29" ht="15.75" thickBot="1">
      <c r="A50" s="427" t="s">
        <v>1794</v>
      </c>
      <c r="B50" s="428"/>
      <c r="C50" s="351">
        <f>R50</f>
        <v>3.5</v>
      </c>
      <c r="D50" s="351"/>
      <c r="E50" s="351"/>
      <c r="F50" s="351"/>
      <c r="G50" s="351"/>
      <c r="H50" s="351"/>
      <c r="I50" s="351"/>
      <c r="J50" s="429"/>
      <c r="K50" s="674"/>
      <c r="L50" s="2494"/>
      <c r="M50" s="2487"/>
      <c r="N50" s="2487"/>
      <c r="O50" s="2487"/>
      <c r="P50" s="3467" t="str">
        <f>A50</f>
        <v>估价对象XX用房的比较价值（楼面单价，元/平方米）</v>
      </c>
      <c r="Q50" s="3468"/>
      <c r="R50" s="3469">
        <f>IF(F1="售价",ROUND(IF(D49="简单平均",AVERAGE(R49:V49),R49*F49+T49*H49+V49*J49),0),ROUND(IF(D49="简单平均",AVERAGE(R49:V49),R49*F49+T49*H49+V49*J49),1))</f>
        <v>3.5</v>
      </c>
      <c r="S50" s="3469"/>
      <c r="T50" s="3469"/>
      <c r="U50" s="3469"/>
      <c r="V50" s="3469"/>
      <c r="W50" s="3469"/>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0.14285714285714279</v>
      </c>
      <c r="F53" s="435" t="str">
        <f>IF(OR(E53&gt;=0.3,E53&lt;=-0.3),"超过30%","")</f>
        <v/>
      </c>
      <c r="G53" s="434">
        <f>IF(G48&lt;G49,G49/G48-1,G48/G49-1)</f>
        <v>0.14285714285714279</v>
      </c>
      <c r="H53" s="435" t="str">
        <f>IF(OR(G53&gt;=0.3,G53&lt;=-0.3),"超过30%","")</f>
        <v/>
      </c>
      <c r="I53" s="434">
        <f>IF(I48&lt;I49,I49/I48-1,I48/I49-1)</f>
        <v>0.12857142857142856</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0</v>
      </c>
      <c r="F54" s="435" t="str">
        <f>IF(OR(E54&gt;=0.2,E54&lt;=-0.2),"超过20%","")</f>
        <v/>
      </c>
      <c r="G54" s="434">
        <f>IF(G49&lt;I49,I49/G49-1,G49/I49-1)</f>
        <v>0</v>
      </c>
      <c r="H54" s="435" t="str">
        <f>IF(OR(G54&gt;=0.2,G54&lt;=-0.2),"超过20%","")</f>
        <v/>
      </c>
      <c r="I54" s="434">
        <f>IF(I49&lt;E49,E49/I49-1,I49/E49-1)</f>
        <v>0</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0</v>
      </c>
      <c r="F55" s="435" t="str">
        <f>IF(OR(E55&gt;=0.3,E55&lt;=-0.3),"超过30%","")</f>
        <v/>
      </c>
      <c r="G55" s="434">
        <f>IF(G48&lt;I48,I48/G48-1,G48/I48-1)</f>
        <v>1.2658227848101111E-2</v>
      </c>
      <c r="H55" s="435" t="str">
        <f>IF(OR(G55&gt;=0.3,G55&lt;=-0.3),"超过30%","")</f>
        <v/>
      </c>
      <c r="I55" s="434">
        <f>IF(I48&lt;E48,E48/I48-1,I48/E48-1)</f>
        <v>1.2658227848101111E-2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2025-11</v>
      </c>
      <c r="D59" s="1103">
        <f>EDATE(C59,-1)</f>
        <v>45931</v>
      </c>
      <c r="E59" s="1103">
        <f>EDATE(D59,-1)</f>
        <v>45901</v>
      </c>
      <c r="F59" s="1103">
        <f t="shared" ref="F59:O59" si="16">EDATE(E59,-1)</f>
        <v>45870</v>
      </c>
      <c r="G59" s="1103">
        <f t="shared" si="16"/>
        <v>45839</v>
      </c>
      <c r="H59" s="1103">
        <f t="shared" si="16"/>
        <v>45809</v>
      </c>
      <c r="I59" s="1103">
        <f t="shared" si="16"/>
        <v>45778</v>
      </c>
      <c r="J59" s="1103">
        <f t="shared" si="16"/>
        <v>45748</v>
      </c>
      <c r="K59" s="1103">
        <f t="shared" si="16"/>
        <v>45717</v>
      </c>
      <c r="L59" s="1103">
        <f t="shared" si="16"/>
        <v>45689</v>
      </c>
      <c r="M59" s="1103">
        <f t="shared" si="16"/>
        <v>45658</v>
      </c>
      <c r="N59" s="1103">
        <f t="shared" si="16"/>
        <v>45627</v>
      </c>
      <c r="O59" s="1103">
        <f t="shared" si="16"/>
        <v>45597</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517" t="s">
        <v>3534</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3519</v>
      </c>
      <c r="D66" s="513" t="s">
        <v>3520</v>
      </c>
      <c r="E66" s="513" t="s">
        <v>3521</v>
      </c>
      <c r="F66" s="513" t="s">
        <v>3522</v>
      </c>
      <c r="G66" s="513" t="s">
        <v>3523</v>
      </c>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f t="shared" ref="C67:F67" si="17">D67-2</f>
        <v>92</v>
      </c>
      <c r="D67" s="467">
        <f t="shared" si="17"/>
        <v>94</v>
      </c>
      <c r="E67" s="467">
        <f t="shared" si="17"/>
        <v>96</v>
      </c>
      <c r="F67" s="467">
        <f t="shared" si="17"/>
        <v>98</v>
      </c>
      <c r="G67" s="467">
        <v>100</v>
      </c>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0" t="s">
        <v>1799</v>
      </c>
      <c r="D83" s="580" t="s">
        <v>1800</v>
      </c>
      <c r="E83" s="580" t="s">
        <v>1801</v>
      </c>
      <c r="F83" s="580" t="s">
        <v>1802</v>
      </c>
      <c r="G83" s="580"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t="s">
        <v>3524</v>
      </c>
      <c r="D87" s="3523" t="s">
        <v>3525</v>
      </c>
      <c r="E87" s="3523" t="s">
        <v>3526</v>
      </c>
      <c r="F87" s="3523" t="s">
        <v>3527</v>
      </c>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523" t="s">
        <v>3537</v>
      </c>
      <c r="D89" s="3523" t="s">
        <v>3538</v>
      </c>
      <c r="E89" s="3523" t="s">
        <v>3540</v>
      </c>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531" t="s">
        <v>3528</v>
      </c>
      <c r="D101" s="3531" t="s">
        <v>3529</v>
      </c>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3">C102-$K33</f>
        <v>100</v>
      </c>
      <c r="E102" s="475">
        <f t="shared" si="23"/>
        <v>100</v>
      </c>
      <c r="F102" s="475">
        <f t="shared" si="23"/>
        <v>100</v>
      </c>
      <c r="G102" s="475">
        <f t="shared" si="23"/>
        <v>100</v>
      </c>
      <c r="H102" s="475">
        <f t="shared" si="23"/>
        <v>100</v>
      </c>
      <c r="I102" s="475">
        <f t="shared" si="23"/>
        <v>100</v>
      </c>
      <c r="J102" s="475">
        <f t="shared" si="23"/>
        <v>100</v>
      </c>
      <c r="K102" s="475">
        <f t="shared" si="23"/>
        <v>100</v>
      </c>
      <c r="L102" s="475">
        <f t="shared" si="23"/>
        <v>100</v>
      </c>
      <c r="M102" s="476">
        <f t="shared" si="23"/>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0(含)-500</v>
      </c>
      <c r="D103" s="509" t="str">
        <f t="shared" ref="D103:L103" si="24">D104&amp;"(含)"&amp;"-"&amp;E104</f>
        <v>500(含)-1000</v>
      </c>
      <c r="E103" s="509" t="str">
        <f t="shared" si="24"/>
        <v>1000(含)-2000</v>
      </c>
      <c r="F103" s="509" t="str">
        <f t="shared" si="24"/>
        <v>2000(含)-5000</v>
      </c>
      <c r="G103" s="509" t="str">
        <f t="shared" si="24"/>
        <v>5000(含)-</v>
      </c>
      <c r="H103" s="509" t="str">
        <f t="shared" si="24"/>
        <v>(含)-</v>
      </c>
      <c r="I103" s="509" t="str">
        <f t="shared" si="24"/>
        <v>(含)-</v>
      </c>
      <c r="J103" s="509" t="str">
        <f t="shared" si="24"/>
        <v>(含)-</v>
      </c>
      <c r="K103" s="509" t="str">
        <f t="shared" si="24"/>
        <v>(含)-</v>
      </c>
      <c r="L103" s="509" t="str">
        <f t="shared" si="24"/>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2000</v>
      </c>
      <c r="G104" s="6">
        <v>5000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67">
        <f>D105-1</f>
        <v>98</v>
      </c>
      <c r="F105" s="467">
        <f>E105-1</f>
        <v>97</v>
      </c>
      <c r="G105" s="467">
        <f>F105-1</f>
        <v>96</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523" t="s">
        <v>3427</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5">C107-$K35</f>
        <v>99</v>
      </c>
      <c r="E107" s="475">
        <f t="shared" si="25"/>
        <v>98</v>
      </c>
      <c r="F107" s="475">
        <f t="shared" si="25"/>
        <v>97</v>
      </c>
      <c r="G107" s="475">
        <f t="shared" si="25"/>
        <v>96</v>
      </c>
      <c r="H107" s="475">
        <f t="shared" si="25"/>
        <v>95</v>
      </c>
      <c r="I107" s="475">
        <f t="shared" si="25"/>
        <v>94</v>
      </c>
      <c r="J107" s="475">
        <f t="shared" si="25"/>
        <v>93</v>
      </c>
      <c r="K107" s="475">
        <f t="shared" si="25"/>
        <v>92</v>
      </c>
      <c r="L107" s="475">
        <f t="shared" si="25"/>
        <v>91</v>
      </c>
      <c r="M107" s="476">
        <f t="shared" si="25"/>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523" t="s">
        <v>3493</v>
      </c>
      <c r="D108" s="3523" t="s">
        <v>3494</v>
      </c>
      <c r="E108" s="3523" t="s">
        <v>3501</v>
      </c>
      <c r="F108" s="3532" t="s">
        <v>3502</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6">C109-$K36</f>
        <v>99</v>
      </c>
      <c r="E109" s="475">
        <f t="shared" si="26"/>
        <v>98</v>
      </c>
      <c r="F109" s="475">
        <f t="shared" si="26"/>
        <v>97</v>
      </c>
      <c r="G109" s="475">
        <f t="shared" si="26"/>
        <v>96</v>
      </c>
      <c r="H109" s="475">
        <f t="shared" si="26"/>
        <v>95</v>
      </c>
      <c r="I109" s="475">
        <f t="shared" si="26"/>
        <v>94</v>
      </c>
      <c r="J109" s="475">
        <f t="shared" si="26"/>
        <v>93</v>
      </c>
      <c r="K109" s="475">
        <f t="shared" si="26"/>
        <v>92</v>
      </c>
      <c r="L109" s="475">
        <f t="shared" si="26"/>
        <v>91</v>
      </c>
      <c r="M109" s="476">
        <f t="shared" si="26"/>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523" t="s">
        <v>3530</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8">D114-$K38</f>
        <v>98</v>
      </c>
      <c r="F114" s="475">
        <f t="shared" si="28"/>
        <v>97</v>
      </c>
      <c r="G114" s="475">
        <f t="shared" si="28"/>
        <v>96</v>
      </c>
      <c r="H114" s="475">
        <f t="shared" si="28"/>
        <v>95</v>
      </c>
      <c r="I114" s="475">
        <f t="shared" si="28"/>
        <v>94</v>
      </c>
      <c r="J114" s="475">
        <f t="shared" si="28"/>
        <v>93</v>
      </c>
      <c r="K114" s="475">
        <f t="shared" si="28"/>
        <v>92</v>
      </c>
      <c r="L114" s="475">
        <f t="shared" si="28"/>
        <v>91</v>
      </c>
      <c r="M114" s="475">
        <f t="shared" si="28"/>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523" t="s">
        <v>3531</v>
      </c>
      <c r="D115" s="3523" t="s">
        <v>3532</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9">C116-$K39</f>
        <v>99</v>
      </c>
      <c r="E116" s="475">
        <f t="shared" si="29"/>
        <v>98</v>
      </c>
      <c r="F116" s="475">
        <f t="shared" si="29"/>
        <v>97</v>
      </c>
      <c r="G116" s="475">
        <f t="shared" si="29"/>
        <v>96</v>
      </c>
      <c r="H116" s="475">
        <f t="shared" si="29"/>
        <v>95</v>
      </c>
      <c r="I116" s="475">
        <f t="shared" si="29"/>
        <v>94</v>
      </c>
      <c r="J116" s="475">
        <f t="shared" si="29"/>
        <v>93</v>
      </c>
      <c r="K116" s="475">
        <f t="shared" si="29"/>
        <v>92</v>
      </c>
      <c r="L116" s="475">
        <f t="shared" si="29"/>
        <v>91</v>
      </c>
      <c r="M116" s="476">
        <f t="shared" si="29"/>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523" t="s">
        <v>3495</v>
      </c>
      <c r="D117" s="3523" t="s">
        <v>3496</v>
      </c>
      <c r="E117" s="3523" t="s">
        <v>3497</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1825</v>
      </c>
      <c r="C119" s="3532" t="s">
        <v>3533</v>
      </c>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30">D120-$K41</f>
        <v>98</v>
      </c>
      <c r="F120" s="475">
        <f t="shared" si="30"/>
        <v>97</v>
      </c>
      <c r="G120" s="475">
        <f t="shared" si="30"/>
        <v>96</v>
      </c>
      <c r="H120" s="475">
        <f t="shared" si="30"/>
        <v>95</v>
      </c>
      <c r="I120" s="475">
        <f t="shared" si="30"/>
        <v>94</v>
      </c>
      <c r="J120" s="475">
        <f t="shared" si="30"/>
        <v>93</v>
      </c>
      <c r="K120" s="475">
        <f t="shared" si="30"/>
        <v>92</v>
      </c>
      <c r="L120" s="475">
        <f t="shared" si="30"/>
        <v>91</v>
      </c>
      <c r="M120" s="475">
        <f t="shared" si="30"/>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523" t="s">
        <v>3493</v>
      </c>
      <c r="D123" s="3523" t="s">
        <v>3494</v>
      </c>
      <c r="E123" s="3523" t="s">
        <v>3501</v>
      </c>
      <c r="F123" s="3532" t="s">
        <v>3502</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43CD0-B2F2-4D28-B35C-A519F890E299}">
  <dimension ref="A1"/>
  <sheetViews>
    <sheetView zoomScaleNormal="100" workbookViewId="0">
      <selection activeCell="S18" sqref="S18"/>
    </sheetView>
  </sheetViews>
  <sheetFormatPr defaultRowHeight="13.5"/>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4B9BF-B9F7-49FB-88CC-8F4F4A55CB11}">
  <dimension ref="A1"/>
  <sheetViews>
    <sheetView workbookViewId="0">
      <selection activeCell="Q15" sqref="Q15"/>
    </sheetView>
  </sheetViews>
  <sheetFormatPr defaultRowHeight="13.5"/>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2765.9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428" t="s">
        <v>1770</v>
      </c>
      <c r="D4" s="3429"/>
      <c r="E4" s="3430" t="s">
        <v>1771</v>
      </c>
      <c r="F4" s="3431"/>
      <c r="G4" s="3428" t="s">
        <v>1772</v>
      </c>
      <c r="H4" s="3429"/>
      <c r="I4" s="3428" t="s">
        <v>1773</v>
      </c>
      <c r="J4" s="3429"/>
      <c r="K4" s="537" t="s">
        <v>1774</v>
      </c>
      <c r="L4" s="859"/>
      <c r="M4" s="860"/>
      <c r="N4" s="860"/>
      <c r="O4" s="860"/>
      <c r="P4" s="3432" t="s">
        <v>1775</v>
      </c>
      <c r="Q4" s="3433"/>
      <c r="R4" s="3415" t="s">
        <v>1771</v>
      </c>
      <c r="S4" s="3416"/>
      <c r="T4" s="3415" t="s">
        <v>1772</v>
      </c>
      <c r="U4" s="3416"/>
      <c r="V4" s="3440" t="s">
        <v>1773</v>
      </c>
      <c r="W4" s="3440"/>
      <c r="X4" s="1264"/>
      <c r="Y4" s="3415" t="s">
        <v>1775</v>
      </c>
      <c r="Z4" s="3416"/>
      <c r="AA4" s="3410" t="s">
        <v>1771</v>
      </c>
      <c r="AB4" s="3411" t="s">
        <v>1772</v>
      </c>
      <c r="AC4" s="3410" t="s">
        <v>1773</v>
      </c>
    </row>
    <row r="5" spans="1:29" ht="15">
      <c r="A5" s="348"/>
      <c r="B5" s="349"/>
      <c r="C5" s="3421" t="s">
        <v>1673</v>
      </c>
      <c r="D5" s="3422"/>
      <c r="E5" s="3419" t="s">
        <v>1674</v>
      </c>
      <c r="F5" s="3420"/>
      <c r="G5" s="3421" t="s">
        <v>1675</v>
      </c>
      <c r="H5" s="3422"/>
      <c r="I5" s="3421" t="s">
        <v>1676</v>
      </c>
      <c r="J5" s="3422"/>
      <c r="K5" s="537"/>
      <c r="L5" s="859"/>
      <c r="M5" s="860"/>
      <c r="N5" s="860"/>
      <c r="O5" s="860"/>
      <c r="P5" s="3434"/>
      <c r="Q5" s="3435"/>
      <c r="R5" s="3417"/>
      <c r="S5" s="3418"/>
      <c r="T5" s="3417"/>
      <c r="U5" s="3418"/>
      <c r="V5" s="3440"/>
      <c r="W5" s="3440"/>
      <c r="X5" s="1264"/>
      <c r="Y5" s="3417"/>
      <c r="Z5" s="3418"/>
      <c r="AA5" s="3411"/>
      <c r="AB5" s="3411"/>
      <c r="AC5" s="3411"/>
    </row>
    <row r="6" spans="1:29" ht="15.75" thickBot="1">
      <c r="A6" s="350"/>
      <c r="B6" s="351"/>
      <c r="C6" s="3423" t="s">
        <v>1677</v>
      </c>
      <c r="D6" s="3424"/>
      <c r="E6" s="3425" t="s">
        <v>1677</v>
      </c>
      <c r="F6" s="3426"/>
      <c r="G6" s="3423" t="s">
        <v>1677</v>
      </c>
      <c r="H6" s="3424"/>
      <c r="I6" s="3423" t="s">
        <v>1677</v>
      </c>
      <c r="J6" s="3424"/>
      <c r="K6" s="537" t="s">
        <v>1678</v>
      </c>
      <c r="L6" s="859"/>
      <c r="M6" s="860"/>
      <c r="N6" s="860"/>
      <c r="O6" s="860"/>
      <c r="P6" s="3436"/>
      <c r="Q6" s="3437"/>
      <c r="R6" s="3417"/>
      <c r="S6" s="3418"/>
      <c r="T6" s="3438"/>
      <c r="U6" s="3439"/>
      <c r="V6" s="3440"/>
      <c r="W6" s="3440"/>
      <c r="X6" s="1264"/>
      <c r="Y6" s="3438"/>
      <c r="Z6" s="3439"/>
      <c r="AA6" s="3412"/>
      <c r="AB6" s="3412"/>
      <c r="AC6" s="3412"/>
    </row>
    <row r="7" spans="1:29" s="102" customFormat="1" ht="15.75" thickBot="1">
      <c r="A7" s="352" t="s">
        <v>1679</v>
      </c>
      <c r="B7" s="353"/>
      <c r="C7" s="354">
        <f>'数据-取费表'!B2</f>
        <v>45989</v>
      </c>
      <c r="D7" s="355">
        <v>100</v>
      </c>
      <c r="E7" s="356"/>
      <c r="F7" s="357">
        <f>SUMIF(52:52,YEAR(E7)&amp;"-"&amp;MONTH(E7),53:53)</f>
        <v>0</v>
      </c>
      <c r="G7" s="356"/>
      <c r="H7" s="355">
        <f>SUMIF(52:52,YEAR(G7)&amp;"-"&amp;MONTH(G7),53:53)</f>
        <v>0</v>
      </c>
      <c r="I7" s="356"/>
      <c r="J7" s="355">
        <f>SUMIF(52:52,YEAR(I7)&amp;"-"&amp;MONTH(I7),53:53)</f>
        <v>0</v>
      </c>
      <c r="K7" s="38"/>
      <c r="L7" s="861"/>
      <c r="M7" s="862"/>
      <c r="N7" s="862"/>
      <c r="O7" s="862"/>
      <c r="P7" s="3413" t="s">
        <v>1680</v>
      </c>
      <c r="Q7" s="3441"/>
      <c r="R7" s="663" t="s">
        <v>14</v>
      </c>
      <c r="S7" s="664">
        <f t="shared" ref="S7:S15" si="0">F7</f>
        <v>0</v>
      </c>
      <c r="T7" s="663" t="s">
        <v>14</v>
      </c>
      <c r="U7" s="664">
        <f t="shared" ref="U7:U15" si="1">H7</f>
        <v>0</v>
      </c>
      <c r="V7" s="663" t="s">
        <v>14</v>
      </c>
      <c r="W7" s="664">
        <f t="shared" ref="W7:W15" si="2">J7</f>
        <v>0</v>
      </c>
      <c r="X7" s="665"/>
      <c r="Y7" s="3413" t="s">
        <v>1680</v>
      </c>
      <c r="Z7" s="341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13" t="s">
        <v>1683</v>
      </c>
      <c r="Q8" s="3414"/>
      <c r="R8" s="663" t="s">
        <v>14</v>
      </c>
      <c r="S8" s="664">
        <f t="shared" si="0"/>
        <v>100</v>
      </c>
      <c r="T8" s="663" t="s">
        <v>14</v>
      </c>
      <c r="U8" s="664">
        <f t="shared" si="1"/>
        <v>100</v>
      </c>
      <c r="V8" s="663" t="s">
        <v>14</v>
      </c>
      <c r="W8" s="664">
        <f t="shared" si="2"/>
        <v>100</v>
      </c>
      <c r="X8" s="665"/>
      <c r="Y8" s="3413" t="s">
        <v>1683</v>
      </c>
      <c r="Z8" s="341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45" t="s">
        <v>1686</v>
      </c>
      <c r="Q9" s="530"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45"/>
      <c r="Q10" s="530"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45"/>
      <c r="Q11" s="530" t="str">
        <f t="shared" si="6"/>
        <v>容积率</v>
      </c>
      <c r="R11" s="663" t="s">
        <v>14</v>
      </c>
      <c r="S11" s="664">
        <f t="shared" si="0"/>
        <v>100</v>
      </c>
      <c r="T11" s="663" t="s">
        <v>14</v>
      </c>
      <c r="U11" s="664">
        <f t="shared" si="1"/>
        <v>100</v>
      </c>
      <c r="V11" s="663" t="s">
        <v>14</v>
      </c>
      <c r="W11" s="664">
        <f t="shared" si="2"/>
        <v>100</v>
      </c>
      <c r="X11" s="665"/>
      <c r="Y11" s="333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45"/>
      <c r="Q12" s="530">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45"/>
      <c r="Q13" s="530">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45"/>
      <c r="Q14" s="530">
        <f t="shared" si="6"/>
        <v>111</v>
      </c>
      <c r="R14" s="663" t="s">
        <v>14</v>
      </c>
      <c r="S14" s="664">
        <f t="shared" si="0"/>
        <v>100</v>
      </c>
      <c r="T14" s="663" t="s">
        <v>14</v>
      </c>
      <c r="U14" s="664">
        <f t="shared" si="1"/>
        <v>100</v>
      </c>
      <c r="V14" s="663" t="s">
        <v>14</v>
      </c>
      <c r="W14" s="664">
        <f t="shared" si="2"/>
        <v>100</v>
      </c>
      <c r="X14" s="665"/>
      <c r="Y14" s="3338"/>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46" t="s">
        <v>1691</v>
      </c>
      <c r="Q15" s="1262" t="str">
        <f t="shared" si="6"/>
        <v>产业集聚程度</v>
      </c>
      <c r="R15" s="666" t="s">
        <v>14</v>
      </c>
      <c r="S15" s="667">
        <f t="shared" si="0"/>
        <v>100</v>
      </c>
      <c r="T15" s="666" t="s">
        <v>14</v>
      </c>
      <c r="U15" s="667">
        <f t="shared" si="1"/>
        <v>100</v>
      </c>
      <c r="V15" s="666" t="s">
        <v>14</v>
      </c>
      <c r="W15" s="667">
        <f t="shared" si="2"/>
        <v>100</v>
      </c>
      <c r="X15" s="1264"/>
      <c r="Y15" s="344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47"/>
      <c r="Q16" s="1262"/>
      <c r="R16" s="666"/>
      <c r="S16" s="667"/>
      <c r="T16" s="666"/>
      <c r="U16" s="667"/>
      <c r="V16" s="666"/>
      <c r="W16" s="667"/>
      <c r="X16" s="1264"/>
      <c r="Y16" s="3447"/>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47"/>
      <c r="Q17" s="1262" t="str">
        <f>B17</f>
        <v>交通便捷度</v>
      </c>
      <c r="R17" s="666" t="s">
        <v>14</v>
      </c>
      <c r="S17" s="667">
        <f>F17</f>
        <v>100</v>
      </c>
      <c r="T17" s="666" t="s">
        <v>14</v>
      </c>
      <c r="U17" s="667">
        <f>H17</f>
        <v>100</v>
      </c>
      <c r="V17" s="666" t="s">
        <v>14</v>
      </c>
      <c r="W17" s="667">
        <f>J17</f>
        <v>100</v>
      </c>
      <c r="X17" s="1264"/>
      <c r="Y17" s="344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47"/>
      <c r="Q18" s="1262"/>
      <c r="R18" s="666"/>
      <c r="S18" s="667"/>
      <c r="T18" s="666"/>
      <c r="U18" s="667"/>
      <c r="V18" s="666"/>
      <c r="W18" s="667"/>
      <c r="X18" s="1264"/>
      <c r="Y18" s="3447"/>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47"/>
      <c r="Q19" s="1262" t="str">
        <f>B19</f>
        <v>公共配套设施</v>
      </c>
      <c r="R19" s="666" t="s">
        <v>14</v>
      </c>
      <c r="S19" s="667">
        <f>F19</f>
        <v>100</v>
      </c>
      <c r="T19" s="666" t="s">
        <v>14</v>
      </c>
      <c r="U19" s="667">
        <f>H19</f>
        <v>100</v>
      </c>
      <c r="V19" s="666" t="s">
        <v>14</v>
      </c>
      <c r="W19" s="667">
        <f>J19</f>
        <v>100</v>
      </c>
      <c r="X19" s="1264"/>
      <c r="Y19" s="344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47"/>
      <c r="Q20" s="1262"/>
      <c r="R20" s="666"/>
      <c r="S20" s="667"/>
      <c r="T20" s="666"/>
      <c r="U20" s="667"/>
      <c r="V20" s="666"/>
      <c r="W20" s="667"/>
      <c r="X20" s="1264"/>
      <c r="Y20" s="3447"/>
      <c r="Z20" s="1263"/>
      <c r="AA20" s="1263">
        <v>1</v>
      </c>
      <c r="AB20" s="1263">
        <v>1</v>
      </c>
      <c r="AC20" s="1263">
        <v>1</v>
      </c>
    </row>
    <row r="21" spans="1:29" ht="15">
      <c r="A21" s="367"/>
      <c r="B21" s="585"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47"/>
      <c r="Q21" s="1262" t="str">
        <f>B21</f>
        <v>基础设施水平</v>
      </c>
      <c r="R21" s="666" t="s">
        <v>14</v>
      </c>
      <c r="S21" s="667">
        <f>F21</f>
        <v>100</v>
      </c>
      <c r="T21" s="666" t="s">
        <v>14</v>
      </c>
      <c r="U21" s="667">
        <f>H21</f>
        <v>100</v>
      </c>
      <c r="V21" s="666" t="s">
        <v>14</v>
      </c>
      <c r="W21" s="667">
        <f>J21</f>
        <v>100</v>
      </c>
      <c r="X21" s="1264"/>
      <c r="Y21" s="3447"/>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447"/>
      <c r="Q22" s="1262"/>
      <c r="R22" s="666"/>
      <c r="S22" s="667"/>
      <c r="T22" s="666"/>
      <c r="U22" s="667"/>
      <c r="V22" s="666"/>
      <c r="W22" s="667"/>
      <c r="X22" s="1264"/>
      <c r="Y22" s="3447"/>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47"/>
      <c r="Q23" s="1262" t="str">
        <f>B23</f>
        <v>环境质量</v>
      </c>
      <c r="R23" s="666" t="s">
        <v>14</v>
      </c>
      <c r="S23" s="667">
        <f>F23</f>
        <v>100</v>
      </c>
      <c r="T23" s="666" t="s">
        <v>14</v>
      </c>
      <c r="U23" s="667">
        <f>H23</f>
        <v>100</v>
      </c>
      <c r="V23" s="666" t="s">
        <v>14</v>
      </c>
      <c r="W23" s="667">
        <f>J23</f>
        <v>100</v>
      </c>
      <c r="X23" s="1264"/>
      <c r="Y23" s="3447"/>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447"/>
      <c r="Q24" s="1262"/>
      <c r="R24" s="666"/>
      <c r="S24" s="667"/>
      <c r="T24" s="666"/>
      <c r="U24" s="667"/>
      <c r="V24" s="666"/>
      <c r="W24" s="667"/>
      <c r="X24" s="1264"/>
      <c r="Y24" s="3447"/>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47"/>
      <c r="Q25" s="1262">
        <f>B25</f>
        <v>111</v>
      </c>
      <c r="R25" s="666" t="s">
        <v>14</v>
      </c>
      <c r="S25" s="667">
        <f>F25</f>
        <v>100</v>
      </c>
      <c r="T25" s="666" t="s">
        <v>14</v>
      </c>
      <c r="U25" s="667">
        <f>H25</f>
        <v>100</v>
      </c>
      <c r="V25" s="666" t="s">
        <v>14</v>
      </c>
      <c r="W25" s="667">
        <f>J25</f>
        <v>100</v>
      </c>
      <c r="X25" s="1264"/>
      <c r="Y25" s="3447"/>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47"/>
      <c r="Q26" s="1262">
        <f t="shared" ref="Q26:Q40" si="11">B26</f>
        <v>111</v>
      </c>
      <c r="R26" s="666" t="s">
        <v>14</v>
      </c>
      <c r="S26" s="667">
        <f>F26</f>
        <v>100</v>
      </c>
      <c r="T26" s="666" t="s">
        <v>14</v>
      </c>
      <c r="U26" s="667">
        <f>H26</f>
        <v>100</v>
      </c>
      <c r="V26" s="666" t="s">
        <v>14</v>
      </c>
      <c r="W26" s="667">
        <f>J26</f>
        <v>100</v>
      </c>
      <c r="X26" s="1264"/>
      <c r="Y26" s="3447"/>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47"/>
      <c r="Q27" s="530">
        <f t="shared" si="11"/>
        <v>111</v>
      </c>
      <c r="R27" s="663" t="s">
        <v>14</v>
      </c>
      <c r="S27" s="664">
        <f>F27</f>
        <v>100</v>
      </c>
      <c r="T27" s="663" t="s">
        <v>14</v>
      </c>
      <c r="U27" s="664">
        <f>H27</f>
        <v>100</v>
      </c>
      <c r="V27" s="663" t="s">
        <v>14</v>
      </c>
      <c r="W27" s="664">
        <f>J27</f>
        <v>100</v>
      </c>
      <c r="X27" s="665"/>
      <c r="Y27" s="3447"/>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47"/>
      <c r="Q28" s="1262">
        <f t="shared" si="11"/>
        <v>111</v>
      </c>
      <c r="R28" s="666" t="s">
        <v>14</v>
      </c>
      <c r="S28" s="667">
        <f t="shared" ref="S28:S40" si="12">F28</f>
        <v>100</v>
      </c>
      <c r="T28" s="666" t="s">
        <v>14</v>
      </c>
      <c r="U28" s="667">
        <f t="shared" ref="U28:U40" si="13">H28</f>
        <v>100</v>
      </c>
      <c r="V28" s="666" t="s">
        <v>14</v>
      </c>
      <c r="W28" s="667">
        <f t="shared" ref="W28:W40" si="14">J28</f>
        <v>100</v>
      </c>
      <c r="X28" s="1264"/>
      <c r="Y28" s="3447"/>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70" t="s">
        <v>1696</v>
      </c>
      <c r="Q29" s="1262" t="str">
        <f t="shared" si="11"/>
        <v>建筑类型</v>
      </c>
      <c r="R29" s="666" t="s">
        <v>14</v>
      </c>
      <c r="S29" s="667">
        <f t="shared" si="12"/>
        <v>100</v>
      </c>
      <c r="T29" s="666" t="s">
        <v>14</v>
      </c>
      <c r="U29" s="667">
        <f t="shared" si="13"/>
        <v>100</v>
      </c>
      <c r="V29" s="666" t="s">
        <v>14</v>
      </c>
      <c r="W29" s="667">
        <f t="shared" si="14"/>
        <v>100</v>
      </c>
      <c r="X29" s="1264"/>
      <c r="Y29" s="345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51"/>
      <c r="Q30" s="531" t="str">
        <f t="shared" si="11"/>
        <v>项目建筑规模</v>
      </c>
      <c r="R30" s="668" t="s">
        <v>14</v>
      </c>
      <c r="S30" s="669" t="e">
        <f t="shared" si="12"/>
        <v>#N/A</v>
      </c>
      <c r="T30" s="668" t="s">
        <v>14</v>
      </c>
      <c r="U30" s="669" t="e">
        <f t="shared" si="13"/>
        <v>#N/A</v>
      </c>
      <c r="V30" s="668" t="s">
        <v>14</v>
      </c>
      <c r="W30" s="669" t="e">
        <f t="shared" si="14"/>
        <v>#N/A</v>
      </c>
      <c r="X30" s="670"/>
      <c r="Y30" s="3451"/>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51"/>
      <c r="Q31" s="1262" t="str">
        <f t="shared" si="11"/>
        <v>建筑结构</v>
      </c>
      <c r="R31" s="666" t="s">
        <v>14</v>
      </c>
      <c r="S31" s="667">
        <f t="shared" si="12"/>
        <v>100</v>
      </c>
      <c r="T31" s="666" t="s">
        <v>14</v>
      </c>
      <c r="U31" s="667">
        <f t="shared" si="13"/>
        <v>100</v>
      </c>
      <c r="V31" s="666" t="s">
        <v>14</v>
      </c>
      <c r="W31" s="667">
        <f t="shared" si="14"/>
        <v>100</v>
      </c>
      <c r="X31" s="1264"/>
      <c r="Y31" s="345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51"/>
      <c r="Q32" s="1262" t="str">
        <f t="shared" si="11"/>
        <v>公共部分装修</v>
      </c>
      <c r="R32" s="666" t="s">
        <v>14</v>
      </c>
      <c r="S32" s="667">
        <f t="shared" si="12"/>
        <v>100</v>
      </c>
      <c r="T32" s="666" t="s">
        <v>14</v>
      </c>
      <c r="U32" s="667">
        <f t="shared" si="13"/>
        <v>100</v>
      </c>
      <c r="V32" s="666" t="s">
        <v>14</v>
      </c>
      <c r="W32" s="667">
        <f t="shared" si="14"/>
        <v>100</v>
      </c>
      <c r="X32" s="1264"/>
      <c r="Y32" s="345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51"/>
      <c r="Q33" s="1262" t="str">
        <f t="shared" si="11"/>
        <v>成新度</v>
      </c>
      <c r="R33" s="666" t="s">
        <v>14</v>
      </c>
      <c r="S33" s="667" t="e">
        <f t="shared" si="12"/>
        <v>#N/A</v>
      </c>
      <c r="T33" s="666" t="s">
        <v>14</v>
      </c>
      <c r="U33" s="667" t="e">
        <f t="shared" si="13"/>
        <v>#N/A</v>
      </c>
      <c r="V33" s="666" t="s">
        <v>14</v>
      </c>
      <c r="W33" s="667" t="e">
        <f t="shared" si="14"/>
        <v>#N/A</v>
      </c>
      <c r="X33" s="1264"/>
      <c r="Y33" s="345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51"/>
      <c r="Q34" s="530" t="str">
        <f t="shared" si="11"/>
        <v>物业管理</v>
      </c>
      <c r="R34" s="663" t="s">
        <v>14</v>
      </c>
      <c r="S34" s="664">
        <f t="shared" si="12"/>
        <v>100</v>
      </c>
      <c r="T34" s="663" t="s">
        <v>14</v>
      </c>
      <c r="U34" s="664">
        <f t="shared" si="13"/>
        <v>100</v>
      </c>
      <c r="V34" s="663" t="s">
        <v>14</v>
      </c>
      <c r="W34" s="664">
        <f t="shared" si="14"/>
        <v>100</v>
      </c>
      <c r="X34" s="665"/>
      <c r="Y34" s="345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51" t="s">
        <v>1696</v>
      </c>
      <c r="Q35" s="1262" t="str">
        <f t="shared" si="11"/>
        <v>市政基础设施</v>
      </c>
      <c r="R35" s="666" t="s">
        <v>14</v>
      </c>
      <c r="S35" s="667">
        <f t="shared" si="12"/>
        <v>100</v>
      </c>
      <c r="T35" s="666" t="s">
        <v>14</v>
      </c>
      <c r="U35" s="667">
        <f t="shared" si="13"/>
        <v>100</v>
      </c>
      <c r="V35" s="666" t="s">
        <v>14</v>
      </c>
      <c r="W35" s="667">
        <f t="shared" si="14"/>
        <v>100</v>
      </c>
      <c r="X35" s="1264"/>
      <c r="Y35" s="345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51"/>
      <c r="Q36" s="1262" t="str">
        <f t="shared" si="11"/>
        <v>内部装修</v>
      </c>
      <c r="R36" s="666" t="s">
        <v>14</v>
      </c>
      <c r="S36" s="667">
        <f t="shared" si="12"/>
        <v>100</v>
      </c>
      <c r="T36" s="666" t="s">
        <v>14</v>
      </c>
      <c r="U36" s="667">
        <f t="shared" si="13"/>
        <v>100</v>
      </c>
      <c r="V36" s="666" t="s">
        <v>14</v>
      </c>
      <c r="W36" s="667">
        <f t="shared" si="14"/>
        <v>100</v>
      </c>
      <c r="X36" s="1264"/>
      <c r="Y36" s="345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51"/>
      <c r="Q37" s="1262" t="str">
        <f t="shared" si="11"/>
        <v>内部装修状况</v>
      </c>
      <c r="R37" s="666" t="s">
        <v>14</v>
      </c>
      <c r="S37" s="667">
        <f t="shared" si="12"/>
        <v>100</v>
      </c>
      <c r="T37" s="666" t="s">
        <v>14</v>
      </c>
      <c r="U37" s="667">
        <f t="shared" si="13"/>
        <v>100</v>
      </c>
      <c r="V37" s="666" t="s">
        <v>14</v>
      </c>
      <c r="W37" s="667">
        <f t="shared" si="14"/>
        <v>100</v>
      </c>
      <c r="X37" s="1264"/>
      <c r="Y37" s="3451"/>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51"/>
      <c r="Q38" s="531">
        <f t="shared" si="11"/>
        <v>111</v>
      </c>
      <c r="R38" s="668" t="s">
        <v>14</v>
      </c>
      <c r="S38" s="669">
        <f t="shared" si="12"/>
        <v>100</v>
      </c>
      <c r="T38" s="668" t="s">
        <v>14</v>
      </c>
      <c r="U38" s="669">
        <f t="shared" si="13"/>
        <v>100</v>
      </c>
      <c r="V38" s="668" t="s">
        <v>14</v>
      </c>
      <c r="W38" s="669">
        <f t="shared" si="14"/>
        <v>100</v>
      </c>
      <c r="X38" s="670"/>
      <c r="Y38" s="3451"/>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51"/>
      <c r="Q39" s="1262">
        <f t="shared" si="11"/>
        <v>111</v>
      </c>
      <c r="R39" s="666" t="s">
        <v>14</v>
      </c>
      <c r="S39" s="667">
        <f t="shared" si="12"/>
        <v>100</v>
      </c>
      <c r="T39" s="666" t="s">
        <v>14</v>
      </c>
      <c r="U39" s="667">
        <f t="shared" si="13"/>
        <v>100</v>
      </c>
      <c r="V39" s="666" t="s">
        <v>14</v>
      </c>
      <c r="W39" s="667">
        <f t="shared" si="14"/>
        <v>100</v>
      </c>
      <c r="X39" s="1264"/>
      <c r="Y39" s="3451"/>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52"/>
      <c r="Q40" s="1262">
        <f t="shared" si="11"/>
        <v>111</v>
      </c>
      <c r="R40" s="666" t="s">
        <v>14</v>
      </c>
      <c r="S40" s="667">
        <f t="shared" si="12"/>
        <v>100</v>
      </c>
      <c r="T40" s="666" t="s">
        <v>14</v>
      </c>
      <c r="U40" s="667">
        <f t="shared" si="13"/>
        <v>100</v>
      </c>
      <c r="V40" s="666" t="s">
        <v>14</v>
      </c>
      <c r="W40" s="667">
        <f t="shared" si="14"/>
        <v>100</v>
      </c>
      <c r="X40" s="1264"/>
      <c r="Y40" s="3452"/>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445" t="str">
        <f>A41</f>
        <v>成交单价（元/平方米）</v>
      </c>
      <c r="Q41" s="3445"/>
      <c r="R41" s="3440">
        <f>E41</f>
        <v>0</v>
      </c>
      <c r="S41" s="3440"/>
      <c r="T41" s="3440">
        <f>G41</f>
        <v>0</v>
      </c>
      <c r="U41" s="3440"/>
      <c r="V41" s="3440">
        <f>I41</f>
        <v>0</v>
      </c>
      <c r="W41" s="3440"/>
      <c r="X41" s="385"/>
      <c r="Y41" s="672"/>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445" t="str">
        <f>A42</f>
        <v>比较价值（元/平方米）</v>
      </c>
      <c r="Q42" s="3445"/>
      <c r="R42" s="3440" t="e">
        <f>IF(F1="售价",ROUND(PRODUCT(R41,AA7:AA40),0),ROUND(PRODUCT(R41,AA7:AA40),1))</f>
        <v>#DIV/0!</v>
      </c>
      <c r="S42" s="3440"/>
      <c r="T42" s="3440" t="e">
        <f>IF(F1="售价",ROUND(PRODUCT(T41,AB7:AB40),0),ROUND(PRODUCT(T41,AB7:AB40),1))</f>
        <v>#DIV/0!</v>
      </c>
      <c r="U42" s="3440"/>
      <c r="V42" s="3440" t="e">
        <f>IF(F1="售价",ROUND(PRODUCT(V41,AC7:AC40),0),ROUND(PRODUCT(V41,AC7:AC40),1))</f>
        <v>#DIV/0!</v>
      </c>
      <c r="W42" s="3440"/>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2025-11</v>
      </c>
      <c r="D52" s="1103">
        <f>EDATE(C52,-1)</f>
        <v>45931</v>
      </c>
      <c r="E52" s="1103">
        <f t="shared" ref="E52:O52" si="16">EDATE(D52,-1)</f>
        <v>45901</v>
      </c>
      <c r="F52" s="1103">
        <f t="shared" si="16"/>
        <v>45870</v>
      </c>
      <c r="G52" s="1103">
        <f t="shared" si="16"/>
        <v>45839</v>
      </c>
      <c r="H52" s="1103">
        <f t="shared" si="16"/>
        <v>45809</v>
      </c>
      <c r="I52" s="1103">
        <f t="shared" si="16"/>
        <v>45778</v>
      </c>
      <c r="J52" s="1103">
        <f t="shared" si="16"/>
        <v>45748</v>
      </c>
      <c r="K52" s="1103">
        <f t="shared" si="16"/>
        <v>45717</v>
      </c>
      <c r="L52" s="1103">
        <f t="shared" si="16"/>
        <v>45689</v>
      </c>
      <c r="M52" s="1103">
        <f t="shared" si="16"/>
        <v>45658</v>
      </c>
      <c r="N52" s="1103">
        <f t="shared" si="16"/>
        <v>45627</v>
      </c>
      <c r="O52" s="1103">
        <f t="shared" si="16"/>
        <v>45597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1769</v>
      </c>
      <c r="B4" s="346"/>
      <c r="C4" s="3428" t="s">
        <v>1770</v>
      </c>
      <c r="D4" s="3429"/>
      <c r="E4" s="3430" t="s">
        <v>1771</v>
      </c>
      <c r="F4" s="3431"/>
      <c r="G4" s="3428" t="s">
        <v>1772</v>
      </c>
      <c r="H4" s="3429"/>
      <c r="I4" s="3428" t="s">
        <v>1773</v>
      </c>
      <c r="J4" s="3429"/>
      <c r="K4" s="537" t="s">
        <v>1774</v>
      </c>
      <c r="L4" s="2486"/>
      <c r="M4" s="2487"/>
      <c r="N4" s="2487"/>
      <c r="O4" s="2487"/>
      <c r="P4" s="3432" t="s">
        <v>1775</v>
      </c>
      <c r="Q4" s="3433"/>
      <c r="R4" s="3415" t="s">
        <v>1771</v>
      </c>
      <c r="S4" s="3416"/>
      <c r="T4" s="3415" t="s">
        <v>1772</v>
      </c>
      <c r="U4" s="3416"/>
      <c r="V4" s="3440" t="s">
        <v>1773</v>
      </c>
      <c r="W4" s="3440"/>
      <c r="X4" s="1264"/>
      <c r="Y4" s="3415" t="s">
        <v>1775</v>
      </c>
      <c r="Z4" s="3416"/>
      <c r="AA4" s="3410" t="s">
        <v>1771</v>
      </c>
      <c r="AB4" s="3411" t="s">
        <v>1772</v>
      </c>
      <c r="AC4" s="3410" t="s">
        <v>1773</v>
      </c>
    </row>
    <row r="5" spans="1:29" ht="15">
      <c r="A5" s="348"/>
      <c r="B5" s="349"/>
      <c r="C5" s="3421" t="s">
        <v>1673</v>
      </c>
      <c r="D5" s="3422"/>
      <c r="E5" s="3419" t="s">
        <v>1674</v>
      </c>
      <c r="F5" s="3420"/>
      <c r="G5" s="3421" t="s">
        <v>1675</v>
      </c>
      <c r="H5" s="3422"/>
      <c r="I5" s="3421" t="s">
        <v>1676</v>
      </c>
      <c r="J5" s="3422"/>
      <c r="K5" s="537"/>
      <c r="L5" s="2486"/>
      <c r="M5" s="2487"/>
      <c r="N5" s="2487"/>
      <c r="O5" s="2487"/>
      <c r="P5" s="3434"/>
      <c r="Q5" s="3435"/>
      <c r="R5" s="3417"/>
      <c r="S5" s="3418"/>
      <c r="T5" s="3417"/>
      <c r="U5" s="3418"/>
      <c r="V5" s="3440"/>
      <c r="W5" s="3440"/>
      <c r="X5" s="1264"/>
      <c r="Y5" s="3417"/>
      <c r="Z5" s="3418"/>
      <c r="AA5" s="3411"/>
      <c r="AB5" s="3411"/>
      <c r="AC5" s="3411"/>
    </row>
    <row r="6" spans="1:29" ht="15.75" thickBot="1">
      <c r="A6" s="350"/>
      <c r="B6" s="351"/>
      <c r="C6" s="3423" t="s">
        <v>1677</v>
      </c>
      <c r="D6" s="3424"/>
      <c r="E6" s="3425" t="s">
        <v>1677</v>
      </c>
      <c r="F6" s="3426"/>
      <c r="G6" s="3423" t="s">
        <v>1677</v>
      </c>
      <c r="H6" s="3424"/>
      <c r="I6" s="3423" t="s">
        <v>1677</v>
      </c>
      <c r="J6" s="3424"/>
      <c r="K6" s="537" t="s">
        <v>1678</v>
      </c>
      <c r="L6" s="2486"/>
      <c r="M6" s="2487"/>
      <c r="N6" s="2487"/>
      <c r="O6" s="2487"/>
      <c r="P6" s="3436"/>
      <c r="Q6" s="3437"/>
      <c r="R6" s="3417"/>
      <c r="S6" s="3418"/>
      <c r="T6" s="3438"/>
      <c r="U6" s="3439"/>
      <c r="V6" s="3440"/>
      <c r="W6" s="3440"/>
      <c r="X6" s="1264"/>
      <c r="Y6" s="3438"/>
      <c r="Z6" s="3439"/>
      <c r="AA6" s="3412"/>
      <c r="AB6" s="3412"/>
      <c r="AC6" s="3412"/>
    </row>
    <row r="7" spans="1:29" s="102" customFormat="1" ht="15.75" thickBot="1">
      <c r="A7" s="352" t="s">
        <v>1679</v>
      </c>
      <c r="B7" s="353"/>
      <c r="C7" s="354">
        <f>'数据-取费表'!B2</f>
        <v>45989</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3" t="s">
        <v>1680</v>
      </c>
      <c r="Q7" s="3441"/>
      <c r="R7" s="663" t="s">
        <v>14</v>
      </c>
      <c r="S7" s="664">
        <f t="shared" ref="S7:S14" si="0">F7</f>
        <v>0</v>
      </c>
      <c r="T7" s="663" t="s">
        <v>14</v>
      </c>
      <c r="U7" s="664">
        <f t="shared" ref="U7:U14" si="1">H7</f>
        <v>0</v>
      </c>
      <c r="V7" s="663" t="s">
        <v>14</v>
      </c>
      <c r="W7" s="664">
        <f t="shared" ref="W7:W14" si="2">J7</f>
        <v>0</v>
      </c>
      <c r="X7" s="665"/>
      <c r="Y7" s="3413" t="s">
        <v>1680</v>
      </c>
      <c r="Z7" s="341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3" t="s">
        <v>1683</v>
      </c>
      <c r="Q8" s="3414"/>
      <c r="R8" s="663" t="s">
        <v>14</v>
      </c>
      <c r="S8" s="664">
        <f t="shared" si="0"/>
        <v>100</v>
      </c>
      <c r="T8" s="663" t="s">
        <v>14</v>
      </c>
      <c r="U8" s="664">
        <f t="shared" si="1"/>
        <v>100</v>
      </c>
      <c r="V8" s="663" t="s">
        <v>14</v>
      </c>
      <c r="W8" s="664">
        <f t="shared" si="2"/>
        <v>100</v>
      </c>
      <c r="X8" s="665"/>
      <c r="Y8" s="3413" t="s">
        <v>1683</v>
      </c>
      <c r="Z8" s="3414"/>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45" t="s">
        <v>1686</v>
      </c>
      <c r="Q9" s="530" t="str">
        <f t="shared" ref="Q9:Q14" si="6">B9</f>
        <v>用途</v>
      </c>
      <c r="R9" s="663" t="s">
        <v>14</v>
      </c>
      <c r="S9" s="664">
        <f t="shared" si="0"/>
        <v>100</v>
      </c>
      <c r="T9" s="663" t="s">
        <v>14</v>
      </c>
      <c r="U9" s="664">
        <f t="shared" si="1"/>
        <v>100</v>
      </c>
      <c r="V9" s="663" t="s">
        <v>14</v>
      </c>
      <c r="W9" s="664">
        <f t="shared" si="2"/>
        <v>100</v>
      </c>
      <c r="X9" s="665"/>
      <c r="Y9" s="3338" t="s">
        <v>1687</v>
      </c>
      <c r="Z9" s="50" t="str">
        <f t="shared" ref="Z9:Z14" si="7">Q9</f>
        <v>用途</v>
      </c>
      <c r="AA9" s="50">
        <f t="shared" si="3"/>
        <v>1</v>
      </c>
      <c r="AB9" s="50">
        <f t="shared" si="4"/>
        <v>1</v>
      </c>
      <c r="AC9" s="50">
        <f t="shared" si="5"/>
        <v>1</v>
      </c>
    </row>
    <row r="10" spans="1:29" s="366" customFormat="1" ht="27">
      <c r="A10" s="564"/>
      <c r="B10" s="565"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45"/>
      <c r="Q10" s="530"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45"/>
      <c r="Q11" s="530">
        <f t="shared" si="6"/>
        <v>111</v>
      </c>
      <c r="R11" s="663" t="s">
        <v>14</v>
      </c>
      <c r="S11" s="664">
        <f t="shared" si="0"/>
        <v>100</v>
      </c>
      <c r="T11" s="663" t="s">
        <v>14</v>
      </c>
      <c r="U11" s="664">
        <f t="shared" si="1"/>
        <v>100</v>
      </c>
      <c r="V11" s="663" t="s">
        <v>14</v>
      </c>
      <c r="W11" s="664">
        <f t="shared" si="2"/>
        <v>100</v>
      </c>
      <c r="X11" s="665"/>
      <c r="Y11" s="3338"/>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45"/>
      <c r="Q12" s="530">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45"/>
      <c r="Q13" s="530">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50">
        <f t="shared" si="5"/>
        <v>1</v>
      </c>
    </row>
    <row r="14" spans="1:29" ht="15">
      <c r="A14" s="345" t="s">
        <v>1690</v>
      </c>
      <c r="B14" s="553"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46" t="s">
        <v>1691</v>
      </c>
      <c r="Q14" s="1262" t="str">
        <f t="shared" si="6"/>
        <v>交通便捷度</v>
      </c>
      <c r="R14" s="666" t="s">
        <v>14</v>
      </c>
      <c r="S14" s="667">
        <f t="shared" si="0"/>
        <v>100</v>
      </c>
      <c r="T14" s="666" t="s">
        <v>14</v>
      </c>
      <c r="U14" s="667">
        <f t="shared" si="1"/>
        <v>100</v>
      </c>
      <c r="V14" s="666" t="s">
        <v>14</v>
      </c>
      <c r="W14" s="667">
        <f t="shared" si="2"/>
        <v>100</v>
      </c>
      <c r="X14" s="1264"/>
      <c r="Y14" s="3446"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447"/>
      <c r="Q15" s="1262"/>
      <c r="R15" s="666"/>
      <c r="S15" s="667"/>
      <c r="T15" s="666"/>
      <c r="U15" s="667"/>
      <c r="V15" s="666"/>
      <c r="W15" s="667"/>
      <c r="X15" s="1264"/>
      <c r="Y15" s="3447"/>
      <c r="Z15" s="1263"/>
      <c r="AA15" s="1263">
        <v>1</v>
      </c>
      <c r="AB15" s="1263">
        <v>1</v>
      </c>
      <c r="AC15" s="1263">
        <v>1</v>
      </c>
    </row>
    <row r="16" spans="1:29" ht="15">
      <c r="A16" s="348"/>
      <c r="B16" s="555"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47"/>
      <c r="Q16" s="1262" t="str">
        <f>B16</f>
        <v>公共配套设施</v>
      </c>
      <c r="R16" s="666" t="s">
        <v>14</v>
      </c>
      <c r="S16" s="667">
        <f>F16</f>
        <v>100</v>
      </c>
      <c r="T16" s="666" t="s">
        <v>14</v>
      </c>
      <c r="U16" s="667">
        <f>H16</f>
        <v>100</v>
      </c>
      <c r="V16" s="666" t="s">
        <v>14</v>
      </c>
      <c r="W16" s="667">
        <f>J16</f>
        <v>100</v>
      </c>
      <c r="X16" s="1264"/>
      <c r="Y16" s="344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47"/>
      <c r="Q17" s="1262"/>
      <c r="R17" s="666"/>
      <c r="S17" s="667"/>
      <c r="T17" s="666"/>
      <c r="U17" s="667"/>
      <c r="V17" s="666"/>
      <c r="W17" s="667"/>
      <c r="X17" s="1264"/>
      <c r="Y17" s="3447"/>
      <c r="Z17" s="1263"/>
      <c r="AA17" s="1263">
        <v>1</v>
      </c>
      <c r="AB17" s="1263">
        <v>1</v>
      </c>
      <c r="AC17" s="1263">
        <v>1</v>
      </c>
    </row>
    <row r="18" spans="1:29" ht="15">
      <c r="A18" s="348"/>
      <c r="B18" s="556"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47"/>
      <c r="Q18" s="1262" t="str">
        <f>B18</f>
        <v>基础设施水平</v>
      </c>
      <c r="R18" s="666" t="s">
        <v>14</v>
      </c>
      <c r="S18" s="667">
        <f>F18</f>
        <v>100</v>
      </c>
      <c r="T18" s="666" t="s">
        <v>14</v>
      </c>
      <c r="U18" s="667">
        <f>H18</f>
        <v>100</v>
      </c>
      <c r="V18" s="666" t="s">
        <v>14</v>
      </c>
      <c r="W18" s="667">
        <f>J18</f>
        <v>100</v>
      </c>
      <c r="X18" s="1264"/>
      <c r="Y18" s="3447"/>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447"/>
      <c r="Q19" s="1262"/>
      <c r="R19" s="666"/>
      <c r="S19" s="667"/>
      <c r="T19" s="666"/>
      <c r="U19" s="667"/>
      <c r="V19" s="666"/>
      <c r="W19" s="667"/>
      <c r="X19" s="1264"/>
      <c r="Y19" s="3447"/>
      <c r="Z19" s="1263"/>
      <c r="AA19" s="1263">
        <v>1</v>
      </c>
      <c r="AB19" s="1263">
        <v>1</v>
      </c>
      <c r="AC19" s="1263">
        <v>1</v>
      </c>
    </row>
    <row r="20" spans="1:29" ht="15">
      <c r="A20" s="348"/>
      <c r="B20" s="555"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47"/>
      <c r="Q20" s="1262" t="str">
        <f>B20</f>
        <v>自然及人文环境</v>
      </c>
      <c r="R20" s="666" t="s">
        <v>14</v>
      </c>
      <c r="S20" s="667">
        <f>F20</f>
        <v>100</v>
      </c>
      <c r="T20" s="666" t="s">
        <v>14</v>
      </c>
      <c r="U20" s="667">
        <f>H20</f>
        <v>100</v>
      </c>
      <c r="V20" s="666" t="s">
        <v>14</v>
      </c>
      <c r="W20" s="667">
        <f>J20</f>
        <v>100</v>
      </c>
      <c r="X20" s="1264"/>
      <c r="Y20" s="344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47"/>
      <c r="Q21" s="1262"/>
      <c r="R21" s="666"/>
      <c r="S21" s="667"/>
      <c r="T21" s="666"/>
      <c r="U21" s="667"/>
      <c r="V21" s="666"/>
      <c r="W21" s="667"/>
      <c r="X21" s="1264"/>
      <c r="Y21" s="3447"/>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47"/>
      <c r="Q22" s="1262" t="str">
        <f>B22</f>
        <v>楼层</v>
      </c>
      <c r="R22" s="666" t="s">
        <v>14</v>
      </c>
      <c r="S22" s="667">
        <f>F22</f>
        <v>100</v>
      </c>
      <c r="T22" s="666" t="s">
        <v>14</v>
      </c>
      <c r="U22" s="667">
        <f>H22</f>
        <v>100</v>
      </c>
      <c r="V22" s="666" t="s">
        <v>14</v>
      </c>
      <c r="W22" s="667">
        <f>J22</f>
        <v>100</v>
      </c>
      <c r="X22" s="1264"/>
      <c r="Y22" s="344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47"/>
      <c r="Q23" s="1262">
        <f>B23</f>
        <v>111</v>
      </c>
      <c r="R23" s="666" t="s">
        <v>14</v>
      </c>
      <c r="S23" s="667">
        <f>F23</f>
        <v>100</v>
      </c>
      <c r="T23" s="666" t="s">
        <v>14</v>
      </c>
      <c r="U23" s="667">
        <f>H23</f>
        <v>100</v>
      </c>
      <c r="V23" s="666" t="s">
        <v>14</v>
      </c>
      <c r="W23" s="667">
        <f>J23</f>
        <v>100</v>
      </c>
      <c r="X23" s="1264"/>
      <c r="Y23" s="344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47"/>
      <c r="Q24" s="1262">
        <f t="shared" ref="Q24:Q36" si="11">B24</f>
        <v>111</v>
      </c>
      <c r="R24" s="666" t="s">
        <v>14</v>
      </c>
      <c r="S24" s="667">
        <f>F24</f>
        <v>100</v>
      </c>
      <c r="T24" s="666" t="s">
        <v>14</v>
      </c>
      <c r="U24" s="667">
        <f>H24</f>
        <v>100</v>
      </c>
      <c r="V24" s="666" t="s">
        <v>14</v>
      </c>
      <c r="W24" s="667">
        <f>J24</f>
        <v>100</v>
      </c>
      <c r="X24" s="1264"/>
      <c r="Y24" s="3447"/>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447"/>
      <c r="Q25" s="530">
        <f t="shared" si="11"/>
        <v>111</v>
      </c>
      <c r="R25" s="663" t="s">
        <v>14</v>
      </c>
      <c r="S25" s="664">
        <f>F25</f>
        <v>100</v>
      </c>
      <c r="T25" s="663" t="s">
        <v>14</v>
      </c>
      <c r="U25" s="664">
        <f>H25</f>
        <v>100</v>
      </c>
      <c r="V25" s="663" t="s">
        <v>14</v>
      </c>
      <c r="W25" s="664">
        <f>J25</f>
        <v>100</v>
      </c>
      <c r="X25" s="665"/>
      <c r="Y25" s="3447"/>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70"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51"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451"/>
      <c r="Q27" s="531" t="str">
        <f t="shared" si="11"/>
        <v>项目停车位配比</v>
      </c>
      <c r="R27" s="668" t="s">
        <v>14</v>
      </c>
      <c r="S27" s="669">
        <f t="shared" si="12"/>
        <v>100</v>
      </c>
      <c r="T27" s="668" t="s">
        <v>14</v>
      </c>
      <c r="U27" s="669">
        <f t="shared" si="13"/>
        <v>100</v>
      </c>
      <c r="V27" s="668" t="s">
        <v>14</v>
      </c>
      <c r="W27" s="669">
        <f t="shared" si="14"/>
        <v>100</v>
      </c>
      <c r="X27" s="670"/>
      <c r="Y27" s="3451"/>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51"/>
      <c r="Q28" s="1262" t="str">
        <f t="shared" si="11"/>
        <v>公共部分装修</v>
      </c>
      <c r="R28" s="666" t="s">
        <v>14</v>
      </c>
      <c r="S28" s="667">
        <f t="shared" si="12"/>
        <v>100</v>
      </c>
      <c r="T28" s="666" t="s">
        <v>14</v>
      </c>
      <c r="U28" s="667">
        <f t="shared" si="13"/>
        <v>100</v>
      </c>
      <c r="V28" s="666" t="s">
        <v>14</v>
      </c>
      <c r="W28" s="667">
        <f t="shared" si="14"/>
        <v>100</v>
      </c>
      <c r="X28" s="1264"/>
      <c r="Y28" s="3451"/>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51"/>
      <c r="Q29" s="1262" t="str">
        <f t="shared" si="11"/>
        <v>成新率</v>
      </c>
      <c r="R29" s="666" t="s">
        <v>14</v>
      </c>
      <c r="S29" s="667" t="e">
        <f t="shared" si="12"/>
        <v>#N/A</v>
      </c>
      <c r="T29" s="666" t="s">
        <v>14</v>
      </c>
      <c r="U29" s="667" t="e">
        <f t="shared" si="13"/>
        <v>#N/A</v>
      </c>
      <c r="V29" s="666" t="s">
        <v>14</v>
      </c>
      <c r="W29" s="667" t="e">
        <f t="shared" si="14"/>
        <v>#N/A</v>
      </c>
      <c r="X29" s="1264"/>
      <c r="Y29" s="3451"/>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451"/>
      <c r="Q30" s="1262" t="str">
        <f t="shared" si="11"/>
        <v>物业等级</v>
      </c>
      <c r="R30" s="666" t="s">
        <v>14</v>
      </c>
      <c r="S30" s="667">
        <f t="shared" si="12"/>
        <v>100</v>
      </c>
      <c r="T30" s="666" t="s">
        <v>14</v>
      </c>
      <c r="U30" s="667">
        <f t="shared" si="13"/>
        <v>100</v>
      </c>
      <c r="V30" s="666" t="s">
        <v>14</v>
      </c>
      <c r="W30" s="667">
        <f t="shared" si="14"/>
        <v>100</v>
      </c>
      <c r="X30" s="1264"/>
      <c r="Y30" s="3451"/>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51"/>
      <c r="Q31" s="530" t="str">
        <f t="shared" si="11"/>
        <v>停车位面积</v>
      </c>
      <c r="R31" s="663" t="s">
        <v>14</v>
      </c>
      <c r="S31" s="664" t="e">
        <f t="shared" si="12"/>
        <v>#N/A</v>
      </c>
      <c r="T31" s="663" t="s">
        <v>14</v>
      </c>
      <c r="U31" s="664" t="e">
        <f t="shared" si="13"/>
        <v>#N/A</v>
      </c>
      <c r="V31" s="663" t="s">
        <v>14</v>
      </c>
      <c r="W31" s="664" t="e">
        <f t="shared" si="14"/>
        <v>#N/A</v>
      </c>
      <c r="X31" s="665"/>
      <c r="Y31" s="3451"/>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51" t="s">
        <v>1696</v>
      </c>
      <c r="Q32" s="1262" t="str">
        <f t="shared" si="11"/>
        <v>车位类型</v>
      </c>
      <c r="R32" s="666" t="s">
        <v>14</v>
      </c>
      <c r="S32" s="667">
        <f t="shared" si="12"/>
        <v>100</v>
      </c>
      <c r="T32" s="666" t="s">
        <v>14</v>
      </c>
      <c r="U32" s="667">
        <f t="shared" si="13"/>
        <v>100</v>
      </c>
      <c r="V32" s="666" t="s">
        <v>14</v>
      </c>
      <c r="W32" s="667">
        <f t="shared" si="14"/>
        <v>100</v>
      </c>
      <c r="X32" s="1264"/>
      <c r="Y32" s="3451"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51"/>
      <c r="Q33" s="1262" t="str">
        <f t="shared" si="11"/>
        <v>是否直接入户</v>
      </c>
      <c r="R33" s="666" t="s">
        <v>14</v>
      </c>
      <c r="S33" s="667">
        <f t="shared" si="12"/>
        <v>100</v>
      </c>
      <c r="T33" s="666" t="s">
        <v>14</v>
      </c>
      <c r="U33" s="667">
        <f t="shared" si="13"/>
        <v>100</v>
      </c>
      <c r="V33" s="666" t="s">
        <v>14</v>
      </c>
      <c r="W33" s="667">
        <f t="shared" si="14"/>
        <v>100</v>
      </c>
      <c r="X33" s="1264"/>
      <c r="Y33" s="3451"/>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51"/>
      <c r="Q34" s="1262">
        <f t="shared" si="11"/>
        <v>111</v>
      </c>
      <c r="R34" s="666" t="s">
        <v>14</v>
      </c>
      <c r="S34" s="667">
        <f t="shared" si="12"/>
        <v>100</v>
      </c>
      <c r="T34" s="666" t="s">
        <v>14</v>
      </c>
      <c r="U34" s="667">
        <f t="shared" si="13"/>
        <v>100</v>
      </c>
      <c r="V34" s="666" t="s">
        <v>14</v>
      </c>
      <c r="W34" s="667">
        <f t="shared" si="14"/>
        <v>100</v>
      </c>
      <c r="X34" s="1264"/>
      <c r="Y34" s="3451"/>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51"/>
      <c r="Q35" s="531">
        <f t="shared" si="11"/>
        <v>111</v>
      </c>
      <c r="R35" s="668" t="s">
        <v>14</v>
      </c>
      <c r="S35" s="669">
        <f t="shared" si="12"/>
        <v>100</v>
      </c>
      <c r="T35" s="668" t="s">
        <v>14</v>
      </c>
      <c r="U35" s="669">
        <f t="shared" si="13"/>
        <v>100</v>
      </c>
      <c r="V35" s="668" t="s">
        <v>14</v>
      </c>
      <c r="W35" s="669">
        <f t="shared" si="14"/>
        <v>100</v>
      </c>
      <c r="X35" s="670"/>
      <c r="Y35" s="3451"/>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51"/>
      <c r="Q36" s="1262">
        <f t="shared" si="11"/>
        <v>111</v>
      </c>
      <c r="R36" s="666" t="s">
        <v>14</v>
      </c>
      <c r="S36" s="667">
        <f t="shared" si="12"/>
        <v>100</v>
      </c>
      <c r="T36" s="666" t="s">
        <v>14</v>
      </c>
      <c r="U36" s="667">
        <f t="shared" si="13"/>
        <v>100</v>
      </c>
      <c r="V36" s="666" t="s">
        <v>14</v>
      </c>
      <c r="W36" s="667">
        <f t="shared" si="14"/>
        <v>100</v>
      </c>
      <c r="X36" s="1264"/>
      <c r="Y36" s="3451"/>
      <c r="Z36" s="1263">
        <f t="shared" si="15"/>
        <v>111</v>
      </c>
      <c r="AA36" s="1263">
        <f t="shared" si="3"/>
        <v>1</v>
      </c>
      <c r="AB36" s="1263">
        <f t="shared" si="4"/>
        <v>1</v>
      </c>
      <c r="AC36" s="1263">
        <f t="shared" si="5"/>
        <v>1</v>
      </c>
    </row>
    <row r="37" spans="1:29" ht="15">
      <c r="A37" s="416" t="s">
        <v>1844</v>
      </c>
      <c r="B37" s="1820" t="s">
        <v>3342</v>
      </c>
      <c r="C37" s="1080" t="s">
        <v>0</v>
      </c>
      <c r="D37" s="418"/>
      <c r="E37" s="419"/>
      <c r="F37" s="420"/>
      <c r="G37" s="421"/>
      <c r="H37" s="422"/>
      <c r="I37" s="419"/>
      <c r="J37" s="422"/>
      <c r="K37" s="544"/>
      <c r="L37" s="2494"/>
      <c r="M37" s="2487"/>
      <c r="N37" s="2487"/>
      <c r="O37" s="2487"/>
      <c r="P37" s="3445" t="str">
        <f>A37</f>
        <v>成交单价</v>
      </c>
      <c r="Q37" s="3445"/>
      <c r="R37" s="3440">
        <f>E37</f>
        <v>0</v>
      </c>
      <c r="S37" s="3440"/>
      <c r="T37" s="3440">
        <f>G37</f>
        <v>0</v>
      </c>
      <c r="U37" s="3440"/>
      <c r="V37" s="3440">
        <f>I37</f>
        <v>0</v>
      </c>
      <c r="W37" s="3440"/>
      <c r="X37" s="385"/>
      <c r="Y37" s="672"/>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445" t="str">
        <f>A38</f>
        <v>比较价值（元/平方米）</v>
      </c>
      <c r="Q38" s="3445"/>
      <c r="R38" s="3440" t="e">
        <f>IF(F1="售价",ROUND(PRODUCT(R37,AA7:AA36),0),ROUND(PRODUCT(R37,AA7:AA36),1))</f>
        <v>#DIV/0!</v>
      </c>
      <c r="S38" s="3440"/>
      <c r="T38" s="3440" t="e">
        <f>IF(F1="售价",ROUND(PRODUCT(T37,AB7:AB36),0),ROUND(PRODUCT(T37,AB7:AB36),1))</f>
        <v>#DIV/0!</v>
      </c>
      <c r="U38" s="3440"/>
      <c r="V38" s="3440" t="e">
        <f>IF(F1="售价",ROUND(PRODUCT(V37,AC7:AC36),0),ROUND(PRODUCT(V37,AC7:AC36),1))</f>
        <v>#DIV/0!</v>
      </c>
      <c r="W38" s="3440"/>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4"/>
      <c r="M39" s="2487"/>
      <c r="N39" s="2487"/>
      <c r="O39" s="2487"/>
      <c r="P39" s="3442" t="str">
        <f>A39</f>
        <v>估价对象XX用房的比较价值（楼面单价，元/平方米）</v>
      </c>
      <c r="Q39" s="3443"/>
      <c r="R39" s="3471" t="e">
        <f>IF(F1="售价",ROUND(IF(D38="简单平均",AVERAGE(R38:W38),R38*F38+T38*H38+V38*J38),0),ROUND(IF(D38="简单平均",AVERAGE(R38:V38),R38*F38+T38*H38+V38*J38),1))</f>
        <v>#DIV/0!</v>
      </c>
      <c r="S39" s="3471"/>
      <c r="T39" s="3471"/>
      <c r="U39" s="3471"/>
      <c r="V39" s="3471"/>
      <c r="W39" s="347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2025-11</v>
      </c>
      <c r="D48" s="1103">
        <f>EDATE(C48,-1)</f>
        <v>45931</v>
      </c>
      <c r="E48" s="1103">
        <f t="shared" ref="E48:O48" si="16">EDATE(D48,-1)</f>
        <v>45901</v>
      </c>
      <c r="F48" s="1103">
        <f t="shared" si="16"/>
        <v>45870</v>
      </c>
      <c r="G48" s="1103">
        <f t="shared" si="16"/>
        <v>45839</v>
      </c>
      <c r="H48" s="1103">
        <f t="shared" si="16"/>
        <v>45809</v>
      </c>
      <c r="I48" s="1103">
        <f t="shared" si="16"/>
        <v>45778</v>
      </c>
      <c r="J48" s="1103">
        <f t="shared" si="16"/>
        <v>45748</v>
      </c>
      <c r="K48" s="1103">
        <f t="shared" si="16"/>
        <v>45717</v>
      </c>
      <c r="L48" s="1103">
        <f t="shared" si="16"/>
        <v>45689</v>
      </c>
      <c r="M48" s="1103">
        <f t="shared" si="16"/>
        <v>45658</v>
      </c>
      <c r="N48" s="1103">
        <f t="shared" si="16"/>
        <v>45627</v>
      </c>
      <c r="O48" s="1103">
        <f t="shared" si="16"/>
        <v>45597</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28" t="s">
        <v>1770</v>
      </c>
      <c r="D4" s="3429"/>
      <c r="E4" s="3430" t="s">
        <v>1771</v>
      </c>
      <c r="F4" s="3431"/>
      <c r="G4" s="3428" t="s">
        <v>1772</v>
      </c>
      <c r="H4" s="3429"/>
      <c r="I4" s="3428" t="s">
        <v>1773</v>
      </c>
      <c r="J4" s="3429"/>
      <c r="K4" s="537" t="s">
        <v>1774</v>
      </c>
      <c r="L4" s="2486"/>
      <c r="M4" s="2487"/>
      <c r="N4" s="2487"/>
      <c r="O4" s="2487"/>
      <c r="P4" s="3432" t="s">
        <v>1775</v>
      </c>
      <c r="Q4" s="3433"/>
      <c r="R4" s="3415" t="s">
        <v>1771</v>
      </c>
      <c r="S4" s="3416"/>
      <c r="T4" s="3415" t="s">
        <v>1772</v>
      </c>
      <c r="U4" s="3416"/>
      <c r="V4" s="3440" t="s">
        <v>1773</v>
      </c>
      <c r="W4" s="3440"/>
      <c r="X4" s="1264"/>
      <c r="Y4" s="3415" t="s">
        <v>1775</v>
      </c>
      <c r="Z4" s="3416"/>
      <c r="AA4" s="3410" t="s">
        <v>1771</v>
      </c>
      <c r="AB4" s="3411" t="s">
        <v>1772</v>
      </c>
      <c r="AC4" s="3410" t="s">
        <v>1773</v>
      </c>
    </row>
    <row r="5" spans="1:29" ht="15">
      <c r="A5" s="348"/>
      <c r="B5" s="349"/>
      <c r="C5" s="3421" t="s">
        <v>1673</v>
      </c>
      <c r="D5" s="3422"/>
      <c r="E5" s="3419" t="s">
        <v>1674</v>
      </c>
      <c r="F5" s="3420"/>
      <c r="G5" s="3421" t="s">
        <v>1675</v>
      </c>
      <c r="H5" s="3422"/>
      <c r="I5" s="3421" t="s">
        <v>1676</v>
      </c>
      <c r="J5" s="3422"/>
      <c r="K5" s="537"/>
      <c r="L5" s="2486"/>
      <c r="M5" s="2487"/>
      <c r="N5" s="2487"/>
      <c r="O5" s="2487"/>
      <c r="P5" s="3434"/>
      <c r="Q5" s="3435"/>
      <c r="R5" s="3417"/>
      <c r="S5" s="3418"/>
      <c r="T5" s="3417"/>
      <c r="U5" s="3418"/>
      <c r="V5" s="3440"/>
      <c r="W5" s="3440"/>
      <c r="X5" s="1264"/>
      <c r="Y5" s="3417"/>
      <c r="Z5" s="3418"/>
      <c r="AA5" s="3411"/>
      <c r="AB5" s="3411"/>
      <c r="AC5" s="3411"/>
    </row>
    <row r="6" spans="1:29" ht="15.75" thickBot="1">
      <c r="A6" s="350"/>
      <c r="B6" s="351"/>
      <c r="C6" s="3423" t="s">
        <v>1677</v>
      </c>
      <c r="D6" s="3424"/>
      <c r="E6" s="3425" t="s">
        <v>1677</v>
      </c>
      <c r="F6" s="3426"/>
      <c r="G6" s="3423" t="s">
        <v>1677</v>
      </c>
      <c r="H6" s="3424"/>
      <c r="I6" s="3423" t="s">
        <v>1677</v>
      </c>
      <c r="J6" s="3424"/>
      <c r="K6" s="537" t="s">
        <v>1678</v>
      </c>
      <c r="L6" s="2486"/>
      <c r="M6" s="2487"/>
      <c r="N6" s="2487"/>
      <c r="O6" s="2487"/>
      <c r="P6" s="3436"/>
      <c r="Q6" s="3437"/>
      <c r="R6" s="3417"/>
      <c r="S6" s="3418"/>
      <c r="T6" s="3438"/>
      <c r="U6" s="3439"/>
      <c r="V6" s="3440"/>
      <c r="W6" s="3440"/>
      <c r="X6" s="1264"/>
      <c r="Y6" s="3438"/>
      <c r="Z6" s="3439"/>
      <c r="AA6" s="3412"/>
      <c r="AB6" s="3412"/>
      <c r="AC6" s="3412"/>
    </row>
    <row r="7" spans="1:29" s="102" customFormat="1" ht="15.75" thickBot="1">
      <c r="A7" s="352" t="s">
        <v>1679</v>
      </c>
      <c r="B7" s="353"/>
      <c r="C7" s="354">
        <f>'数据-取费表'!B2</f>
        <v>45989</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13" t="s">
        <v>1680</v>
      </c>
      <c r="Q7" s="3441"/>
      <c r="R7" s="663" t="s">
        <v>14</v>
      </c>
      <c r="S7" s="664">
        <f t="shared" ref="S7:S14" si="0">F7</f>
        <v>0</v>
      </c>
      <c r="T7" s="663" t="s">
        <v>14</v>
      </c>
      <c r="U7" s="664">
        <f t="shared" ref="U7:U14" si="1">H7</f>
        <v>0</v>
      </c>
      <c r="V7" s="663" t="s">
        <v>14</v>
      </c>
      <c r="W7" s="664">
        <f t="shared" ref="W7:W14" si="2">J7</f>
        <v>0</v>
      </c>
      <c r="X7" s="665"/>
      <c r="Y7" s="3413" t="s">
        <v>1680</v>
      </c>
      <c r="Z7" s="341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3" t="s">
        <v>1683</v>
      </c>
      <c r="Q8" s="3414"/>
      <c r="R8" s="663" t="s">
        <v>14</v>
      </c>
      <c r="S8" s="664">
        <f t="shared" si="0"/>
        <v>100</v>
      </c>
      <c r="T8" s="663" t="s">
        <v>14</v>
      </c>
      <c r="U8" s="664">
        <f t="shared" si="1"/>
        <v>100</v>
      </c>
      <c r="V8" s="663" t="s">
        <v>14</v>
      </c>
      <c r="W8" s="664">
        <f t="shared" si="2"/>
        <v>100</v>
      </c>
      <c r="X8" s="665"/>
      <c r="Y8" s="3413" t="s">
        <v>1683</v>
      </c>
      <c r="Z8" s="341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45" t="s">
        <v>1686</v>
      </c>
      <c r="Q9" s="530" t="str">
        <f t="shared" ref="Q9:Q14" si="6">B9</f>
        <v>用途</v>
      </c>
      <c r="R9" s="663" t="s">
        <v>14</v>
      </c>
      <c r="S9" s="664">
        <f t="shared" si="0"/>
        <v>100</v>
      </c>
      <c r="T9" s="663" t="s">
        <v>14</v>
      </c>
      <c r="U9" s="664">
        <f t="shared" si="1"/>
        <v>100</v>
      </c>
      <c r="V9" s="663" t="s">
        <v>14</v>
      </c>
      <c r="W9" s="664">
        <f t="shared" si="2"/>
        <v>100</v>
      </c>
      <c r="X9" s="665"/>
      <c r="Y9" s="3338"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45"/>
      <c r="Q10" s="530" t="str">
        <f t="shared" si="6"/>
        <v>土地使用年限（年）</v>
      </c>
      <c r="R10" s="663" t="s">
        <v>14</v>
      </c>
      <c r="S10" s="664">
        <f t="shared" si="0"/>
        <v>100</v>
      </c>
      <c r="T10" s="663" t="s">
        <v>14</v>
      </c>
      <c r="U10" s="664">
        <f t="shared" si="1"/>
        <v>100</v>
      </c>
      <c r="V10" s="663" t="s">
        <v>14</v>
      </c>
      <c r="W10" s="664">
        <f t="shared" si="2"/>
        <v>100</v>
      </c>
      <c r="X10" s="665"/>
      <c r="Y10" s="333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45"/>
      <c r="Q11" s="530">
        <f t="shared" si="6"/>
        <v>111</v>
      </c>
      <c r="R11" s="663" t="s">
        <v>14</v>
      </c>
      <c r="S11" s="664">
        <f t="shared" si="0"/>
        <v>100</v>
      </c>
      <c r="T11" s="663" t="s">
        <v>14</v>
      </c>
      <c r="U11" s="664">
        <f t="shared" si="1"/>
        <v>100</v>
      </c>
      <c r="V11" s="663" t="s">
        <v>14</v>
      </c>
      <c r="W11" s="664">
        <f t="shared" si="2"/>
        <v>100</v>
      </c>
      <c r="X11" s="665"/>
      <c r="Y11" s="333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45"/>
      <c r="Q12" s="530">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45"/>
      <c r="Q13" s="530">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46" t="s">
        <v>1691</v>
      </c>
      <c r="Q14" s="1262" t="str">
        <f t="shared" si="6"/>
        <v>交通便捷度</v>
      </c>
      <c r="R14" s="666" t="s">
        <v>14</v>
      </c>
      <c r="S14" s="667">
        <f t="shared" si="0"/>
        <v>100</v>
      </c>
      <c r="T14" s="666" t="s">
        <v>14</v>
      </c>
      <c r="U14" s="667">
        <f t="shared" si="1"/>
        <v>100</v>
      </c>
      <c r="V14" s="666" t="s">
        <v>14</v>
      </c>
      <c r="W14" s="667">
        <f t="shared" si="2"/>
        <v>100</v>
      </c>
      <c r="X14" s="1264"/>
      <c r="Y14" s="344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47"/>
      <c r="Q15" s="1262"/>
      <c r="R15" s="666"/>
      <c r="S15" s="667"/>
      <c r="T15" s="666"/>
      <c r="U15" s="667"/>
      <c r="V15" s="666"/>
      <c r="W15" s="667"/>
      <c r="X15" s="1264"/>
      <c r="Y15" s="3447"/>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47"/>
      <c r="Q16" s="1262" t="str">
        <f>B16</f>
        <v>公共配套设施</v>
      </c>
      <c r="R16" s="666" t="s">
        <v>14</v>
      </c>
      <c r="S16" s="667">
        <f>F16</f>
        <v>100</v>
      </c>
      <c r="T16" s="666" t="s">
        <v>14</v>
      </c>
      <c r="U16" s="667">
        <f>H16</f>
        <v>100</v>
      </c>
      <c r="V16" s="666" t="s">
        <v>14</v>
      </c>
      <c r="W16" s="667">
        <f>J16</f>
        <v>100</v>
      </c>
      <c r="X16" s="1264"/>
      <c r="Y16" s="344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47"/>
      <c r="Q17" s="1262"/>
      <c r="R17" s="666"/>
      <c r="S17" s="667"/>
      <c r="T17" s="666"/>
      <c r="U17" s="667"/>
      <c r="V17" s="666"/>
      <c r="W17" s="667"/>
      <c r="X17" s="1264"/>
      <c r="Y17" s="3447"/>
      <c r="Z17" s="1263"/>
      <c r="AA17" s="1263">
        <v>1</v>
      </c>
      <c r="AB17" s="1263">
        <v>1</v>
      </c>
      <c r="AC17" s="1263">
        <v>1</v>
      </c>
    </row>
    <row r="18" spans="1:29" ht="15">
      <c r="A18" s="367"/>
      <c r="B18" s="585"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47"/>
      <c r="Q18" s="1262" t="str">
        <f>B18</f>
        <v>基础设施水平</v>
      </c>
      <c r="R18" s="666" t="s">
        <v>14</v>
      </c>
      <c r="S18" s="667">
        <f>F18</f>
        <v>100</v>
      </c>
      <c r="T18" s="666" t="s">
        <v>14</v>
      </c>
      <c r="U18" s="667">
        <f>H18</f>
        <v>100</v>
      </c>
      <c r="V18" s="666" t="s">
        <v>14</v>
      </c>
      <c r="W18" s="667">
        <f>J18</f>
        <v>100</v>
      </c>
      <c r="X18" s="1264"/>
      <c r="Y18" s="3447"/>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447"/>
      <c r="Q19" s="1262"/>
      <c r="R19" s="666"/>
      <c r="S19" s="667"/>
      <c r="T19" s="666"/>
      <c r="U19" s="667"/>
      <c r="V19" s="666"/>
      <c r="W19" s="667"/>
      <c r="X19" s="1264"/>
      <c r="Y19" s="3447"/>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47"/>
      <c r="Q20" s="1262" t="str">
        <f>B20</f>
        <v>自然及人文环境</v>
      </c>
      <c r="R20" s="666" t="s">
        <v>14</v>
      </c>
      <c r="S20" s="667">
        <f>F20</f>
        <v>100</v>
      </c>
      <c r="T20" s="666" t="s">
        <v>14</v>
      </c>
      <c r="U20" s="667">
        <f>H20</f>
        <v>100</v>
      </c>
      <c r="V20" s="666" t="s">
        <v>14</v>
      </c>
      <c r="W20" s="667">
        <f>J20</f>
        <v>100</v>
      </c>
      <c r="X20" s="1264"/>
      <c r="Y20" s="344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47"/>
      <c r="Q21" s="1262"/>
      <c r="R21" s="666"/>
      <c r="S21" s="667"/>
      <c r="T21" s="666"/>
      <c r="U21" s="667"/>
      <c r="V21" s="666"/>
      <c r="W21" s="667"/>
      <c r="X21" s="1264"/>
      <c r="Y21" s="344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47"/>
      <c r="Q22" s="1262" t="str">
        <f>B22</f>
        <v>楼层</v>
      </c>
      <c r="R22" s="666" t="s">
        <v>14</v>
      </c>
      <c r="S22" s="667">
        <f>F22</f>
        <v>100</v>
      </c>
      <c r="T22" s="666" t="s">
        <v>14</v>
      </c>
      <c r="U22" s="667">
        <f>H22</f>
        <v>100</v>
      </c>
      <c r="V22" s="666" t="s">
        <v>14</v>
      </c>
      <c r="W22" s="667">
        <f>J22</f>
        <v>100</v>
      </c>
      <c r="X22" s="1264"/>
      <c r="Y22" s="344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47"/>
      <c r="Q23" s="1262">
        <f>B23</f>
        <v>111</v>
      </c>
      <c r="R23" s="666" t="s">
        <v>14</v>
      </c>
      <c r="S23" s="667">
        <f>F23</f>
        <v>100</v>
      </c>
      <c r="T23" s="666" t="s">
        <v>14</v>
      </c>
      <c r="U23" s="667">
        <f>H23</f>
        <v>100</v>
      </c>
      <c r="V23" s="666" t="s">
        <v>14</v>
      </c>
      <c r="W23" s="667">
        <f>J23</f>
        <v>100</v>
      </c>
      <c r="X23" s="1264"/>
      <c r="Y23" s="344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47"/>
      <c r="Q24" s="1262">
        <f t="shared" ref="Q24:Q34" si="11">B24</f>
        <v>111</v>
      </c>
      <c r="R24" s="666" t="s">
        <v>14</v>
      </c>
      <c r="S24" s="667">
        <f>F24</f>
        <v>100</v>
      </c>
      <c r="T24" s="666" t="s">
        <v>14</v>
      </c>
      <c r="U24" s="667">
        <f>H24</f>
        <v>100</v>
      </c>
      <c r="V24" s="666" t="s">
        <v>14</v>
      </c>
      <c r="W24" s="667">
        <f>J24</f>
        <v>100</v>
      </c>
      <c r="X24" s="1264"/>
      <c r="Y24" s="3447"/>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447"/>
      <c r="Q25" s="530">
        <f t="shared" si="11"/>
        <v>111</v>
      </c>
      <c r="R25" s="663" t="s">
        <v>14</v>
      </c>
      <c r="S25" s="664">
        <f>F25</f>
        <v>100</v>
      </c>
      <c r="T25" s="663" t="s">
        <v>14</v>
      </c>
      <c r="U25" s="664">
        <f>H25</f>
        <v>100</v>
      </c>
      <c r="V25" s="663" t="s">
        <v>14</v>
      </c>
      <c r="W25" s="664">
        <f>J25</f>
        <v>100</v>
      </c>
      <c r="X25" s="665"/>
      <c r="Y25" s="3447"/>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70"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5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51"/>
      <c r="Q27" s="531" t="str">
        <f t="shared" si="11"/>
        <v>成新率</v>
      </c>
      <c r="R27" s="668" t="s">
        <v>14</v>
      </c>
      <c r="S27" s="669" t="e">
        <f t="shared" si="12"/>
        <v>#N/A</v>
      </c>
      <c r="T27" s="668" t="s">
        <v>14</v>
      </c>
      <c r="U27" s="669" t="e">
        <f t="shared" si="13"/>
        <v>#N/A</v>
      </c>
      <c r="V27" s="668" t="s">
        <v>14</v>
      </c>
      <c r="W27" s="669" t="e">
        <f t="shared" si="14"/>
        <v>#N/A</v>
      </c>
      <c r="X27" s="670"/>
      <c r="Y27" s="3451"/>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51"/>
      <c r="Q28" s="1262" t="str">
        <f t="shared" si="11"/>
        <v>物业等级</v>
      </c>
      <c r="R28" s="666" t="s">
        <v>14</v>
      </c>
      <c r="S28" s="667">
        <f t="shared" si="12"/>
        <v>100</v>
      </c>
      <c r="T28" s="666" t="s">
        <v>14</v>
      </c>
      <c r="U28" s="667">
        <f t="shared" si="13"/>
        <v>100</v>
      </c>
      <c r="V28" s="666" t="s">
        <v>14</v>
      </c>
      <c r="W28" s="667">
        <f t="shared" si="14"/>
        <v>100</v>
      </c>
      <c r="X28" s="1264"/>
      <c r="Y28" s="3451"/>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451"/>
      <c r="Q29" s="1262" t="str">
        <f t="shared" si="11"/>
        <v>有无电梯</v>
      </c>
      <c r="R29" s="666" t="s">
        <v>14</v>
      </c>
      <c r="S29" s="667">
        <f t="shared" si="12"/>
        <v>100</v>
      </c>
      <c r="T29" s="666" t="s">
        <v>14</v>
      </c>
      <c r="U29" s="667">
        <f t="shared" si="13"/>
        <v>100</v>
      </c>
      <c r="V29" s="666" t="s">
        <v>14</v>
      </c>
      <c r="W29" s="667">
        <f t="shared" si="14"/>
        <v>100</v>
      </c>
      <c r="X29" s="1264"/>
      <c r="Y29" s="345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51"/>
      <c r="Q30" s="1262" t="str">
        <f t="shared" si="11"/>
        <v>建筑面积</v>
      </c>
      <c r="R30" s="666" t="s">
        <v>14</v>
      </c>
      <c r="S30" s="667" t="e">
        <f t="shared" si="12"/>
        <v>#N/A</v>
      </c>
      <c r="T30" s="666" t="s">
        <v>14</v>
      </c>
      <c r="U30" s="667" t="e">
        <f t="shared" si="13"/>
        <v>#N/A</v>
      </c>
      <c r="V30" s="666" t="s">
        <v>14</v>
      </c>
      <c r="W30" s="667" t="e">
        <f t="shared" si="14"/>
        <v>#N/A</v>
      </c>
      <c r="X30" s="1264"/>
      <c r="Y30" s="3451"/>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451"/>
      <c r="Q31" s="530" t="str">
        <f t="shared" si="11"/>
        <v>是否封闭</v>
      </c>
      <c r="R31" s="663" t="s">
        <v>14</v>
      </c>
      <c r="S31" s="664">
        <f t="shared" si="12"/>
        <v>100</v>
      </c>
      <c r="T31" s="663" t="s">
        <v>14</v>
      </c>
      <c r="U31" s="664">
        <f t="shared" si="13"/>
        <v>100</v>
      </c>
      <c r="V31" s="663" t="s">
        <v>14</v>
      </c>
      <c r="W31" s="664">
        <f t="shared" si="14"/>
        <v>100</v>
      </c>
      <c r="X31" s="665"/>
      <c r="Y31" s="345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51" t="s">
        <v>1696</v>
      </c>
      <c r="Q32" s="1262">
        <f t="shared" si="11"/>
        <v>111</v>
      </c>
      <c r="R32" s="666" t="s">
        <v>14</v>
      </c>
      <c r="S32" s="667">
        <f t="shared" si="12"/>
        <v>100</v>
      </c>
      <c r="T32" s="666" t="s">
        <v>14</v>
      </c>
      <c r="U32" s="667">
        <f t="shared" si="13"/>
        <v>100</v>
      </c>
      <c r="V32" s="666" t="s">
        <v>14</v>
      </c>
      <c r="W32" s="667">
        <f t="shared" si="14"/>
        <v>100</v>
      </c>
      <c r="X32" s="1264"/>
      <c r="Y32" s="345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51"/>
      <c r="Q33" s="1262">
        <f t="shared" si="11"/>
        <v>111</v>
      </c>
      <c r="R33" s="666" t="s">
        <v>14</v>
      </c>
      <c r="S33" s="667">
        <f t="shared" si="12"/>
        <v>100</v>
      </c>
      <c r="T33" s="666" t="s">
        <v>14</v>
      </c>
      <c r="U33" s="667">
        <f t="shared" si="13"/>
        <v>100</v>
      </c>
      <c r="V33" s="666" t="s">
        <v>14</v>
      </c>
      <c r="W33" s="667">
        <f t="shared" si="14"/>
        <v>100</v>
      </c>
      <c r="X33" s="1264"/>
      <c r="Y33" s="3451"/>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51"/>
      <c r="Q34" s="1262">
        <f t="shared" si="11"/>
        <v>111</v>
      </c>
      <c r="R34" s="666" t="s">
        <v>14</v>
      </c>
      <c r="S34" s="667">
        <f t="shared" si="12"/>
        <v>100</v>
      </c>
      <c r="T34" s="666" t="s">
        <v>14</v>
      </c>
      <c r="U34" s="667">
        <f t="shared" si="13"/>
        <v>100</v>
      </c>
      <c r="V34" s="666" t="s">
        <v>14</v>
      </c>
      <c r="W34" s="667">
        <f t="shared" si="14"/>
        <v>100</v>
      </c>
      <c r="X34" s="1264"/>
      <c r="Y34" s="3451"/>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445" t="str">
        <f>A35</f>
        <v>成交单价（元/平方米）</v>
      </c>
      <c r="Q35" s="3445"/>
      <c r="R35" s="3440">
        <f>E35</f>
        <v>0</v>
      </c>
      <c r="S35" s="3440"/>
      <c r="T35" s="3440">
        <f>G35</f>
        <v>0</v>
      </c>
      <c r="U35" s="3440"/>
      <c r="V35" s="3440">
        <f>I35</f>
        <v>0</v>
      </c>
      <c r="W35" s="3440"/>
      <c r="X35" s="385"/>
      <c r="Y35" s="672"/>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445" t="str">
        <f>A36</f>
        <v>比较价值（元/平方米）</v>
      </c>
      <c r="Q36" s="3445"/>
      <c r="R36" s="3440" t="e">
        <f>IF(F1="售价",ROUND(PRODUCT(R35,AA7:AA34),0),ROUND(PRODUCT(R35,AA7:AA34),1))</f>
        <v>#DIV/0!</v>
      </c>
      <c r="S36" s="3440"/>
      <c r="T36" s="3440" t="e">
        <f>IF(F1="售价",ROUND(PRODUCT(T35,AB7:AB34),0),ROUND(PRODUCT(T35,AB7:AB34),1))</f>
        <v>#DIV/0!</v>
      </c>
      <c r="U36" s="3440"/>
      <c r="V36" s="3440" t="e">
        <f>IF(F1="售价",ROUND(PRODUCT(V35,AC7:AC34),0),ROUND(PRODUCT(V35,AC7:AC34),1))</f>
        <v>#DIV/0!</v>
      </c>
      <c r="W36" s="3440"/>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442" t="str">
        <f>A37</f>
        <v>估价对象XX用房的比较价值（楼面单价，元/平方米）</v>
      </c>
      <c r="Q37" s="3443"/>
      <c r="R37" s="3471" t="e">
        <f>IF(F1="售价",ROUND(IF(D36="简单平均",AVERAGE(R36:W36),R36*F36+T36*H36+V36*J36),0),ROUND(IF(D36="简单平均",AVERAGE(R36:V36),R36*F36+T36*H36+V36*J36),1))</f>
        <v>#DIV/0!</v>
      </c>
      <c r="S37" s="3471"/>
      <c r="T37" s="3471"/>
      <c r="U37" s="3471"/>
      <c r="V37" s="3471"/>
      <c r="W37" s="347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2025-11</v>
      </c>
      <c r="D46" s="1103">
        <f>EDATE(C46,-1)</f>
        <v>45931</v>
      </c>
      <c r="E46" s="1103">
        <f t="shared" ref="E46:O46" si="16">EDATE(D46,-1)</f>
        <v>45901</v>
      </c>
      <c r="F46" s="1103">
        <f t="shared" si="16"/>
        <v>45870</v>
      </c>
      <c r="G46" s="1103">
        <f t="shared" si="16"/>
        <v>45839</v>
      </c>
      <c r="H46" s="1103">
        <f t="shared" si="16"/>
        <v>45809</v>
      </c>
      <c r="I46" s="1103">
        <f t="shared" si="16"/>
        <v>45778</v>
      </c>
      <c r="J46" s="1103">
        <f t="shared" si="16"/>
        <v>45748</v>
      </c>
      <c r="K46" s="1103">
        <f t="shared" si="16"/>
        <v>45717</v>
      </c>
      <c r="L46" s="1103">
        <f t="shared" si="16"/>
        <v>45689</v>
      </c>
      <c r="M46" s="1103">
        <f t="shared" si="16"/>
        <v>45658</v>
      </c>
      <c r="N46" s="1103">
        <f t="shared" si="16"/>
        <v>45627</v>
      </c>
      <c r="O46" s="1103">
        <f t="shared" si="16"/>
        <v>45597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0" t="s">
        <v>1799</v>
      </c>
      <c r="D65" s="580" t="s">
        <v>1800</v>
      </c>
      <c r="E65" s="580" t="s">
        <v>1801</v>
      </c>
      <c r="F65" s="580" t="s">
        <v>1802</v>
      </c>
      <c r="G65" s="580"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28" t="s">
        <v>1770</v>
      </c>
      <c r="D4" s="3429"/>
      <c r="E4" s="3430" t="s">
        <v>1771</v>
      </c>
      <c r="F4" s="3431"/>
      <c r="G4" s="3428" t="s">
        <v>1772</v>
      </c>
      <c r="H4" s="3429"/>
      <c r="I4" s="3428" t="s">
        <v>1773</v>
      </c>
      <c r="J4" s="3429"/>
      <c r="K4" s="537" t="s">
        <v>1774</v>
      </c>
      <c r="L4" s="2486"/>
      <c r="M4" s="2487"/>
      <c r="N4" s="2487"/>
      <c r="O4" s="2487"/>
      <c r="P4" s="3432" t="s">
        <v>1775</v>
      </c>
      <c r="Q4" s="3433"/>
      <c r="R4" s="3415" t="s">
        <v>1771</v>
      </c>
      <c r="S4" s="3416"/>
      <c r="T4" s="3415" t="s">
        <v>1772</v>
      </c>
      <c r="U4" s="3416"/>
      <c r="V4" s="3440" t="s">
        <v>1773</v>
      </c>
      <c r="W4" s="3440"/>
      <c r="X4" s="1264"/>
      <c r="Y4" s="3415" t="s">
        <v>1775</v>
      </c>
      <c r="Z4" s="3416"/>
      <c r="AA4" s="3410" t="s">
        <v>1771</v>
      </c>
      <c r="AB4" s="3411" t="s">
        <v>1772</v>
      </c>
      <c r="AC4" s="3410" t="s">
        <v>1773</v>
      </c>
    </row>
    <row r="5" spans="1:29" ht="15">
      <c r="A5" s="348"/>
      <c r="B5" s="349"/>
      <c r="C5" s="3421" t="s">
        <v>1673</v>
      </c>
      <c r="D5" s="3422"/>
      <c r="E5" s="3419" t="s">
        <v>1674</v>
      </c>
      <c r="F5" s="3420"/>
      <c r="G5" s="3421" t="s">
        <v>1675</v>
      </c>
      <c r="H5" s="3422"/>
      <c r="I5" s="3421" t="s">
        <v>1676</v>
      </c>
      <c r="J5" s="3422"/>
      <c r="K5" s="537"/>
      <c r="L5" s="2486"/>
      <c r="M5" s="2487"/>
      <c r="N5" s="2487"/>
      <c r="O5" s="2487"/>
      <c r="P5" s="3434"/>
      <c r="Q5" s="3435"/>
      <c r="R5" s="3417"/>
      <c r="S5" s="3418"/>
      <c r="T5" s="3417"/>
      <c r="U5" s="3418"/>
      <c r="V5" s="3440"/>
      <c r="W5" s="3440"/>
      <c r="X5" s="1264"/>
      <c r="Y5" s="3417"/>
      <c r="Z5" s="3418"/>
      <c r="AA5" s="3411"/>
      <c r="AB5" s="3411"/>
      <c r="AC5" s="3411"/>
    </row>
    <row r="6" spans="1:29" ht="15.75" thickBot="1">
      <c r="A6" s="350"/>
      <c r="B6" s="351"/>
      <c r="C6" s="3423" t="s">
        <v>1677</v>
      </c>
      <c r="D6" s="3424"/>
      <c r="E6" s="3425" t="s">
        <v>1677</v>
      </c>
      <c r="F6" s="3426"/>
      <c r="G6" s="3423" t="s">
        <v>1677</v>
      </c>
      <c r="H6" s="3424"/>
      <c r="I6" s="3423" t="s">
        <v>1677</v>
      </c>
      <c r="J6" s="3424"/>
      <c r="K6" s="537" t="s">
        <v>1678</v>
      </c>
      <c r="L6" s="2486"/>
      <c r="M6" s="2487"/>
      <c r="N6" s="2487"/>
      <c r="O6" s="2487"/>
      <c r="P6" s="3436"/>
      <c r="Q6" s="3437"/>
      <c r="R6" s="3417"/>
      <c r="S6" s="3418"/>
      <c r="T6" s="3438"/>
      <c r="U6" s="3439"/>
      <c r="V6" s="3440"/>
      <c r="W6" s="3440"/>
      <c r="X6" s="1264"/>
      <c r="Y6" s="3438"/>
      <c r="Z6" s="3439"/>
      <c r="AA6" s="3412"/>
      <c r="AB6" s="3412"/>
      <c r="AC6" s="3412"/>
    </row>
    <row r="7" spans="1:29" s="102" customFormat="1" ht="15.75" thickBot="1">
      <c r="A7" s="352" t="s">
        <v>1679</v>
      </c>
      <c r="B7" s="353"/>
      <c r="C7" s="354">
        <f>'数据-取费表'!B2</f>
        <v>45989</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13" t="s">
        <v>1680</v>
      </c>
      <c r="Q7" s="3441"/>
      <c r="R7" s="663" t="s">
        <v>14</v>
      </c>
      <c r="S7" s="664">
        <f t="shared" ref="S7:S15" si="0">F7</f>
        <v>0</v>
      </c>
      <c r="T7" s="663" t="s">
        <v>14</v>
      </c>
      <c r="U7" s="664">
        <f t="shared" ref="U7:U15" si="1">H7</f>
        <v>0</v>
      </c>
      <c r="V7" s="663" t="s">
        <v>14</v>
      </c>
      <c r="W7" s="664">
        <f t="shared" ref="W7:W15" si="2">J7</f>
        <v>0</v>
      </c>
      <c r="X7" s="665"/>
      <c r="Y7" s="3413" t="s">
        <v>1680</v>
      </c>
      <c r="Z7" s="341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3" t="s">
        <v>1683</v>
      </c>
      <c r="Q8" s="3414"/>
      <c r="R8" s="663" t="s">
        <v>14</v>
      </c>
      <c r="S8" s="664">
        <f t="shared" si="0"/>
        <v>0</v>
      </c>
      <c r="T8" s="663" t="s">
        <v>14</v>
      </c>
      <c r="U8" s="664">
        <f t="shared" si="1"/>
        <v>0</v>
      </c>
      <c r="V8" s="663" t="s">
        <v>14</v>
      </c>
      <c r="W8" s="664">
        <f t="shared" si="2"/>
        <v>0</v>
      </c>
      <c r="X8" s="665"/>
      <c r="Y8" s="3413" t="s">
        <v>1683</v>
      </c>
      <c r="Z8" s="3414"/>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45" t="s">
        <v>1686</v>
      </c>
      <c r="Q9" s="530"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130</v>
      </c>
      <c r="G10" s="402"/>
      <c r="H10" s="119">
        <f>ROUND(100/'数据-取费表'!G16,0)</f>
        <v>130</v>
      </c>
      <c r="I10" s="402"/>
      <c r="J10" s="119">
        <f>ROUND(100/'数据-取费表'!G16,0)</f>
        <v>130</v>
      </c>
      <c r="K10" s="591"/>
      <c r="L10" s="2489"/>
      <c r="M10" s="2490"/>
      <c r="N10" s="2490"/>
      <c r="O10" s="2541"/>
      <c r="P10" s="3445"/>
      <c r="Q10" s="530" t="str">
        <f t="shared" si="6"/>
        <v>土地使用年限（年）</v>
      </c>
      <c r="R10" s="663" t="s">
        <v>14</v>
      </c>
      <c r="S10" s="664">
        <f t="shared" si="0"/>
        <v>130</v>
      </c>
      <c r="T10" s="663" t="s">
        <v>14</v>
      </c>
      <c r="U10" s="664">
        <f t="shared" si="1"/>
        <v>130</v>
      </c>
      <c r="V10" s="663" t="s">
        <v>14</v>
      </c>
      <c r="W10" s="664">
        <f t="shared" si="2"/>
        <v>130</v>
      </c>
      <c r="X10" s="665"/>
      <c r="Y10" s="3338"/>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445"/>
      <c r="Q11" s="530" t="str">
        <f t="shared" si="6"/>
        <v>容积率</v>
      </c>
      <c r="R11" s="663" t="s">
        <v>14</v>
      </c>
      <c r="S11" s="664" t="e">
        <f t="shared" si="0"/>
        <v>#N/A</v>
      </c>
      <c r="T11" s="663" t="s">
        <v>14</v>
      </c>
      <c r="U11" s="664" t="e">
        <f t="shared" si="1"/>
        <v>#N/A</v>
      </c>
      <c r="V11" s="663" t="s">
        <v>14</v>
      </c>
      <c r="W11" s="664" t="e">
        <f t="shared" si="2"/>
        <v>#N/A</v>
      </c>
      <c r="X11" s="665"/>
      <c r="Y11" s="333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445"/>
      <c r="Q12" s="530" t="str">
        <f t="shared" si="6"/>
        <v>配建</v>
      </c>
      <c r="R12" s="663" t="s">
        <v>14</v>
      </c>
      <c r="S12" s="664">
        <f t="shared" si="0"/>
        <v>100</v>
      </c>
      <c r="T12" s="663" t="s">
        <v>14</v>
      </c>
      <c r="U12" s="664">
        <f t="shared" si="1"/>
        <v>100</v>
      </c>
      <c r="V12" s="663" t="s">
        <v>14</v>
      </c>
      <c r="W12" s="664">
        <f t="shared" si="2"/>
        <v>100</v>
      </c>
      <c r="X12" s="665"/>
      <c r="Y12" s="333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445"/>
      <c r="Q13" s="530">
        <f t="shared" si="6"/>
        <v>111</v>
      </c>
      <c r="R13" s="663" t="s">
        <v>14</v>
      </c>
      <c r="S13" s="664">
        <f t="shared" si="0"/>
        <v>100</v>
      </c>
      <c r="T13" s="663" t="s">
        <v>14</v>
      </c>
      <c r="U13" s="664">
        <f t="shared" si="1"/>
        <v>100</v>
      </c>
      <c r="V13" s="663" t="s">
        <v>14</v>
      </c>
      <c r="W13" s="664">
        <f t="shared" si="2"/>
        <v>100</v>
      </c>
      <c r="X13" s="665"/>
      <c r="Y13" s="3338"/>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445"/>
      <c r="Q14" s="530">
        <f t="shared" si="6"/>
        <v>111</v>
      </c>
      <c r="R14" s="663" t="s">
        <v>14</v>
      </c>
      <c r="S14" s="664">
        <f t="shared" si="0"/>
        <v>100</v>
      </c>
      <c r="T14" s="663" t="s">
        <v>14</v>
      </c>
      <c r="U14" s="664">
        <f t="shared" si="1"/>
        <v>100</v>
      </c>
      <c r="V14" s="663" t="s">
        <v>14</v>
      </c>
      <c r="W14" s="664">
        <f t="shared" si="2"/>
        <v>100</v>
      </c>
      <c r="X14" s="665"/>
      <c r="Y14" s="3338"/>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446" t="s">
        <v>1691</v>
      </c>
      <c r="Q15" s="1262" t="str">
        <f t="shared" si="6"/>
        <v>居住社区成熟度</v>
      </c>
      <c r="R15" s="666" t="s">
        <v>14</v>
      </c>
      <c r="S15" s="667">
        <f t="shared" si="0"/>
        <v>100</v>
      </c>
      <c r="T15" s="666" t="s">
        <v>14</v>
      </c>
      <c r="U15" s="667">
        <f t="shared" si="1"/>
        <v>100</v>
      </c>
      <c r="V15" s="666" t="s">
        <v>14</v>
      </c>
      <c r="W15" s="667">
        <f t="shared" si="2"/>
        <v>100</v>
      </c>
      <c r="X15" s="1264"/>
      <c r="Y15" s="344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447"/>
      <c r="Q16" s="1262"/>
      <c r="R16" s="666"/>
      <c r="S16" s="667"/>
      <c r="T16" s="666"/>
      <c r="U16" s="667"/>
      <c r="V16" s="666"/>
      <c r="W16" s="667"/>
      <c r="X16" s="1264"/>
      <c r="Y16" s="3447"/>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447"/>
      <c r="Q17" s="1262" t="str">
        <f>B17</f>
        <v>商业繁华度</v>
      </c>
      <c r="R17" s="666" t="s">
        <v>14</v>
      </c>
      <c r="S17" s="667">
        <f>F17</f>
        <v>100</v>
      </c>
      <c r="T17" s="666" t="s">
        <v>14</v>
      </c>
      <c r="U17" s="667">
        <f>H17</f>
        <v>100</v>
      </c>
      <c r="V17" s="666" t="s">
        <v>14</v>
      </c>
      <c r="W17" s="667">
        <f>J17</f>
        <v>100</v>
      </c>
      <c r="X17" s="1264"/>
      <c r="Y17" s="344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447"/>
      <c r="Q18" s="1262"/>
      <c r="R18" s="666"/>
      <c r="S18" s="667"/>
      <c r="T18" s="666"/>
      <c r="U18" s="667"/>
      <c r="V18" s="666"/>
      <c r="W18" s="667"/>
      <c r="X18" s="1264"/>
      <c r="Y18" s="3447"/>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447"/>
      <c r="Q19" s="1262" t="str">
        <f>B19</f>
        <v>办公集聚程度</v>
      </c>
      <c r="R19" s="666" t="s">
        <v>14</v>
      </c>
      <c r="S19" s="667">
        <f>F19</f>
        <v>100</v>
      </c>
      <c r="T19" s="666" t="s">
        <v>14</v>
      </c>
      <c r="U19" s="667">
        <f>H19</f>
        <v>100</v>
      </c>
      <c r="V19" s="666" t="s">
        <v>14</v>
      </c>
      <c r="W19" s="667">
        <f>J19</f>
        <v>100</v>
      </c>
      <c r="X19" s="1264"/>
      <c r="Y19" s="344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447"/>
      <c r="Q20" s="1262"/>
      <c r="R20" s="666"/>
      <c r="S20" s="667"/>
      <c r="T20" s="666"/>
      <c r="U20" s="667"/>
      <c r="V20" s="666"/>
      <c r="W20" s="667"/>
      <c r="X20" s="1264"/>
      <c r="Y20" s="3447"/>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447"/>
      <c r="Q21" s="1262" t="str">
        <f>B21</f>
        <v>交通便捷度</v>
      </c>
      <c r="R21" s="666" t="s">
        <v>14</v>
      </c>
      <c r="S21" s="667">
        <f>F21</f>
        <v>100</v>
      </c>
      <c r="T21" s="666" t="s">
        <v>14</v>
      </c>
      <c r="U21" s="667">
        <f>H21</f>
        <v>100</v>
      </c>
      <c r="V21" s="666" t="s">
        <v>14</v>
      </c>
      <c r="W21" s="667">
        <f>J21</f>
        <v>100</v>
      </c>
      <c r="X21" s="1264"/>
      <c r="Y21" s="3447"/>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447"/>
      <c r="Q22" s="1262"/>
      <c r="R22" s="666"/>
      <c r="S22" s="667"/>
      <c r="T22" s="666"/>
      <c r="U22" s="667"/>
      <c r="V22" s="666"/>
      <c r="W22" s="667"/>
      <c r="X22" s="1264"/>
      <c r="Y22" s="3447"/>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447"/>
      <c r="Q23" s="1262" t="str">
        <f t="shared" ref="Q23:Q37" si="8">B23</f>
        <v>区域土地利用方向</v>
      </c>
      <c r="R23" s="666" t="s">
        <v>14</v>
      </c>
      <c r="S23" s="667">
        <f>F23</f>
        <v>100</v>
      </c>
      <c r="T23" s="666" t="s">
        <v>14</v>
      </c>
      <c r="U23" s="667">
        <f>H23</f>
        <v>100</v>
      </c>
      <c r="V23" s="666" t="s">
        <v>14</v>
      </c>
      <c r="W23" s="667">
        <f>J23</f>
        <v>100</v>
      </c>
      <c r="X23" s="1264"/>
      <c r="Y23" s="344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447"/>
      <c r="Q24" s="1262"/>
      <c r="R24" s="666"/>
      <c r="S24" s="667"/>
      <c r="T24" s="666"/>
      <c r="U24" s="667"/>
      <c r="V24" s="666"/>
      <c r="W24" s="667"/>
      <c r="X24" s="1264"/>
      <c r="Y24" s="3447"/>
      <c r="Z24" s="1263"/>
      <c r="AA24" s="1263"/>
      <c r="AB24" s="1263"/>
      <c r="AC24" s="1263"/>
    </row>
    <row r="25" spans="1:29" ht="27">
      <c r="A25" s="348"/>
      <c r="B25" s="585"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447"/>
      <c r="Q25" s="1262" t="str">
        <f t="shared" si="8"/>
        <v>自然及人文环境状况</v>
      </c>
      <c r="R25" s="666" t="s">
        <v>14</v>
      </c>
      <c r="S25" s="667">
        <f>F25</f>
        <v>100</v>
      </c>
      <c r="T25" s="666" t="s">
        <v>14</v>
      </c>
      <c r="U25" s="667">
        <f>H25</f>
        <v>100</v>
      </c>
      <c r="V25" s="666" t="s">
        <v>14</v>
      </c>
      <c r="W25" s="667">
        <f>J25</f>
        <v>100</v>
      </c>
      <c r="X25" s="1264"/>
      <c r="Y25" s="344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447"/>
      <c r="Q26" s="1262"/>
      <c r="R26" s="666"/>
      <c r="S26" s="667"/>
      <c r="T26" s="666"/>
      <c r="U26" s="667"/>
      <c r="V26" s="666"/>
      <c r="W26" s="667"/>
      <c r="X26" s="1264"/>
      <c r="Y26" s="3447"/>
      <c r="Z26" s="1263"/>
      <c r="AA26" s="1263">
        <v>1</v>
      </c>
      <c r="AB26" s="1263">
        <v>1</v>
      </c>
      <c r="AC26" s="1263">
        <v>1</v>
      </c>
    </row>
    <row r="27" spans="1:29" s="102" customFormat="1" ht="15">
      <c r="A27" s="443"/>
      <c r="B27" s="585"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447"/>
      <c r="Q27" s="530" t="str">
        <f t="shared" si="8"/>
        <v>公共配套设施</v>
      </c>
      <c r="R27" s="663" t="s">
        <v>14</v>
      </c>
      <c r="S27" s="664">
        <f>F27</f>
        <v>100</v>
      </c>
      <c r="T27" s="663" t="s">
        <v>14</v>
      </c>
      <c r="U27" s="664">
        <f>H27</f>
        <v>100</v>
      </c>
      <c r="V27" s="663" t="s">
        <v>14</v>
      </c>
      <c r="W27" s="664">
        <f>J27</f>
        <v>100</v>
      </c>
      <c r="X27" s="665"/>
      <c r="Y27" s="344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447"/>
      <c r="Q28" s="530"/>
      <c r="R28" s="663"/>
      <c r="S28" s="664"/>
      <c r="T28" s="663"/>
      <c r="U28" s="664"/>
      <c r="V28" s="663"/>
      <c r="W28" s="664"/>
      <c r="X28" s="665"/>
      <c r="Y28" s="3447"/>
      <c r="Z28" s="50"/>
      <c r="AA28" s="1263">
        <v>1</v>
      </c>
      <c r="AB28" s="1263">
        <v>1</v>
      </c>
      <c r="AC28" s="1263">
        <v>1</v>
      </c>
    </row>
    <row r="29" spans="1:29" s="102" customFormat="1" ht="15">
      <c r="A29" s="443"/>
      <c r="B29" s="585"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447"/>
      <c r="Q29" s="530" t="str">
        <f t="shared" ref="Q29" si="9">B29</f>
        <v>基础设施水平</v>
      </c>
      <c r="R29" s="663" t="s">
        <v>14</v>
      </c>
      <c r="S29" s="664">
        <f>F29</f>
        <v>100</v>
      </c>
      <c r="T29" s="663" t="s">
        <v>14</v>
      </c>
      <c r="U29" s="664">
        <f>H29</f>
        <v>100</v>
      </c>
      <c r="V29" s="663" t="s">
        <v>14</v>
      </c>
      <c r="W29" s="664">
        <f>J29</f>
        <v>100</v>
      </c>
      <c r="X29" s="665"/>
      <c r="Y29" s="344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447"/>
      <c r="Q30" s="530"/>
      <c r="R30" s="663"/>
      <c r="S30" s="664"/>
      <c r="T30" s="663"/>
      <c r="U30" s="664"/>
      <c r="V30" s="663"/>
      <c r="W30" s="664"/>
      <c r="X30" s="665"/>
      <c r="Y30" s="3447"/>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447"/>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47"/>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447"/>
      <c r="Q32" s="1262" t="str">
        <f t="shared" si="8"/>
        <v>毗邻道路的类型与等级</v>
      </c>
      <c r="R32" s="666" t="s">
        <v>14</v>
      </c>
      <c r="S32" s="667">
        <f t="shared" si="10"/>
        <v>100</v>
      </c>
      <c r="T32" s="666" t="s">
        <v>14</v>
      </c>
      <c r="U32" s="667">
        <f t="shared" si="11"/>
        <v>100</v>
      </c>
      <c r="V32" s="666" t="s">
        <v>14</v>
      </c>
      <c r="W32" s="667">
        <f t="shared" si="12"/>
        <v>100</v>
      </c>
      <c r="X32" s="1264"/>
      <c r="Y32" s="344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47"/>
      <c r="Q33" s="1262"/>
      <c r="R33" s="666"/>
      <c r="S33" s="667"/>
      <c r="T33" s="666"/>
      <c r="U33" s="667"/>
      <c r="V33" s="666"/>
      <c r="W33" s="667"/>
      <c r="X33" s="1264"/>
      <c r="Y33" s="3447"/>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447"/>
      <c r="Q34" s="1262" t="str">
        <f t="shared" si="8"/>
        <v>土地级别</v>
      </c>
      <c r="R34" s="666" t="s">
        <v>14</v>
      </c>
      <c r="S34" s="667">
        <f t="shared" si="10"/>
        <v>100</v>
      </c>
      <c r="T34" s="666" t="s">
        <v>14</v>
      </c>
      <c r="U34" s="667">
        <f t="shared" si="11"/>
        <v>100</v>
      </c>
      <c r="V34" s="666" t="s">
        <v>14</v>
      </c>
      <c r="W34" s="667">
        <f t="shared" si="12"/>
        <v>100</v>
      </c>
      <c r="X34" s="1264"/>
      <c r="Y34" s="3447"/>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447"/>
      <c r="Q35" s="1262">
        <f t="shared" si="8"/>
        <v>111</v>
      </c>
      <c r="R35" s="666" t="s">
        <v>14</v>
      </c>
      <c r="S35" s="667">
        <f t="shared" si="10"/>
        <v>100</v>
      </c>
      <c r="T35" s="666" t="s">
        <v>14</v>
      </c>
      <c r="U35" s="667">
        <f t="shared" si="11"/>
        <v>100</v>
      </c>
      <c r="V35" s="666" t="s">
        <v>14</v>
      </c>
      <c r="W35" s="667">
        <f t="shared" si="12"/>
        <v>100</v>
      </c>
      <c r="X35" s="1264"/>
      <c r="Y35" s="3447"/>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70" t="s">
        <v>1696</v>
      </c>
      <c r="Q36" s="1262">
        <f t="shared" si="8"/>
        <v>111</v>
      </c>
      <c r="R36" s="666" t="s">
        <v>14</v>
      </c>
      <c r="S36" s="667">
        <f t="shared" si="10"/>
        <v>100</v>
      </c>
      <c r="T36" s="666" t="s">
        <v>14</v>
      </c>
      <c r="U36" s="667">
        <f t="shared" si="11"/>
        <v>100</v>
      </c>
      <c r="V36" s="666" t="s">
        <v>14</v>
      </c>
      <c r="W36" s="667">
        <f t="shared" si="12"/>
        <v>100</v>
      </c>
      <c r="X36" s="1264"/>
      <c r="Y36" s="3451"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451"/>
      <c r="Q37" s="1262">
        <f t="shared" si="8"/>
        <v>111</v>
      </c>
      <c r="R37" s="668" t="s">
        <v>14</v>
      </c>
      <c r="S37" s="669">
        <f t="shared" si="10"/>
        <v>100</v>
      </c>
      <c r="T37" s="668" t="s">
        <v>14</v>
      </c>
      <c r="U37" s="669">
        <f t="shared" si="11"/>
        <v>100</v>
      </c>
      <c r="V37" s="668" t="s">
        <v>14</v>
      </c>
      <c r="W37" s="669">
        <f t="shared" si="12"/>
        <v>100</v>
      </c>
      <c r="X37" s="670"/>
      <c r="Y37" s="3451"/>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451"/>
      <c r="Q38" s="1262" t="str">
        <f>B38</f>
        <v>宗地面积</v>
      </c>
      <c r="R38" s="666" t="s">
        <v>14</v>
      </c>
      <c r="S38" s="667" t="e">
        <f t="shared" si="10"/>
        <v>#N/A</v>
      </c>
      <c r="T38" s="666" t="s">
        <v>14</v>
      </c>
      <c r="U38" s="667" t="e">
        <f t="shared" si="11"/>
        <v>#N/A</v>
      </c>
      <c r="V38" s="666" t="s">
        <v>14</v>
      </c>
      <c r="W38" s="667" t="e">
        <f t="shared" si="12"/>
        <v>#N/A</v>
      </c>
      <c r="X38" s="1264"/>
      <c r="Y38" s="345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51"/>
      <c r="Q39" s="1262" t="str">
        <f t="shared" ref="Q39:Q45" si="14">B39</f>
        <v>宗地形状</v>
      </c>
      <c r="R39" s="666" t="s">
        <v>14</v>
      </c>
      <c r="S39" s="667">
        <f t="shared" si="10"/>
        <v>100</v>
      </c>
      <c r="T39" s="666" t="s">
        <v>14</v>
      </c>
      <c r="U39" s="667">
        <f t="shared" si="11"/>
        <v>100</v>
      </c>
      <c r="V39" s="666" t="s">
        <v>14</v>
      </c>
      <c r="W39" s="667">
        <f t="shared" si="12"/>
        <v>100</v>
      </c>
      <c r="X39" s="1264"/>
      <c r="Y39" s="345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51"/>
      <c r="Q40" s="1262" t="str">
        <f t="shared" si="14"/>
        <v>临街宽度及深度</v>
      </c>
      <c r="R40" s="666" t="s">
        <v>14</v>
      </c>
      <c r="S40" s="667">
        <f t="shared" si="10"/>
        <v>100</v>
      </c>
      <c r="T40" s="666" t="s">
        <v>14</v>
      </c>
      <c r="U40" s="667">
        <f t="shared" si="11"/>
        <v>100</v>
      </c>
      <c r="V40" s="666" t="s">
        <v>14</v>
      </c>
      <c r="W40" s="667">
        <f t="shared" si="12"/>
        <v>100</v>
      </c>
      <c r="X40" s="1264"/>
      <c r="Y40" s="345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51"/>
      <c r="Q41" s="1262" t="str">
        <f t="shared" si="14"/>
        <v>宗地开发程度</v>
      </c>
      <c r="R41" s="663" t="s">
        <v>14</v>
      </c>
      <c r="S41" s="664">
        <f t="shared" si="10"/>
        <v>100</v>
      </c>
      <c r="T41" s="663" t="s">
        <v>14</v>
      </c>
      <c r="U41" s="664">
        <f t="shared" si="11"/>
        <v>100</v>
      </c>
      <c r="V41" s="663" t="s">
        <v>14</v>
      </c>
      <c r="W41" s="664">
        <f t="shared" si="12"/>
        <v>100</v>
      </c>
      <c r="X41" s="665"/>
      <c r="Y41" s="345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51" t="s">
        <v>1696</v>
      </c>
      <c r="Q42" s="1262" t="str">
        <f t="shared" si="14"/>
        <v>工程地质条件</v>
      </c>
      <c r="R42" s="666" t="s">
        <v>14</v>
      </c>
      <c r="S42" s="667">
        <f t="shared" si="10"/>
        <v>100</v>
      </c>
      <c r="T42" s="666" t="s">
        <v>14</v>
      </c>
      <c r="U42" s="667">
        <f t="shared" si="11"/>
        <v>100</v>
      </c>
      <c r="V42" s="666" t="s">
        <v>14</v>
      </c>
      <c r="W42" s="667">
        <f t="shared" si="12"/>
        <v>100</v>
      </c>
      <c r="X42" s="1264"/>
      <c r="Y42" s="3451"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451"/>
      <c r="Q43" s="1262">
        <f t="shared" si="14"/>
        <v>111</v>
      </c>
      <c r="R43" s="666" t="s">
        <v>14</v>
      </c>
      <c r="S43" s="667">
        <f t="shared" si="10"/>
        <v>100</v>
      </c>
      <c r="T43" s="666" t="s">
        <v>14</v>
      </c>
      <c r="U43" s="667">
        <f t="shared" si="11"/>
        <v>100</v>
      </c>
      <c r="V43" s="666" t="s">
        <v>14</v>
      </c>
      <c r="W43" s="667">
        <f t="shared" si="12"/>
        <v>100</v>
      </c>
      <c r="X43" s="1264"/>
      <c r="Y43" s="3451"/>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451"/>
      <c r="Q44" s="1262">
        <f t="shared" si="14"/>
        <v>111</v>
      </c>
      <c r="R44" s="666" t="s">
        <v>14</v>
      </c>
      <c r="S44" s="667">
        <f t="shared" si="10"/>
        <v>100</v>
      </c>
      <c r="T44" s="666" t="s">
        <v>14</v>
      </c>
      <c r="U44" s="667">
        <f t="shared" si="11"/>
        <v>100</v>
      </c>
      <c r="V44" s="666" t="s">
        <v>14</v>
      </c>
      <c r="W44" s="667">
        <f t="shared" si="12"/>
        <v>100</v>
      </c>
      <c r="X44" s="1264"/>
      <c r="Y44" s="3451"/>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451"/>
      <c r="Q45" s="1262">
        <f t="shared" si="14"/>
        <v>111</v>
      </c>
      <c r="R45" s="668" t="s">
        <v>14</v>
      </c>
      <c r="S45" s="669">
        <f t="shared" si="10"/>
        <v>100</v>
      </c>
      <c r="T45" s="668" t="s">
        <v>14</v>
      </c>
      <c r="U45" s="669">
        <f t="shared" si="11"/>
        <v>100</v>
      </c>
      <c r="V45" s="668" t="s">
        <v>14</v>
      </c>
      <c r="W45" s="669">
        <f t="shared" si="12"/>
        <v>100</v>
      </c>
      <c r="X45" s="670"/>
      <c r="Y45" s="3451"/>
      <c r="Z45" s="671">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3"/>
      <c r="L46" s="2494"/>
      <c r="M46" s="2487"/>
      <c r="N46" s="2487"/>
      <c r="O46" s="2487"/>
      <c r="P46" s="3445" t="str">
        <f>A46</f>
        <v>成交单价</v>
      </c>
      <c r="Q46" s="3445"/>
      <c r="R46" s="3440">
        <f>E46</f>
        <v>0</v>
      </c>
      <c r="S46" s="3440"/>
      <c r="T46" s="3440">
        <f>G46</f>
        <v>0</v>
      </c>
      <c r="U46" s="3440"/>
      <c r="V46" s="3440">
        <f>I46</f>
        <v>0</v>
      </c>
      <c r="W46" s="3440"/>
      <c r="X46" s="385"/>
      <c r="Y46" s="672"/>
      <c r="Z46" s="385"/>
      <c r="AA46" s="385"/>
      <c r="AB46" s="385"/>
      <c r="AC46" s="385"/>
    </row>
    <row r="47" spans="1:29" ht="15.75" thickBot="1">
      <c r="A47" s="423" t="s">
        <v>1793</v>
      </c>
      <c r="B47" s="602"/>
      <c r="C47" s="426" t="e">
        <f>R48</f>
        <v>#DIV/0!</v>
      </c>
      <c r="D47" s="2140" t="s">
        <v>2138</v>
      </c>
      <c r="E47" s="426" t="e">
        <f>R47</f>
        <v>#DIV/0!</v>
      </c>
      <c r="F47" s="2141"/>
      <c r="G47" s="425" t="e">
        <f>T47</f>
        <v>#DIV/0!</v>
      </c>
      <c r="H47" s="2141"/>
      <c r="I47" s="426" t="e">
        <f>V47</f>
        <v>#DIV/0!</v>
      </c>
      <c r="J47" s="2141"/>
      <c r="K47" s="2143">
        <f>F47+H47+J47</f>
        <v>0</v>
      </c>
      <c r="L47" s="2494"/>
      <c r="M47" s="2487"/>
      <c r="N47" s="2487"/>
      <c r="O47" s="2487"/>
      <c r="P47" s="3445" t="str">
        <f>A47</f>
        <v>比较价值（元/平方米）</v>
      </c>
      <c r="Q47" s="3445"/>
      <c r="R47" s="3472" t="e">
        <f>ROUND(PRODUCT(R46,AA7:AA45),0)</f>
        <v>#DIV/0!</v>
      </c>
      <c r="S47" s="3472"/>
      <c r="T47" s="3472" t="e">
        <f>ROUND(PRODUCT(T46,AB7:AB45),0)</f>
        <v>#DIV/0!</v>
      </c>
      <c r="U47" s="3472"/>
      <c r="V47" s="3472" t="e">
        <f>ROUND(PRODUCT(V46,AC7:AC45),0)</f>
        <v>#DIV/0!</v>
      </c>
      <c r="W47" s="3472"/>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442" t="str">
        <f>A48</f>
        <v>估价对象XX用房的比较价值（楼面单价，元/平方米）</v>
      </c>
      <c r="Q48" s="3443"/>
      <c r="R48" s="3473" t="e">
        <f>ROUND(IF(D47="简单平均",AVERAGE(R47:W47),R47*F47+T47*H47+V47*J47),0)</f>
        <v>#DIV/0!</v>
      </c>
      <c r="S48" s="3473"/>
      <c r="T48" s="3473"/>
      <c r="U48" s="3473"/>
      <c r="V48" s="3473"/>
      <c r="W48" s="347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428" t="s">
        <v>1887</v>
      </c>
      <c r="H55" s="3474"/>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2765.9</v>
      </c>
      <c r="F56" s="832" t="e">
        <f t="shared" ref="F56:F64" si="15">ROUND(B56*E56/10000,0)</f>
        <v>#DIV/0!</v>
      </c>
      <c r="G56" s="3427"/>
      <c r="H56" s="3445"/>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10" t="e">
        <f>ROUND($C$48*C57*D57,0)</f>
        <v>#DIV/0!</v>
      </c>
      <c r="C57" s="163">
        <f t="shared" ref="C57:C64" si="16">IF($C$55="北京市系数",I57,J57)</f>
        <v>0.7</v>
      </c>
      <c r="D57" s="890">
        <v>0.25</v>
      </c>
      <c r="E57" s="613"/>
      <c r="F57" s="832" t="e">
        <f t="shared" si="15"/>
        <v>#DIV/0!</v>
      </c>
      <c r="G57" s="2750" t="s">
        <v>1892</v>
      </c>
      <c r="H57" s="833" t="str">
        <f>项目基本情况!B37</f>
        <v>二级</v>
      </c>
      <c r="I57" s="837">
        <f>SUMIF(修正!A59:A70,H57,修正!B59:B70)</f>
        <v>0.7</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10" t="e">
        <f t="shared" ref="B58:B64" si="17">ROUND($C$48*C58*D58,0)</f>
        <v>#DIV/0!</v>
      </c>
      <c r="C58" s="163">
        <f t="shared" si="16"/>
        <v>0.4</v>
      </c>
      <c r="D58" s="890">
        <v>0.25</v>
      </c>
      <c r="E58" s="613"/>
      <c r="F58" s="832" t="e">
        <f t="shared" si="15"/>
        <v>#DIV/0!</v>
      </c>
      <c r="G58" s="2751"/>
      <c r="H58" s="833" t="str">
        <f>项目基本情况!B37</f>
        <v>二级</v>
      </c>
      <c r="I58" s="837">
        <f>SUMIF(修正!A59:A70,H58,修正!C59:C70)</f>
        <v>0.4</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10" t="e">
        <f t="shared" si="17"/>
        <v>#DIV/0!</v>
      </c>
      <c r="C59" s="163">
        <f t="shared" si="16"/>
        <v>0.3</v>
      </c>
      <c r="D59" s="890">
        <v>0.25</v>
      </c>
      <c r="E59" s="613"/>
      <c r="F59" s="832" t="e">
        <f t="shared" si="15"/>
        <v>#DIV/0!</v>
      </c>
      <c r="G59" s="2751"/>
      <c r="H59" s="833" t="str">
        <f>项目基本情况!B37</f>
        <v>二级</v>
      </c>
      <c r="I59" s="837">
        <f>SUMIF(修正!A59:A70,H59,修正!D59:D70)</f>
        <v>0.3</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10" t="e">
        <f t="shared" si="17"/>
        <v>#DIV/0!</v>
      </c>
      <c r="C60" s="163">
        <f t="shared" si="16"/>
        <v>0.3</v>
      </c>
      <c r="D60" s="890">
        <v>0.25</v>
      </c>
      <c r="E60" s="209">
        <f>'数据-汇总表'!E11</f>
        <v>0</v>
      </c>
      <c r="F60" s="832" t="e">
        <f t="shared" si="15"/>
        <v>#DIV/0!</v>
      </c>
      <c r="G60" s="1834" t="s">
        <v>1896</v>
      </c>
      <c r="H60" s="833" t="str">
        <f>项目基本情况!C37</f>
        <v>二级</v>
      </c>
      <c r="I60" s="837">
        <f>SUMIF(修正!A59:A70,H60,修正!E59:E70)</f>
        <v>0.3</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10" t="e">
        <f t="shared" si="17"/>
        <v>#DIV/0!</v>
      </c>
      <c r="C61" s="163">
        <f t="shared" si="16"/>
        <v>0.3</v>
      </c>
      <c r="D61" s="890">
        <v>0.25</v>
      </c>
      <c r="E61" s="209">
        <f>'数据-汇总表'!E12</f>
        <v>0</v>
      </c>
      <c r="F61" s="832" t="e">
        <f t="shared" si="15"/>
        <v>#DIV/0!</v>
      </c>
      <c r="G61" s="838" t="s">
        <v>1898</v>
      </c>
      <c r="H61" s="833" t="str">
        <f>IF(G61="商业",项目基本情况!B37,IF(G61="办公",项目基本情况!C37,IF(G61="住宅",项目基本情况!D37,项目基本情况!E37)))</f>
        <v>二级</v>
      </c>
      <c r="I61" s="837">
        <f>SUMIF(修正!A59:A70,H61,修正!F59:F70)</f>
        <v>0.3</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10" t="e">
        <f t="shared" si="17"/>
        <v>#DIV/0!</v>
      </c>
      <c r="C63" s="163">
        <f t="shared" si="16"/>
        <v>0.2</v>
      </c>
      <c r="D63" s="890">
        <v>0.25</v>
      </c>
      <c r="E63" s="209">
        <f>'数据-汇总表'!E14</f>
        <v>0</v>
      </c>
      <c r="F63" s="832" t="e">
        <f t="shared" si="15"/>
        <v>#DIV/0!</v>
      </c>
      <c r="G63" s="1834" t="s">
        <v>1892</v>
      </c>
      <c r="H63" s="833" t="str">
        <f>项目基本情况!B37</f>
        <v>二级</v>
      </c>
      <c r="I63" s="837">
        <f>SUMIF(修正!A59:A70,H63,修正!G59:G70)</f>
        <v>0.2</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10" t="e">
        <f t="shared" si="17"/>
        <v>#DIV/0!</v>
      </c>
      <c r="C64" s="163">
        <f t="shared" si="16"/>
        <v>0.2</v>
      </c>
      <c r="D64" s="890">
        <v>0.25</v>
      </c>
      <c r="E64" s="209">
        <f>'数据-汇总表'!E15</f>
        <v>0</v>
      </c>
      <c r="F64" s="832" t="e">
        <f t="shared" si="15"/>
        <v>#DIV/0!</v>
      </c>
      <c r="G64" s="1835" t="s">
        <v>1896</v>
      </c>
      <c r="H64" s="843" t="str">
        <f>项目基本情况!C37</f>
        <v>二级</v>
      </c>
      <c r="I64" s="839">
        <f>SUMIF(修正!A59:A70,H64,修正!G59:G70)</f>
        <v>0.2</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2765.9</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2025-11-1</v>
      </c>
      <c r="D67" s="655">
        <f>EDATE(C67,-3)</f>
        <v>45870</v>
      </c>
      <c r="E67" s="655">
        <f>EDATE(D67,-3)</f>
        <v>45778</v>
      </c>
      <c r="F67" s="655">
        <f t="shared" ref="F67:O67" si="18">EDATE(E67,-3)</f>
        <v>45689</v>
      </c>
      <c r="G67" s="655">
        <f t="shared" si="18"/>
        <v>45597</v>
      </c>
      <c r="H67" s="655">
        <f t="shared" si="18"/>
        <v>45505</v>
      </c>
      <c r="I67" s="655">
        <f t="shared" si="18"/>
        <v>45413</v>
      </c>
      <c r="J67" s="655">
        <f t="shared" si="18"/>
        <v>45323</v>
      </c>
      <c r="K67" s="655">
        <f t="shared" si="18"/>
        <v>45231</v>
      </c>
      <c r="L67" s="655">
        <f t="shared" si="18"/>
        <v>45139</v>
      </c>
      <c r="M67" s="655">
        <f t="shared" si="18"/>
        <v>45047</v>
      </c>
      <c r="N67" s="655">
        <f t="shared" si="18"/>
        <v>44958</v>
      </c>
      <c r="O67" s="655">
        <f t="shared" si="18"/>
        <v>44866</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"北京市平均增长率"&amp;TEXT(SUMIF('商业-基准地价修正'!N25:N29,A70,'商业-基准地价修正'!P25:P29),"0.00%")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28" t="s">
        <v>1770</v>
      </c>
      <c r="D4" s="3429"/>
      <c r="E4" s="3430" t="s">
        <v>1771</v>
      </c>
      <c r="F4" s="3431"/>
      <c r="G4" s="3428" t="s">
        <v>1772</v>
      </c>
      <c r="H4" s="3429"/>
      <c r="I4" s="3428" t="s">
        <v>1773</v>
      </c>
      <c r="J4" s="3429"/>
      <c r="K4" s="537" t="s">
        <v>1774</v>
      </c>
      <c r="L4" s="2486"/>
      <c r="M4" s="2487"/>
      <c r="N4" s="2487"/>
      <c r="O4" s="2487"/>
      <c r="P4" s="3432" t="s">
        <v>1775</v>
      </c>
      <c r="Q4" s="3433"/>
      <c r="R4" s="3415" t="s">
        <v>1771</v>
      </c>
      <c r="S4" s="3416"/>
      <c r="T4" s="3415" t="s">
        <v>1772</v>
      </c>
      <c r="U4" s="3416"/>
      <c r="V4" s="3440" t="s">
        <v>1773</v>
      </c>
      <c r="W4" s="3440"/>
      <c r="X4" s="1264"/>
      <c r="Y4" s="3415" t="s">
        <v>1775</v>
      </c>
      <c r="Z4" s="3416"/>
      <c r="AA4" s="3410" t="s">
        <v>1771</v>
      </c>
      <c r="AB4" s="3411" t="s">
        <v>1772</v>
      </c>
      <c r="AC4" s="3410" t="s">
        <v>1773</v>
      </c>
    </row>
    <row r="5" spans="1:29" ht="15">
      <c r="A5" s="348"/>
      <c r="B5" s="349"/>
      <c r="C5" s="3421" t="s">
        <v>1673</v>
      </c>
      <c r="D5" s="3422"/>
      <c r="E5" s="3419" t="s">
        <v>1674</v>
      </c>
      <c r="F5" s="3420"/>
      <c r="G5" s="3421" t="s">
        <v>1675</v>
      </c>
      <c r="H5" s="3422"/>
      <c r="I5" s="3421" t="s">
        <v>1676</v>
      </c>
      <c r="J5" s="3422"/>
      <c r="K5" s="537"/>
      <c r="L5" s="2486"/>
      <c r="M5" s="2487"/>
      <c r="N5" s="2487"/>
      <c r="O5" s="2487"/>
      <c r="P5" s="3434"/>
      <c r="Q5" s="3435"/>
      <c r="R5" s="3417"/>
      <c r="S5" s="3418"/>
      <c r="T5" s="3417"/>
      <c r="U5" s="3418"/>
      <c r="V5" s="3440"/>
      <c r="W5" s="3440"/>
      <c r="X5" s="1264"/>
      <c r="Y5" s="3417"/>
      <c r="Z5" s="3418"/>
      <c r="AA5" s="3411"/>
      <c r="AB5" s="3411"/>
      <c r="AC5" s="3411"/>
    </row>
    <row r="6" spans="1:29" ht="15.75" thickBot="1">
      <c r="A6" s="350"/>
      <c r="B6" s="351"/>
      <c r="C6" s="3475" t="s">
        <v>1919</v>
      </c>
      <c r="D6" s="3476"/>
      <c r="E6" s="3477" t="s">
        <v>1919</v>
      </c>
      <c r="F6" s="3478"/>
      <c r="G6" s="3475" t="s">
        <v>1919</v>
      </c>
      <c r="H6" s="3476"/>
      <c r="I6" s="3475" t="s">
        <v>1919</v>
      </c>
      <c r="J6" s="3476"/>
      <c r="K6" s="537" t="s">
        <v>1678</v>
      </c>
      <c r="L6" s="2486"/>
      <c r="M6" s="2487"/>
      <c r="N6" s="2487"/>
      <c r="O6" s="2487"/>
      <c r="P6" s="3436"/>
      <c r="Q6" s="3437"/>
      <c r="R6" s="3417"/>
      <c r="S6" s="3418"/>
      <c r="T6" s="3438"/>
      <c r="U6" s="3439"/>
      <c r="V6" s="3440"/>
      <c r="W6" s="3440"/>
      <c r="X6" s="1264"/>
      <c r="Y6" s="3438"/>
      <c r="Z6" s="3439"/>
      <c r="AA6" s="3412"/>
      <c r="AB6" s="3412"/>
      <c r="AC6" s="3412"/>
    </row>
    <row r="7" spans="1:29" s="102" customFormat="1" ht="15.75" thickBot="1">
      <c r="A7" s="352" t="s">
        <v>1679</v>
      </c>
      <c r="B7" s="353"/>
      <c r="C7" s="354">
        <f>'数据-取费表'!B2</f>
        <v>45989</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13" t="s">
        <v>1680</v>
      </c>
      <c r="Q7" s="3441"/>
      <c r="R7" s="663" t="s">
        <v>14</v>
      </c>
      <c r="S7" s="664">
        <f t="shared" ref="S7:S15" si="0">F7</f>
        <v>0</v>
      </c>
      <c r="T7" s="663" t="s">
        <v>14</v>
      </c>
      <c r="U7" s="664">
        <f t="shared" ref="U7:U15" si="1">H7</f>
        <v>0</v>
      </c>
      <c r="V7" s="663" t="s">
        <v>14</v>
      </c>
      <c r="W7" s="664">
        <f t="shared" ref="W7:W15" si="2">J7</f>
        <v>0</v>
      </c>
      <c r="X7" s="665"/>
      <c r="Y7" s="3413" t="s">
        <v>1680</v>
      </c>
      <c r="Z7" s="341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3" t="s">
        <v>1683</v>
      </c>
      <c r="Q8" s="3414"/>
      <c r="R8" s="663" t="s">
        <v>14</v>
      </c>
      <c r="S8" s="664">
        <f t="shared" si="0"/>
        <v>0</v>
      </c>
      <c r="T8" s="663" t="s">
        <v>14</v>
      </c>
      <c r="U8" s="664">
        <f t="shared" si="1"/>
        <v>0</v>
      </c>
      <c r="V8" s="663" t="s">
        <v>14</v>
      </c>
      <c r="W8" s="664">
        <f t="shared" si="2"/>
        <v>0</v>
      </c>
      <c r="X8" s="665"/>
      <c r="Y8" s="3413" t="s">
        <v>1683</v>
      </c>
      <c r="Z8" s="3414"/>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45" t="s">
        <v>1686</v>
      </c>
      <c r="Q9" s="530" t="str">
        <f t="shared" ref="Q9:Q15" si="6">B9</f>
        <v>用途</v>
      </c>
      <c r="R9" s="663" t="s">
        <v>14</v>
      </c>
      <c r="S9" s="664">
        <f t="shared" si="0"/>
        <v>100</v>
      </c>
      <c r="T9" s="663" t="s">
        <v>14</v>
      </c>
      <c r="U9" s="664">
        <f t="shared" si="1"/>
        <v>100</v>
      </c>
      <c r="V9" s="663" t="s">
        <v>14</v>
      </c>
      <c r="W9" s="664">
        <f t="shared" si="2"/>
        <v>100</v>
      </c>
      <c r="X9" s="665"/>
      <c r="Y9" s="333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130</v>
      </c>
      <c r="G10" s="371"/>
      <c r="H10" s="119">
        <f>ROUND(100/'数据-取费表'!G16,0)</f>
        <v>130</v>
      </c>
      <c r="I10" s="371"/>
      <c r="J10" s="119">
        <f>ROUND(100/'数据-取费表'!G16,0)</f>
        <v>130</v>
      </c>
      <c r="K10" s="591"/>
      <c r="L10" s="2489"/>
      <c r="M10" s="2490"/>
      <c r="N10" s="2490"/>
      <c r="O10" s="2541"/>
      <c r="P10" s="3445"/>
      <c r="Q10" s="530" t="str">
        <f t="shared" si="6"/>
        <v>土地使用年限（年）</v>
      </c>
      <c r="R10" s="663" t="s">
        <v>14</v>
      </c>
      <c r="S10" s="664">
        <f t="shared" si="0"/>
        <v>130</v>
      </c>
      <c r="T10" s="663" t="s">
        <v>14</v>
      </c>
      <c r="U10" s="664">
        <f t="shared" si="1"/>
        <v>130</v>
      </c>
      <c r="V10" s="663" t="s">
        <v>14</v>
      </c>
      <c r="W10" s="664">
        <f t="shared" si="2"/>
        <v>130</v>
      </c>
      <c r="X10" s="665"/>
      <c r="Y10" s="3338"/>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445"/>
      <c r="Q11" s="530" t="str">
        <f t="shared" si="6"/>
        <v>容积率</v>
      </c>
      <c r="R11" s="663" t="s">
        <v>14</v>
      </c>
      <c r="S11" s="664" t="e">
        <f t="shared" si="0"/>
        <v>#N/A</v>
      </c>
      <c r="T11" s="663" t="s">
        <v>14</v>
      </c>
      <c r="U11" s="664" t="e">
        <f t="shared" si="1"/>
        <v>#N/A</v>
      </c>
      <c r="V11" s="663" t="s">
        <v>14</v>
      </c>
      <c r="W11" s="664" t="e">
        <f t="shared" si="2"/>
        <v>#N/A</v>
      </c>
      <c r="X11" s="665"/>
      <c r="Y11" s="333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445"/>
      <c r="Q12" s="530">
        <f t="shared" si="6"/>
        <v>111</v>
      </c>
      <c r="R12" s="663" t="s">
        <v>14</v>
      </c>
      <c r="S12" s="664">
        <f t="shared" si="0"/>
        <v>100</v>
      </c>
      <c r="T12" s="663" t="s">
        <v>14</v>
      </c>
      <c r="U12" s="664">
        <f t="shared" si="1"/>
        <v>100</v>
      </c>
      <c r="V12" s="663" t="s">
        <v>14</v>
      </c>
      <c r="W12" s="664">
        <f t="shared" si="2"/>
        <v>100</v>
      </c>
      <c r="X12" s="665"/>
      <c r="Y12" s="333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445"/>
      <c r="Q13" s="530">
        <f t="shared" si="6"/>
        <v>111</v>
      </c>
      <c r="R13" s="663" t="s">
        <v>14</v>
      </c>
      <c r="S13" s="664">
        <f t="shared" si="0"/>
        <v>100</v>
      </c>
      <c r="T13" s="663" t="s">
        <v>14</v>
      </c>
      <c r="U13" s="664">
        <f t="shared" si="1"/>
        <v>100</v>
      </c>
      <c r="V13" s="663" t="s">
        <v>14</v>
      </c>
      <c r="W13" s="664">
        <f t="shared" si="2"/>
        <v>100</v>
      </c>
      <c r="X13" s="665"/>
      <c r="Y13" s="3338"/>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445"/>
      <c r="Q14" s="530">
        <f t="shared" si="6"/>
        <v>111</v>
      </c>
      <c r="R14" s="663" t="s">
        <v>14</v>
      </c>
      <c r="S14" s="664">
        <f t="shared" si="0"/>
        <v>100</v>
      </c>
      <c r="T14" s="663" t="s">
        <v>14</v>
      </c>
      <c r="U14" s="664">
        <f t="shared" si="1"/>
        <v>100</v>
      </c>
      <c r="V14" s="663" t="s">
        <v>14</v>
      </c>
      <c r="W14" s="664">
        <f t="shared" si="2"/>
        <v>100</v>
      </c>
      <c r="X14" s="665"/>
      <c r="Y14" s="3338"/>
      <c r="Z14" s="50">
        <f t="shared" si="7"/>
        <v>111</v>
      </c>
      <c r="AA14" s="50">
        <f t="shared" si="3"/>
        <v>1</v>
      </c>
      <c r="AB14" s="50">
        <f t="shared" si="4"/>
        <v>1</v>
      </c>
      <c r="AC14" s="50">
        <f t="shared" si="5"/>
        <v>1</v>
      </c>
    </row>
    <row r="15" spans="1:29" ht="15">
      <c r="A15" s="379" t="s">
        <v>1690</v>
      </c>
      <c r="B15" s="553"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446" t="s">
        <v>1691</v>
      </c>
      <c r="Q15" s="1262" t="str">
        <f t="shared" si="6"/>
        <v>产业集聚程度</v>
      </c>
      <c r="R15" s="666" t="s">
        <v>14</v>
      </c>
      <c r="S15" s="667">
        <f t="shared" si="0"/>
        <v>100</v>
      </c>
      <c r="T15" s="666" t="s">
        <v>14</v>
      </c>
      <c r="U15" s="667">
        <f t="shared" si="1"/>
        <v>100</v>
      </c>
      <c r="V15" s="666" t="s">
        <v>14</v>
      </c>
      <c r="W15" s="667">
        <f t="shared" si="2"/>
        <v>100</v>
      </c>
      <c r="X15" s="1264"/>
      <c r="Y15" s="3446"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447"/>
      <c r="Q16" s="1262"/>
      <c r="R16" s="666"/>
      <c r="S16" s="667"/>
      <c r="T16" s="666"/>
      <c r="U16" s="667"/>
      <c r="V16" s="666"/>
      <c r="W16" s="667"/>
      <c r="X16" s="1264"/>
      <c r="Y16" s="3447"/>
      <c r="Z16" s="1263"/>
      <c r="AA16" s="1263">
        <v>1</v>
      </c>
      <c r="AB16" s="1263">
        <v>1</v>
      </c>
      <c r="AC16" s="1263">
        <v>1</v>
      </c>
    </row>
    <row r="17" spans="1:29" ht="15">
      <c r="A17" s="367"/>
      <c r="B17" s="555"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447"/>
      <c r="Q17" s="1262" t="str">
        <f>B17</f>
        <v>交通便捷度</v>
      </c>
      <c r="R17" s="666" t="s">
        <v>14</v>
      </c>
      <c r="S17" s="667">
        <f>F17</f>
        <v>100</v>
      </c>
      <c r="T17" s="666" t="s">
        <v>14</v>
      </c>
      <c r="U17" s="667">
        <f>H17</f>
        <v>100</v>
      </c>
      <c r="V17" s="666" t="s">
        <v>14</v>
      </c>
      <c r="W17" s="667">
        <f>J17</f>
        <v>100</v>
      </c>
      <c r="X17" s="1264"/>
      <c r="Y17" s="344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447"/>
      <c r="Q18" s="1262"/>
      <c r="R18" s="666"/>
      <c r="S18" s="667"/>
      <c r="T18" s="666"/>
      <c r="U18" s="667"/>
      <c r="V18" s="666"/>
      <c r="W18" s="667"/>
      <c r="X18" s="1264"/>
      <c r="Y18" s="3447"/>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447"/>
      <c r="Q19" s="1262" t="str">
        <f t="shared" ref="Q19:Q33" si="8">B19</f>
        <v>区域土地利用方向</v>
      </c>
      <c r="R19" s="666" t="s">
        <v>14</v>
      </c>
      <c r="S19" s="667">
        <f>F19</f>
        <v>100</v>
      </c>
      <c r="T19" s="666" t="s">
        <v>14</v>
      </c>
      <c r="U19" s="667">
        <f>H19</f>
        <v>100</v>
      </c>
      <c r="V19" s="666" t="s">
        <v>14</v>
      </c>
      <c r="W19" s="667">
        <f>J19</f>
        <v>100</v>
      </c>
      <c r="X19" s="1264"/>
      <c r="Y19" s="344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447"/>
      <c r="Q20" s="1262"/>
      <c r="R20" s="666"/>
      <c r="S20" s="667"/>
      <c r="T20" s="666"/>
      <c r="U20" s="667"/>
      <c r="V20" s="666"/>
      <c r="W20" s="667"/>
      <c r="X20" s="1264"/>
      <c r="Y20" s="3447"/>
      <c r="Z20" s="1263"/>
      <c r="AA20" s="1263"/>
      <c r="AB20" s="1263"/>
      <c r="AC20" s="1263"/>
    </row>
    <row r="21" spans="1:29" ht="15">
      <c r="A21" s="348"/>
      <c r="B21" s="555"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447"/>
      <c r="Q21" s="1262" t="str">
        <f t="shared" si="8"/>
        <v>环境状况</v>
      </c>
      <c r="R21" s="666" t="s">
        <v>14</v>
      </c>
      <c r="S21" s="667">
        <f>F21</f>
        <v>100</v>
      </c>
      <c r="T21" s="666" t="s">
        <v>14</v>
      </c>
      <c r="U21" s="667">
        <f>H21</f>
        <v>100</v>
      </c>
      <c r="V21" s="666" t="s">
        <v>14</v>
      </c>
      <c r="W21" s="667">
        <f>J21</f>
        <v>100</v>
      </c>
      <c r="X21" s="1264"/>
      <c r="Y21" s="344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447"/>
      <c r="Q22" s="1262"/>
      <c r="R22" s="666"/>
      <c r="S22" s="667"/>
      <c r="T22" s="666"/>
      <c r="U22" s="667"/>
      <c r="V22" s="666"/>
      <c r="W22" s="667"/>
      <c r="X22" s="1264"/>
      <c r="Y22" s="3447"/>
      <c r="Z22" s="1263"/>
      <c r="AA22" s="1263">
        <v>1</v>
      </c>
      <c r="AB22" s="1263">
        <v>1</v>
      </c>
      <c r="AC22" s="1263">
        <v>1</v>
      </c>
    </row>
    <row r="23" spans="1:29" s="102" customFormat="1" ht="15">
      <c r="A23" s="443"/>
      <c r="B23" s="556"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447"/>
      <c r="Q23" s="530" t="str">
        <f t="shared" si="8"/>
        <v>公共配套设施</v>
      </c>
      <c r="R23" s="663" t="s">
        <v>14</v>
      </c>
      <c r="S23" s="664">
        <f>F23</f>
        <v>100</v>
      </c>
      <c r="T23" s="663" t="s">
        <v>14</v>
      </c>
      <c r="U23" s="664">
        <f>H23</f>
        <v>100</v>
      </c>
      <c r="V23" s="663" t="s">
        <v>14</v>
      </c>
      <c r="W23" s="664">
        <f>J23</f>
        <v>100</v>
      </c>
      <c r="X23" s="665"/>
      <c r="Y23" s="344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447"/>
      <c r="Q24" s="530"/>
      <c r="R24" s="663"/>
      <c r="S24" s="664"/>
      <c r="T24" s="663"/>
      <c r="U24" s="664"/>
      <c r="V24" s="663"/>
      <c r="W24" s="664"/>
      <c r="X24" s="665"/>
      <c r="Y24" s="3447"/>
      <c r="Z24" s="50"/>
      <c r="AA24" s="50">
        <v>1</v>
      </c>
      <c r="AB24" s="50">
        <v>1</v>
      </c>
      <c r="AC24" s="50">
        <v>1</v>
      </c>
    </row>
    <row r="25" spans="1:29" s="102" customFormat="1" ht="15">
      <c r="A25" s="443"/>
      <c r="B25" s="556"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447"/>
      <c r="Q25" s="530" t="str">
        <f t="shared" ref="Q25" si="9">B25</f>
        <v>基础设施水平</v>
      </c>
      <c r="R25" s="663" t="s">
        <v>14</v>
      </c>
      <c r="S25" s="664">
        <f>F25</f>
        <v>100</v>
      </c>
      <c r="T25" s="663" t="s">
        <v>14</v>
      </c>
      <c r="U25" s="664">
        <f>H25</f>
        <v>100</v>
      </c>
      <c r="V25" s="663" t="s">
        <v>14</v>
      </c>
      <c r="W25" s="664">
        <f>J25</f>
        <v>100</v>
      </c>
      <c r="X25" s="665"/>
      <c r="Y25" s="344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447"/>
      <c r="Q26" s="530"/>
      <c r="R26" s="663"/>
      <c r="S26" s="664"/>
      <c r="T26" s="663"/>
      <c r="U26" s="664"/>
      <c r="V26" s="663"/>
      <c r="W26" s="664"/>
      <c r="X26" s="665"/>
      <c r="Y26" s="3447"/>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447"/>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47"/>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447"/>
      <c r="Q28" s="1262" t="str">
        <f t="shared" si="8"/>
        <v>毗邻道路的类型与等级</v>
      </c>
      <c r="R28" s="666" t="s">
        <v>14</v>
      </c>
      <c r="S28" s="667">
        <f t="shared" si="10"/>
        <v>100</v>
      </c>
      <c r="T28" s="666" t="s">
        <v>14</v>
      </c>
      <c r="U28" s="667">
        <f t="shared" si="11"/>
        <v>100</v>
      </c>
      <c r="V28" s="666" t="s">
        <v>14</v>
      </c>
      <c r="W28" s="667">
        <f t="shared" si="12"/>
        <v>100</v>
      </c>
      <c r="X28" s="1264"/>
      <c r="Y28" s="344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47"/>
      <c r="Q29" s="1262"/>
      <c r="R29" s="666"/>
      <c r="S29" s="667"/>
      <c r="T29" s="666"/>
      <c r="U29" s="667"/>
      <c r="V29" s="666"/>
      <c r="W29" s="667"/>
      <c r="X29" s="1264"/>
      <c r="Y29" s="3447"/>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447"/>
      <c r="Q30" s="1262" t="str">
        <f t="shared" si="8"/>
        <v>土地级别</v>
      </c>
      <c r="R30" s="666" t="s">
        <v>14</v>
      </c>
      <c r="S30" s="667">
        <f t="shared" si="10"/>
        <v>100</v>
      </c>
      <c r="T30" s="666" t="s">
        <v>14</v>
      </c>
      <c r="U30" s="667">
        <f t="shared" si="11"/>
        <v>100</v>
      </c>
      <c r="V30" s="666" t="s">
        <v>14</v>
      </c>
      <c r="W30" s="667">
        <f t="shared" si="12"/>
        <v>100</v>
      </c>
      <c r="X30" s="1264"/>
      <c r="Y30" s="3447"/>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47"/>
      <c r="Q31" s="1262">
        <f t="shared" si="8"/>
        <v>111</v>
      </c>
      <c r="R31" s="666" t="s">
        <v>14</v>
      </c>
      <c r="S31" s="667">
        <f t="shared" si="10"/>
        <v>100</v>
      </c>
      <c r="T31" s="666" t="s">
        <v>14</v>
      </c>
      <c r="U31" s="667">
        <f t="shared" si="11"/>
        <v>100</v>
      </c>
      <c r="V31" s="666" t="s">
        <v>14</v>
      </c>
      <c r="W31" s="667">
        <f t="shared" si="12"/>
        <v>100</v>
      </c>
      <c r="X31" s="1264"/>
      <c r="Y31" s="3447"/>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70" t="s">
        <v>1696</v>
      </c>
      <c r="Q32" s="1262">
        <f t="shared" si="8"/>
        <v>111</v>
      </c>
      <c r="R32" s="666" t="s">
        <v>14</v>
      </c>
      <c r="S32" s="667">
        <f t="shared" si="10"/>
        <v>100</v>
      </c>
      <c r="T32" s="666" t="s">
        <v>14</v>
      </c>
      <c r="U32" s="667">
        <f t="shared" si="11"/>
        <v>100</v>
      </c>
      <c r="V32" s="666" t="s">
        <v>14</v>
      </c>
      <c r="W32" s="667">
        <f t="shared" si="12"/>
        <v>100</v>
      </c>
      <c r="X32" s="1264"/>
      <c r="Y32" s="3451"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451"/>
      <c r="Q33" s="1262">
        <f t="shared" si="8"/>
        <v>111</v>
      </c>
      <c r="R33" s="668" t="s">
        <v>14</v>
      </c>
      <c r="S33" s="669">
        <f t="shared" si="10"/>
        <v>100</v>
      </c>
      <c r="T33" s="668" t="s">
        <v>14</v>
      </c>
      <c r="U33" s="669">
        <f t="shared" si="11"/>
        <v>100</v>
      </c>
      <c r="V33" s="668" t="s">
        <v>14</v>
      </c>
      <c r="W33" s="669">
        <f t="shared" si="12"/>
        <v>100</v>
      </c>
      <c r="X33" s="670"/>
      <c r="Y33" s="3451"/>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451"/>
      <c r="Q34" s="1262" t="str">
        <f>B34</f>
        <v>宗地面积</v>
      </c>
      <c r="R34" s="666" t="s">
        <v>14</v>
      </c>
      <c r="S34" s="667" t="e">
        <f t="shared" si="10"/>
        <v>#N/A</v>
      </c>
      <c r="T34" s="666" t="s">
        <v>14</v>
      </c>
      <c r="U34" s="667" t="e">
        <f t="shared" si="11"/>
        <v>#N/A</v>
      </c>
      <c r="V34" s="666" t="s">
        <v>14</v>
      </c>
      <c r="W34" s="667" t="e">
        <f t="shared" si="12"/>
        <v>#N/A</v>
      </c>
      <c r="X34" s="1264"/>
      <c r="Y34" s="345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51"/>
      <c r="Q35" s="1262" t="str">
        <f t="shared" ref="Q35:Q40" si="14">B35</f>
        <v>宗地形状</v>
      </c>
      <c r="R35" s="666" t="s">
        <v>14</v>
      </c>
      <c r="S35" s="667">
        <f t="shared" si="10"/>
        <v>100</v>
      </c>
      <c r="T35" s="666" t="s">
        <v>14</v>
      </c>
      <c r="U35" s="667">
        <f t="shared" si="11"/>
        <v>100</v>
      </c>
      <c r="V35" s="666" t="s">
        <v>14</v>
      </c>
      <c r="W35" s="667">
        <f t="shared" si="12"/>
        <v>100</v>
      </c>
      <c r="X35" s="1264"/>
      <c r="Y35" s="345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51"/>
      <c r="Q36" s="1262" t="str">
        <f t="shared" si="14"/>
        <v>宗地开发程度</v>
      </c>
      <c r="R36" s="663" t="s">
        <v>14</v>
      </c>
      <c r="S36" s="664">
        <f t="shared" si="10"/>
        <v>100</v>
      </c>
      <c r="T36" s="663" t="s">
        <v>14</v>
      </c>
      <c r="U36" s="664">
        <f t="shared" si="11"/>
        <v>100</v>
      </c>
      <c r="V36" s="663" t="s">
        <v>14</v>
      </c>
      <c r="W36" s="664">
        <f t="shared" si="12"/>
        <v>100</v>
      </c>
      <c r="X36" s="665"/>
      <c r="Y36" s="345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51" t="s">
        <v>1696</v>
      </c>
      <c r="Q37" s="1262" t="str">
        <f t="shared" si="14"/>
        <v>工程地质条件</v>
      </c>
      <c r="R37" s="666" t="s">
        <v>14</v>
      </c>
      <c r="S37" s="667">
        <f t="shared" si="10"/>
        <v>100</v>
      </c>
      <c r="T37" s="666" t="s">
        <v>14</v>
      </c>
      <c r="U37" s="667">
        <f t="shared" si="11"/>
        <v>100</v>
      </c>
      <c r="V37" s="666" t="s">
        <v>14</v>
      </c>
      <c r="W37" s="667">
        <f t="shared" si="12"/>
        <v>100</v>
      </c>
      <c r="X37" s="1264"/>
      <c r="Y37" s="3451"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451"/>
      <c r="Q38" s="1262">
        <f t="shared" si="14"/>
        <v>111</v>
      </c>
      <c r="R38" s="666" t="s">
        <v>14</v>
      </c>
      <c r="S38" s="667">
        <f t="shared" si="10"/>
        <v>100</v>
      </c>
      <c r="T38" s="666" t="s">
        <v>14</v>
      </c>
      <c r="U38" s="667">
        <f t="shared" si="11"/>
        <v>100</v>
      </c>
      <c r="V38" s="666" t="s">
        <v>14</v>
      </c>
      <c r="W38" s="667">
        <f t="shared" si="12"/>
        <v>100</v>
      </c>
      <c r="X38" s="1264"/>
      <c r="Y38" s="3451"/>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451"/>
      <c r="Q39" s="1262">
        <f t="shared" si="14"/>
        <v>111</v>
      </c>
      <c r="R39" s="666" t="s">
        <v>14</v>
      </c>
      <c r="S39" s="667">
        <f t="shared" si="10"/>
        <v>100</v>
      </c>
      <c r="T39" s="666" t="s">
        <v>14</v>
      </c>
      <c r="U39" s="667">
        <f t="shared" si="11"/>
        <v>100</v>
      </c>
      <c r="V39" s="666" t="s">
        <v>14</v>
      </c>
      <c r="W39" s="667">
        <f t="shared" si="12"/>
        <v>100</v>
      </c>
      <c r="X39" s="1264"/>
      <c r="Y39" s="3451"/>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451"/>
      <c r="Q40" s="1262">
        <f t="shared" si="14"/>
        <v>111</v>
      </c>
      <c r="R40" s="668" t="s">
        <v>14</v>
      </c>
      <c r="S40" s="669">
        <f t="shared" si="10"/>
        <v>100</v>
      </c>
      <c r="T40" s="668" t="s">
        <v>14</v>
      </c>
      <c r="U40" s="669">
        <f t="shared" si="11"/>
        <v>100</v>
      </c>
      <c r="V40" s="668" t="s">
        <v>14</v>
      </c>
      <c r="W40" s="669">
        <f t="shared" si="12"/>
        <v>100</v>
      </c>
      <c r="X40" s="670"/>
      <c r="Y40" s="3451"/>
      <c r="Z40" s="671">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3"/>
      <c r="L41" s="2494"/>
      <c r="M41" s="2487"/>
      <c r="N41" s="2487"/>
      <c r="O41" s="2487"/>
      <c r="P41" s="3445" t="str">
        <f>A41</f>
        <v>成交单价</v>
      </c>
      <c r="Q41" s="3445"/>
      <c r="R41" s="3440">
        <f>E41</f>
        <v>0</v>
      </c>
      <c r="S41" s="3440"/>
      <c r="T41" s="3440">
        <f>G41</f>
        <v>0</v>
      </c>
      <c r="U41" s="3440"/>
      <c r="V41" s="3440">
        <f>I41</f>
        <v>0</v>
      </c>
      <c r="W41" s="3440"/>
      <c r="X41" s="385"/>
      <c r="Y41" s="672"/>
      <c r="Z41" s="385"/>
      <c r="AA41" s="385"/>
      <c r="AB41" s="385"/>
      <c r="AC41" s="385"/>
    </row>
    <row r="42" spans="1:31" ht="15.75" thickBot="1">
      <c r="A42" s="423" t="s">
        <v>1793</v>
      </c>
      <c r="B42" s="602"/>
      <c r="C42" s="426" t="e">
        <f>R43</f>
        <v>#DIV/0!</v>
      </c>
      <c r="D42" s="2140" t="s">
        <v>2138</v>
      </c>
      <c r="E42" s="426" t="e">
        <f>R42</f>
        <v>#DIV/0!</v>
      </c>
      <c r="F42" s="2141"/>
      <c r="G42" s="425" t="e">
        <f>T42</f>
        <v>#DIV/0!</v>
      </c>
      <c r="H42" s="2141"/>
      <c r="I42" s="426" t="e">
        <f>V42</f>
        <v>#DIV/0!</v>
      </c>
      <c r="J42" s="2141"/>
      <c r="K42" s="2143">
        <f>F42+H42+J42</f>
        <v>0</v>
      </c>
      <c r="L42" s="2494"/>
      <c r="M42" s="2487"/>
      <c r="N42" s="2487"/>
      <c r="O42" s="2487"/>
      <c r="P42" s="3445" t="str">
        <f>A42</f>
        <v>比较价值（元/平方米）</v>
      </c>
      <c r="Q42" s="3445"/>
      <c r="R42" s="3472" t="e">
        <f>ROUND(PRODUCT(R41,AA7:AA40),0)</f>
        <v>#DIV/0!</v>
      </c>
      <c r="S42" s="3472"/>
      <c r="T42" s="3472" t="e">
        <f>ROUND(PRODUCT(T41,AB7:AB40),0)</f>
        <v>#DIV/0!</v>
      </c>
      <c r="U42" s="3472"/>
      <c r="V42" s="3472" t="e">
        <f>ROUND(PRODUCT(V41,AC7:AC40),0)</f>
        <v>#DIV/0!</v>
      </c>
      <c r="W42" s="3472"/>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442" t="str">
        <f>A43</f>
        <v>估价对象XX用房的比较价值（楼面单价，元/平方米）</v>
      </c>
      <c r="Q43" s="3443"/>
      <c r="R43" s="3473" t="e">
        <f>ROUND(IF(D42="简单平均",AVERAGE(R42:W42),R42*F42+T42*H42+V42*J42),0)</f>
        <v>#DIV/0!</v>
      </c>
      <c r="S43" s="3473"/>
      <c r="T43" s="3473"/>
      <c r="U43" s="3473"/>
      <c r="V43" s="3473"/>
      <c r="W43" s="347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428" t="s">
        <v>1887</v>
      </c>
      <c r="H50" s="3474"/>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2765.9</v>
      </c>
      <c r="F51" s="610" t="e">
        <f t="shared" ref="F51:F60" si="15">ROUND(B51*E51/10000,0)</f>
        <v>#DIV/0!</v>
      </c>
      <c r="G51" s="3427"/>
      <c r="H51" s="3445"/>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10" t="e">
        <f>ROUND($C$43*C52*D52,0)</f>
        <v>#DIV/0!</v>
      </c>
      <c r="C52" s="163">
        <f t="shared" ref="C52:C60" si="16">IF($C$50="北京市系数",I52,J52)</f>
        <v>0.7</v>
      </c>
      <c r="D52" s="890">
        <v>0.25</v>
      </c>
      <c r="E52" s="613"/>
      <c r="F52" s="610" t="e">
        <f t="shared" si="15"/>
        <v>#DIV/0!</v>
      </c>
      <c r="G52" s="2750" t="s">
        <v>1892</v>
      </c>
      <c r="H52" s="833" t="str">
        <f>项目基本情况!B37</f>
        <v>二级</v>
      </c>
      <c r="I52" s="726">
        <f>SUMIF(修正!A59:A70,H52,修正!B59:B70)</f>
        <v>0.7</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10" t="e">
        <f t="shared" ref="B53:B60" si="17">ROUND($C$43*C53*D53,0)</f>
        <v>#DIV/0!</v>
      </c>
      <c r="C53" s="163">
        <f t="shared" si="16"/>
        <v>0.4</v>
      </c>
      <c r="D53" s="890">
        <v>0.25</v>
      </c>
      <c r="E53" s="613"/>
      <c r="F53" s="610" t="e">
        <f t="shared" si="15"/>
        <v>#DIV/0!</v>
      </c>
      <c r="G53" s="2751"/>
      <c r="H53" s="833" t="str">
        <f>项目基本情况!B37</f>
        <v>二级</v>
      </c>
      <c r="I53" s="726">
        <f>SUMIF(修正!A59:A70,H53,修正!C59:C70)</f>
        <v>0.4</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10" t="e">
        <f t="shared" si="17"/>
        <v>#DIV/0!</v>
      </c>
      <c r="C54" s="163">
        <f t="shared" si="16"/>
        <v>0.3</v>
      </c>
      <c r="D54" s="890">
        <v>0.25</v>
      </c>
      <c r="E54" s="613"/>
      <c r="F54" s="610" t="e">
        <f t="shared" si="15"/>
        <v>#DIV/0!</v>
      </c>
      <c r="G54" s="2751"/>
      <c r="H54" s="833" t="str">
        <f>项目基本情况!B37</f>
        <v>二级</v>
      </c>
      <c r="I54" s="726">
        <f>SUMIF(修正!A59:A70,H54,修正!D59:D70)</f>
        <v>0.3</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10" t="e">
        <f t="shared" si="17"/>
        <v>#DIV/0!</v>
      </c>
      <c r="C56" s="163">
        <f t="shared" si="16"/>
        <v>0.3</v>
      </c>
      <c r="D56" s="890">
        <v>0.25</v>
      </c>
      <c r="E56" s="209">
        <f>'数据-汇总表'!E11</f>
        <v>0</v>
      </c>
      <c r="F56" s="610" t="e">
        <f t="shared" si="15"/>
        <v>#DIV/0!</v>
      </c>
      <c r="G56" s="1834" t="s">
        <v>1896</v>
      </c>
      <c r="H56" s="833" t="str">
        <f>项目基本情况!C37</f>
        <v>二级</v>
      </c>
      <c r="I56" s="726">
        <f>SUMIF(修正!A59:A70,H56,修正!E59:E70)</f>
        <v>0.3</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10" t="e">
        <f t="shared" si="17"/>
        <v>#DIV/0!</v>
      </c>
      <c r="C57" s="163">
        <f t="shared" si="16"/>
        <v>0.3</v>
      </c>
      <c r="D57" s="890">
        <v>0.25</v>
      </c>
      <c r="E57" s="209">
        <f>'数据-汇总表'!E12</f>
        <v>0</v>
      </c>
      <c r="F57" s="610" t="e">
        <f t="shared" si="15"/>
        <v>#DIV/0!</v>
      </c>
      <c r="G57" s="838" t="s">
        <v>1898</v>
      </c>
      <c r="H57" s="833" t="str">
        <f>IF(G57="商业",项目基本情况!B37,IF(G57="办公",项目基本情况!C37,IF(G57="住宅",项目基本情况!D37,项目基本情况!E37)))</f>
        <v>二级</v>
      </c>
      <c r="I57" s="726">
        <f>SUMIF(修正!A59:A70,H57,修正!F59:F70)</f>
        <v>0.3</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10" t="e">
        <f t="shared" si="17"/>
        <v>#DIV/0!</v>
      </c>
      <c r="C59" s="163">
        <f t="shared" si="16"/>
        <v>0.2</v>
      </c>
      <c r="D59" s="890">
        <v>0.25</v>
      </c>
      <c r="E59" s="209">
        <f>'数据-汇总表'!E14</f>
        <v>0</v>
      </c>
      <c r="F59" s="610" t="e">
        <f t="shared" si="15"/>
        <v>#DIV/0!</v>
      </c>
      <c r="G59" s="1834" t="s">
        <v>1892</v>
      </c>
      <c r="H59" s="833" t="str">
        <f>项目基本情况!B37</f>
        <v>二级</v>
      </c>
      <c r="I59" s="726">
        <f>SUMIF(修正!A59:A70,H59,修正!G59:G70)</f>
        <v>0.2</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10" t="e">
        <f t="shared" si="17"/>
        <v>#DIV/0!</v>
      </c>
      <c r="C60" s="163">
        <f t="shared" si="16"/>
        <v>0.2</v>
      </c>
      <c r="D60" s="890">
        <v>0.25</v>
      </c>
      <c r="E60" s="209">
        <f>'数据-汇总表'!E15</f>
        <v>0</v>
      </c>
      <c r="F60" s="610" t="e">
        <f t="shared" si="15"/>
        <v>#DIV/0!</v>
      </c>
      <c r="G60" s="1835" t="s">
        <v>1896</v>
      </c>
      <c r="H60" s="843" t="str">
        <f>项目基本情况!C37</f>
        <v>二级</v>
      </c>
      <c r="I60" s="726">
        <f>SUMIF(修正!A59:A70,H60,修正!G59:G70)</f>
        <v>0.2</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2025-11-1</v>
      </c>
      <c r="D63" s="655">
        <f>EDATE(C63,-3)</f>
        <v>45870</v>
      </c>
      <c r="E63" s="655">
        <f>EDATE(D63,-3)</f>
        <v>45778</v>
      </c>
      <c r="F63" s="655">
        <f t="shared" ref="F63:O63" si="18">EDATE(E63,-3)</f>
        <v>45689</v>
      </c>
      <c r="G63" s="655">
        <f t="shared" si="18"/>
        <v>45597</v>
      </c>
      <c r="H63" s="655">
        <f t="shared" si="18"/>
        <v>45505</v>
      </c>
      <c r="I63" s="655">
        <f t="shared" si="18"/>
        <v>45413</v>
      </c>
      <c r="J63" s="655">
        <f t="shared" si="18"/>
        <v>45323</v>
      </c>
      <c r="K63" s="655">
        <f t="shared" si="18"/>
        <v>45231</v>
      </c>
      <c r="L63" s="655">
        <f t="shared" si="18"/>
        <v>45139</v>
      </c>
      <c r="M63" s="655">
        <f t="shared" si="18"/>
        <v>45047</v>
      </c>
      <c r="N63" s="655">
        <f t="shared" si="18"/>
        <v>44958</v>
      </c>
      <c r="O63" s="655">
        <f t="shared" si="18"/>
        <v>44866</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"北京市平均增长率"&amp;TEXT('商业-基准地价修正'!P28,"0.00%")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9.5" thickBot="1">
      <c r="A4" s="1390"/>
      <c r="B4" s="3184" t="s">
        <v>917</v>
      </c>
      <c r="C4" s="3184"/>
      <c r="D4" s="3184"/>
      <c r="E4" s="1390"/>
    </row>
    <row r="5" spans="1:5" ht="16.5" thickTop="1">
      <c r="B5" s="3182" t="s">
        <v>909</v>
      </c>
      <c r="C5" s="1391" t="s">
        <v>910</v>
      </c>
      <c r="D5" s="796">
        <f ca="1">结果表!H101</f>
        <v>7588</v>
      </c>
    </row>
    <row r="6" spans="1:5" ht="15.75">
      <c r="B6" s="3182"/>
      <c r="C6" s="1391" t="s">
        <v>911</v>
      </c>
      <c r="D6" s="796" t="str">
        <f ca="1">NUMBERSTRING(INT(D5*10000),2)&amp;"元整"</f>
        <v>柒仟伍佰捌拾捌万元整</v>
      </c>
    </row>
    <row r="7" spans="1:5" ht="15.75">
      <c r="B7" s="3187"/>
      <c r="C7" s="1392" t="s">
        <v>912</v>
      </c>
      <c r="D7" s="797">
        <f ca="1">结果表!H102</f>
        <v>27434</v>
      </c>
    </row>
    <row r="8" spans="1:5" ht="15.75">
      <c r="B8" s="3188" t="str">
        <f>结果表!E103</f>
        <v>2.估价师知悉的法定优先受偿款</v>
      </c>
      <c r="C8" s="1393" t="s">
        <v>913</v>
      </c>
      <c r="D8" s="797">
        <f>结果表!H103</f>
        <v>0</v>
      </c>
    </row>
    <row r="9" spans="1:5" ht="15.75">
      <c r="B9" s="3190"/>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1" t="str">
        <f>结果表!E107</f>
        <v>3.房地产抵押价值</v>
      </c>
      <c r="C13" s="1396" t="s">
        <v>910</v>
      </c>
      <c r="D13" s="799">
        <f ca="1">结果表!H107</f>
        <v>7588</v>
      </c>
    </row>
    <row r="14" spans="1:5" ht="15.75">
      <c r="B14" s="3182"/>
      <c r="C14" s="1391" t="s">
        <v>911</v>
      </c>
      <c r="D14" s="796" t="str">
        <f ca="1">NUMBERSTRING(INT(D13*10000),2)&amp;"元整"</f>
        <v>柒仟伍佰捌拾捌万元整</v>
      </c>
    </row>
    <row r="15" spans="1:5" ht="15">
      <c r="B15" s="3187"/>
      <c r="C15" s="1392" t="s">
        <v>921</v>
      </c>
      <c r="D15" s="805">
        <f ca="1">结果表!H108</f>
        <v>27434</v>
      </c>
    </row>
    <row r="16" spans="1:5" ht="15">
      <c r="B16" s="3188" t="str">
        <f>结果表!E109</f>
        <v>——</v>
      </c>
      <c r="C16" s="1396" t="s">
        <v>922</v>
      </c>
      <c r="D16" s="1397" t="str">
        <f>结果表!H109</f>
        <v>——</v>
      </c>
    </row>
    <row r="17" spans="1:5" ht="15.75">
      <c r="B17" s="3189"/>
      <c r="C17" s="1391" t="s">
        <v>923</v>
      </c>
      <c r="D17" s="796" t="e">
        <f>NUMBERSTRING(INT(D16*10000),2)&amp;"元整"</f>
        <v>#VALUE!</v>
      </c>
    </row>
    <row r="18" spans="1:5" ht="15">
      <c r="B18" s="3190"/>
      <c r="C18" s="1392" t="s">
        <v>912</v>
      </c>
      <c r="D18" s="805" t="str">
        <f>结果表!H110</f>
        <v>——</v>
      </c>
    </row>
    <row r="19" spans="1:5" ht="15.75">
      <c r="B19" s="3181" t="str">
        <f>结果表!E111</f>
        <v>——</v>
      </c>
      <c r="C19" s="1396" t="s">
        <v>910</v>
      </c>
      <c r="D19" s="797" t="str">
        <f>结果表!H111</f>
        <v>——</v>
      </c>
    </row>
    <row r="20" spans="1:5" ht="15.75">
      <c r="B20" s="3182"/>
      <c r="C20" s="1391" t="s">
        <v>923</v>
      </c>
      <c r="D20" s="796" t="e">
        <f>NUMBERSTRING(INT(D19*10000),2)&amp;"元整"</f>
        <v>#VALUE!</v>
      </c>
    </row>
    <row r="21" spans="1:5" ht="15.75" thickBot="1">
      <c r="B21" s="3183"/>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82" t="s">
        <v>2084</v>
      </c>
      <c r="D1" s="3483"/>
      <c r="E1" s="3483"/>
      <c r="F1" s="3483"/>
      <c r="G1" s="3483"/>
      <c r="H1" s="3483"/>
      <c r="I1" s="3483"/>
      <c r="J1" s="3483"/>
      <c r="K1" s="3483"/>
      <c r="L1" s="3483"/>
      <c r="M1" s="3483"/>
      <c r="N1" s="3483"/>
      <c r="O1" s="3483"/>
      <c r="P1" s="3483"/>
      <c r="Q1" s="3483"/>
      <c r="R1" s="3483"/>
      <c r="S1" s="3484"/>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9" t="s">
        <v>27</v>
      </c>
      <c r="D22" s="3480"/>
      <c r="E22" s="3480"/>
      <c r="F22" s="3480"/>
      <c r="G22" s="3480"/>
      <c r="H22" s="3480"/>
      <c r="I22" s="3480"/>
      <c r="J22" s="3480"/>
      <c r="K22" s="3480"/>
      <c r="L22" s="3480"/>
      <c r="M22" s="3480"/>
      <c r="N22" s="3480"/>
      <c r="O22" s="3480"/>
      <c r="P22" s="3480"/>
      <c r="Q22" s="348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#REF!</v>
      </c>
      <c r="C6" s="1983" t="s">
        <v>2074</v>
      </c>
      <c r="D6" s="2544"/>
      <c r="E6" s="2397" t="e">
        <f ca="1">SUMIF(INDIRECT("'"&amp;A6&amp;"'"&amp;"!C:C"),"建筑面积",INDIRECT("'"&amp;A6&amp;"'"&amp;"!D:D"))</f>
        <v>#REF!</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495" t="s">
        <v>2598</v>
      </c>
      <c r="B20" s="3485" t="s">
        <v>2619</v>
      </c>
      <c r="C20" s="3168" t="s">
        <v>2430</v>
      </c>
      <c r="D20" s="3168"/>
      <c r="E20" s="2844">
        <v>1</v>
      </c>
      <c r="F20" s="2845" t="s">
        <v>2431</v>
      </c>
      <c r="G20" s="2845"/>
    </row>
    <row r="21" spans="1:13" ht="19.5" customHeight="1">
      <c r="A21" s="3496"/>
      <c r="B21" s="3486"/>
      <c r="C21" s="2857" t="s">
        <v>2432</v>
      </c>
      <c r="D21" s="2857"/>
      <c r="E21" s="2848">
        <v>1</v>
      </c>
      <c r="F21" s="2845" t="s">
        <v>2433</v>
      </c>
      <c r="G21" s="2845"/>
    </row>
    <row r="22" spans="1:13" ht="19.5" customHeight="1">
      <c r="A22" s="3496"/>
      <c r="B22" s="3486"/>
      <c r="C22" s="2857" t="s">
        <v>2434</v>
      </c>
      <c r="D22" s="2857"/>
      <c r="E22" s="2848">
        <v>0.9</v>
      </c>
      <c r="F22" s="2845" t="s">
        <v>2435</v>
      </c>
      <c r="G22" s="2845"/>
    </row>
    <row r="23" spans="1:13" ht="19.5" customHeight="1">
      <c r="A23" s="3496"/>
      <c r="B23" s="3486"/>
      <c r="C23" s="2857" t="s">
        <v>2436</v>
      </c>
      <c r="D23" s="2857"/>
      <c r="E23" s="2848">
        <v>0.9</v>
      </c>
      <c r="F23" s="2845" t="s">
        <v>2437</v>
      </c>
      <c r="G23" s="2845"/>
    </row>
    <row r="24" spans="1:13" ht="19.5" customHeight="1">
      <c r="A24" s="3496"/>
      <c r="B24" s="3486"/>
      <c r="C24" s="2857" t="s">
        <v>2438</v>
      </c>
      <c r="D24" s="2857"/>
      <c r="E24" s="2848">
        <v>0.8</v>
      </c>
      <c r="F24" s="2845" t="s">
        <v>2439</v>
      </c>
      <c r="G24" s="2845"/>
    </row>
    <row r="25" spans="1:13" ht="19.5" customHeight="1">
      <c r="A25" s="3496"/>
      <c r="B25" s="3486"/>
      <c r="C25" s="2857" t="s">
        <v>2440</v>
      </c>
      <c r="D25" s="2857"/>
      <c r="E25" s="2848">
        <v>0.8</v>
      </c>
      <c r="F25" s="2845"/>
      <c r="G25" s="2845"/>
    </row>
    <row r="26" spans="1:13" ht="19.5" customHeight="1">
      <c r="A26" s="3496"/>
      <c r="B26" s="3486"/>
      <c r="C26" s="2857" t="s">
        <v>3397</v>
      </c>
      <c r="D26" s="2857"/>
      <c r="E26" s="2848">
        <v>0.43</v>
      </c>
      <c r="F26" s="2845"/>
      <c r="G26" s="2845"/>
    </row>
    <row r="27" spans="1:13" ht="19.5" customHeight="1" thickBot="1">
      <c r="A27" s="3497"/>
      <c r="B27" s="3487"/>
      <c r="C27" s="3164" t="s">
        <v>3398</v>
      </c>
      <c r="D27" s="3164"/>
      <c r="E27" s="2851">
        <f>E26*0.9</f>
        <v>0.38700000000000001</v>
      </c>
      <c r="F27" s="2845" t="s">
        <v>2441</v>
      </c>
      <c r="G27" s="2845"/>
    </row>
    <row r="28" spans="1:13" ht="19.5" customHeight="1" thickBot="1">
      <c r="A28" s="3163" t="s">
        <v>2620</v>
      </c>
      <c r="B28" s="3162" t="s">
        <v>2619</v>
      </c>
      <c r="C28" s="3165" t="s">
        <v>2621</v>
      </c>
      <c r="D28" s="3166"/>
      <c r="E28" s="3167">
        <v>1</v>
      </c>
      <c r="F28" s="2845" t="s">
        <v>2442</v>
      </c>
      <c r="G28" s="2845"/>
    </row>
    <row r="29" spans="1:13" ht="19.5" customHeight="1">
      <c r="A29" s="3488" t="s">
        <v>2622</v>
      </c>
      <c r="B29" s="3491" t="s">
        <v>2603</v>
      </c>
      <c r="C29" s="2842" t="s">
        <v>2443</v>
      </c>
      <c r="D29" s="2843"/>
      <c r="E29" s="2844">
        <v>1</v>
      </c>
      <c r="F29" s="2845" t="s">
        <v>2444</v>
      </c>
      <c r="G29" s="2845"/>
    </row>
    <row r="30" spans="1:13" ht="19.5" customHeight="1">
      <c r="A30" s="3489"/>
      <c r="B30" s="3492"/>
      <c r="C30" s="2846" t="s">
        <v>2445</v>
      </c>
      <c r="D30" s="2847"/>
      <c r="E30" s="2848">
        <v>1</v>
      </c>
      <c r="F30" s="2845" t="s">
        <v>2446</v>
      </c>
      <c r="G30" s="2845"/>
    </row>
    <row r="31" spans="1:13" ht="19.5" customHeight="1">
      <c r="A31" s="3489"/>
      <c r="B31" s="3492"/>
      <c r="C31" s="2846" t="s">
        <v>2447</v>
      </c>
      <c r="D31" s="2847"/>
      <c r="E31" s="2848">
        <v>0.8</v>
      </c>
      <c r="F31" s="2845" t="s">
        <v>2448</v>
      </c>
      <c r="G31" s="2845"/>
    </row>
    <row r="32" spans="1:13" ht="19.5" customHeight="1">
      <c r="A32" s="3489"/>
      <c r="B32" s="3492"/>
      <c r="C32" s="2846" t="s">
        <v>2449</v>
      </c>
      <c r="D32" s="2847"/>
      <c r="E32" s="2848">
        <v>0.8</v>
      </c>
      <c r="F32" s="2845" t="s">
        <v>2450</v>
      </c>
      <c r="G32" s="2845"/>
    </row>
    <row r="33" spans="1:7" ht="19.5" customHeight="1">
      <c r="A33" s="3489"/>
      <c r="B33" s="3492"/>
      <c r="C33" s="2846" t="s">
        <v>2451</v>
      </c>
      <c r="D33" s="2847"/>
      <c r="E33" s="2848">
        <v>0.8</v>
      </c>
      <c r="F33" s="2845" t="s">
        <v>2452</v>
      </c>
      <c r="G33" s="2845"/>
    </row>
    <row r="34" spans="1:7" ht="19.5" customHeight="1">
      <c r="A34" s="3489"/>
      <c r="B34" s="3492"/>
      <c r="C34" s="2846" t="s">
        <v>2453</v>
      </c>
      <c r="D34" s="2847"/>
      <c r="E34" s="2848">
        <v>0.7</v>
      </c>
      <c r="F34" s="2845" t="s">
        <v>2454</v>
      </c>
      <c r="G34" s="2845"/>
    </row>
    <row r="35" spans="1:7" ht="19.5" customHeight="1">
      <c r="A35" s="3489"/>
      <c r="B35" s="3492"/>
      <c r="C35" s="2846" t="s">
        <v>2455</v>
      </c>
      <c r="D35" s="2847"/>
      <c r="E35" s="2848">
        <v>0.8</v>
      </c>
      <c r="F35" s="2845" t="s">
        <v>2456</v>
      </c>
      <c r="G35" s="2845"/>
    </row>
    <row r="36" spans="1:7" ht="19.5" customHeight="1">
      <c r="A36" s="3489"/>
      <c r="B36" s="3492"/>
      <c r="C36" s="2846" t="s">
        <v>2457</v>
      </c>
      <c r="D36" s="2847"/>
      <c r="E36" s="2848">
        <v>0.6</v>
      </c>
      <c r="F36" s="2845" t="s">
        <v>2458</v>
      </c>
      <c r="G36" s="2845"/>
    </row>
    <row r="37" spans="1:7" ht="19.5" customHeight="1">
      <c r="A37" s="3489"/>
      <c r="B37" s="3492"/>
      <c r="C37" s="2846" t="s">
        <v>2459</v>
      </c>
      <c r="D37" s="2847"/>
      <c r="E37" s="2848">
        <v>0.2</v>
      </c>
      <c r="F37" s="2845" t="s">
        <v>2460</v>
      </c>
      <c r="G37" s="2845"/>
    </row>
    <row r="38" spans="1:7" ht="19.5" customHeight="1">
      <c r="A38" s="3489"/>
      <c r="B38" s="3492"/>
      <c r="C38" s="2846" t="s">
        <v>2461</v>
      </c>
      <c r="D38" s="2847"/>
      <c r="E38" s="2848">
        <v>0.2</v>
      </c>
      <c r="F38" s="2845" t="s">
        <v>2462</v>
      </c>
      <c r="G38" s="2845"/>
    </row>
    <row r="39" spans="1:7" ht="19.5" customHeight="1">
      <c r="A39" s="3489"/>
      <c r="B39" s="3493" t="s">
        <v>2623</v>
      </c>
      <c r="C39" s="2846" t="s">
        <v>2463</v>
      </c>
      <c r="D39" s="2847"/>
      <c r="E39" s="2848">
        <v>0.6</v>
      </c>
      <c r="F39" s="2845" t="s">
        <v>2464</v>
      </c>
      <c r="G39" s="2845"/>
    </row>
    <row r="40" spans="1:7" ht="19.5" customHeight="1">
      <c r="A40" s="3489"/>
      <c r="B40" s="3492"/>
      <c r="C40" s="2846" t="s">
        <v>2465</v>
      </c>
      <c r="D40" s="2847"/>
      <c r="E40" s="2848">
        <v>0.6</v>
      </c>
      <c r="F40" s="2845" t="s">
        <v>2466</v>
      </c>
      <c r="G40" s="2845"/>
    </row>
    <row r="41" spans="1:7" ht="19.5" customHeight="1" thickBot="1">
      <c r="A41" s="3490"/>
      <c r="B41" s="3494"/>
      <c r="C41" s="2849" t="s">
        <v>2467</v>
      </c>
      <c r="D41" s="2850"/>
      <c r="E41" s="2851">
        <v>0.6</v>
      </c>
      <c r="F41" s="2845" t="s">
        <v>2468</v>
      </c>
      <c r="G41" s="2845"/>
    </row>
    <row r="42" spans="1:7" ht="19.5" customHeight="1" thickBot="1">
      <c r="A42" s="2852" t="s">
        <v>2600</v>
      </c>
      <c r="B42" s="2853" t="s">
        <v>2600</v>
      </c>
      <c r="C42" s="2854" t="s">
        <v>2624</v>
      </c>
      <c r="D42" s="2855"/>
      <c r="E42" s="2856">
        <v>1</v>
      </c>
      <c r="F42" s="2845" t="s">
        <v>2469</v>
      </c>
      <c r="G42" s="2845"/>
    </row>
    <row r="43" spans="1:7" ht="19.5" customHeight="1">
      <c r="A43" s="3495" t="s">
        <v>2601</v>
      </c>
      <c r="B43" s="3491" t="s">
        <v>2625</v>
      </c>
      <c r="C43" s="2842" t="s">
        <v>2470</v>
      </c>
      <c r="D43" s="2843"/>
      <c r="E43" s="2844">
        <v>1</v>
      </c>
      <c r="F43" s="2845" t="s">
        <v>2471</v>
      </c>
      <c r="G43" s="2845"/>
    </row>
    <row r="44" spans="1:7" ht="19.5" customHeight="1">
      <c r="A44" s="3496"/>
      <c r="B44" s="3492"/>
      <c r="C44" s="2846" t="s">
        <v>2472</v>
      </c>
      <c r="D44" s="2847"/>
      <c r="E44" s="2848">
        <v>1</v>
      </c>
      <c r="F44" s="2845" t="s">
        <v>2473</v>
      </c>
      <c r="G44" s="2845"/>
    </row>
    <row r="45" spans="1:7" ht="19.5" customHeight="1">
      <c r="A45" s="3496"/>
      <c r="B45" s="3498"/>
      <c r="C45" s="2846" t="s">
        <v>2474</v>
      </c>
      <c r="D45" s="2847"/>
      <c r="E45" s="2848">
        <v>1.5</v>
      </c>
      <c r="F45" s="2845" t="s">
        <v>2475</v>
      </c>
      <c r="G45" s="2845"/>
    </row>
    <row r="46" spans="1:7" ht="19.5" customHeight="1">
      <c r="A46" s="3496"/>
      <c r="B46" s="2857" t="s">
        <v>2626</v>
      </c>
      <c r="C46" s="2846" t="s">
        <v>2627</v>
      </c>
      <c r="D46" s="2847"/>
      <c r="E46" s="2848">
        <v>2</v>
      </c>
      <c r="F46" s="2845" t="s">
        <v>2476</v>
      </c>
      <c r="G46" s="2845"/>
    </row>
    <row r="47" spans="1:7" ht="19.5" customHeight="1">
      <c r="A47" s="3496"/>
      <c r="B47" s="3493" t="s">
        <v>2628</v>
      </c>
      <c r="C47" s="2846" t="s">
        <v>2477</v>
      </c>
      <c r="D47" s="2847"/>
      <c r="E47" s="2848">
        <v>1</v>
      </c>
      <c r="F47" s="2845" t="s">
        <v>2478</v>
      </c>
      <c r="G47" s="2845"/>
    </row>
    <row r="48" spans="1:7" ht="19.5" customHeight="1">
      <c r="A48" s="3496"/>
      <c r="B48" s="3492"/>
      <c r="C48" s="2846" t="s">
        <v>2479</v>
      </c>
      <c r="D48" s="2847"/>
      <c r="E48" s="2848">
        <v>1</v>
      </c>
      <c r="F48" s="2845" t="s">
        <v>2480</v>
      </c>
      <c r="G48" s="2845"/>
    </row>
    <row r="49" spans="1:7" ht="19.5" customHeight="1">
      <c r="A49" s="3496"/>
      <c r="B49" s="3492"/>
      <c r="C49" s="2846" t="s">
        <v>2481</v>
      </c>
      <c r="D49" s="2847"/>
      <c r="E49" s="2848">
        <v>1</v>
      </c>
      <c r="F49" s="2845" t="s">
        <v>2482</v>
      </c>
      <c r="G49" s="2845"/>
    </row>
    <row r="50" spans="1:7" ht="19.5" customHeight="1">
      <c r="A50" s="3496"/>
      <c r="B50" s="3492"/>
      <c r="C50" s="2846" t="s">
        <v>2483</v>
      </c>
      <c r="D50" s="2847"/>
      <c r="E50" s="2848">
        <v>1</v>
      </c>
      <c r="F50" s="2845" t="s">
        <v>2484</v>
      </c>
      <c r="G50" s="2845"/>
    </row>
    <row r="51" spans="1:7" ht="19.5" customHeight="1">
      <c r="A51" s="3496"/>
      <c r="B51" s="3492"/>
      <c r="C51" s="2846" t="s">
        <v>2485</v>
      </c>
      <c r="D51" s="2847"/>
      <c r="E51" s="2848">
        <v>1</v>
      </c>
      <c r="F51" s="2845" t="s">
        <v>2486</v>
      </c>
      <c r="G51" s="2845"/>
    </row>
    <row r="52" spans="1:7" ht="19.5" customHeight="1">
      <c r="A52" s="3496"/>
      <c r="B52" s="3492"/>
      <c r="C52" s="2846" t="s">
        <v>2487</v>
      </c>
      <c r="D52" s="2847"/>
      <c r="E52" s="2848">
        <v>1</v>
      </c>
      <c r="F52" s="2845" t="s">
        <v>2488</v>
      </c>
      <c r="G52" s="2845"/>
    </row>
    <row r="53" spans="1:7" ht="19.5" customHeight="1" thickBot="1">
      <c r="A53" s="3497"/>
      <c r="B53" s="3494"/>
      <c r="C53" s="2849" t="s">
        <v>2489</v>
      </c>
      <c r="D53" s="2850"/>
      <c r="E53" s="2851">
        <v>1</v>
      </c>
      <c r="F53" s="2845" t="s">
        <v>2490</v>
      </c>
      <c r="G53" s="2845"/>
    </row>
    <row r="54" spans="1:7" ht="19.5" customHeight="1">
      <c r="A54" s="2858"/>
      <c r="B54" s="2858"/>
      <c r="C54" s="2858"/>
      <c r="D54" s="2858"/>
      <c r="E54" s="2858"/>
      <c r="F54" s="2858"/>
      <c r="G54" s="2858"/>
    </row>
    <row r="56" spans="1:7" ht="19.5" customHeight="1">
      <c r="A56" s="2859"/>
      <c r="B56" s="2831" t="s">
        <v>2629</v>
      </c>
      <c r="C56" s="2831" t="s">
        <v>2629</v>
      </c>
      <c r="D56" s="2831" t="s">
        <v>2629</v>
      </c>
      <c r="E56" s="2834" t="s">
        <v>2629</v>
      </c>
      <c r="F56" s="2834" t="s">
        <v>2630</v>
      </c>
      <c r="G56" s="2834" t="s">
        <v>2631</v>
      </c>
    </row>
    <row r="57" spans="1:7" ht="19.5" customHeight="1">
      <c r="A57" s="2860"/>
      <c r="B57" s="2834" t="s">
        <v>2598</v>
      </c>
      <c r="C57" s="2834" t="s">
        <v>2598</v>
      </c>
      <c r="D57" s="2834" t="s">
        <v>2598</v>
      </c>
      <c r="E57" s="2831" t="s">
        <v>2599</v>
      </c>
      <c r="F57" s="2831" t="s">
        <v>2601</v>
      </c>
      <c r="G57" s="2831" t="s">
        <v>2632</v>
      </c>
    </row>
    <row r="58" spans="1:7" ht="19.5" customHeight="1">
      <c r="A58" s="2861"/>
      <c r="B58" s="2831">
        <v>1</v>
      </c>
      <c r="C58" s="2831">
        <v>2</v>
      </c>
      <c r="D58" s="2831">
        <v>3</v>
      </c>
      <c r="E58" s="2862" t="s">
        <v>2633</v>
      </c>
      <c r="F58" s="2862" t="s">
        <v>2633</v>
      </c>
      <c r="G58" s="2862" t="s">
        <v>2633</v>
      </c>
    </row>
    <row r="59" spans="1:7" ht="19.5" customHeight="1">
      <c r="A59" s="2863" t="s">
        <v>2586</v>
      </c>
      <c r="B59" s="2831">
        <v>0.7</v>
      </c>
      <c r="C59" s="2831">
        <v>0.4</v>
      </c>
      <c r="D59" s="2831">
        <v>0.3</v>
      </c>
      <c r="E59" s="2862">
        <v>0.3</v>
      </c>
      <c r="F59" s="2831">
        <v>0.3</v>
      </c>
      <c r="G59" s="2831">
        <v>0.2</v>
      </c>
    </row>
    <row r="60" spans="1:7" ht="19.5" customHeight="1">
      <c r="A60" s="2863" t="s">
        <v>2587</v>
      </c>
      <c r="B60" s="2831">
        <v>0.7</v>
      </c>
      <c r="C60" s="2831">
        <v>0.4</v>
      </c>
      <c r="D60" s="2831">
        <v>0.3</v>
      </c>
      <c r="E60" s="2831">
        <v>0.3</v>
      </c>
      <c r="F60" s="2831">
        <v>0.3</v>
      </c>
      <c r="G60" s="2831">
        <v>0.2</v>
      </c>
    </row>
    <row r="61" spans="1:7" ht="19.5" customHeight="1">
      <c r="A61" s="2863" t="s">
        <v>2588</v>
      </c>
      <c r="B61" s="2831">
        <v>0.6</v>
      </c>
      <c r="C61" s="2831">
        <v>0.3</v>
      </c>
      <c r="D61" s="2831">
        <v>0.25</v>
      </c>
      <c r="E61" s="2831">
        <v>0.25</v>
      </c>
      <c r="F61" s="2831">
        <v>0.25</v>
      </c>
      <c r="G61" s="2831">
        <v>0.15</v>
      </c>
    </row>
    <row r="62" spans="1:7" ht="19.5" customHeight="1">
      <c r="A62" s="2863" t="s">
        <v>2589</v>
      </c>
      <c r="B62" s="2831">
        <v>0.6</v>
      </c>
      <c r="C62" s="2831">
        <v>0.3</v>
      </c>
      <c r="D62" s="2831">
        <v>0.25</v>
      </c>
      <c r="E62" s="2831">
        <v>0.25</v>
      </c>
      <c r="F62" s="2831">
        <v>0.25</v>
      </c>
      <c r="G62" s="2831">
        <v>0.15</v>
      </c>
    </row>
    <row r="63" spans="1:7" ht="19.5" customHeight="1">
      <c r="A63" s="2863" t="s">
        <v>2590</v>
      </c>
      <c r="B63" s="2831">
        <v>0.6</v>
      </c>
      <c r="C63" s="2831">
        <v>0.3</v>
      </c>
      <c r="D63" s="2831">
        <v>0.25</v>
      </c>
      <c r="E63" s="2831">
        <v>0.25</v>
      </c>
      <c r="F63" s="2831">
        <v>0.25</v>
      </c>
      <c r="G63" s="2831">
        <v>0.15</v>
      </c>
    </row>
    <row r="64" spans="1:7" ht="19.5" customHeight="1">
      <c r="A64" s="2863" t="s">
        <v>2591</v>
      </c>
      <c r="B64" s="2831">
        <v>0.6</v>
      </c>
      <c r="C64" s="2831">
        <v>0.3</v>
      </c>
      <c r="D64" s="2831">
        <v>0.25</v>
      </c>
      <c r="E64" s="2831">
        <v>0.25</v>
      </c>
      <c r="F64" s="2831">
        <v>0.25</v>
      </c>
      <c r="G64" s="2831">
        <v>0.15</v>
      </c>
    </row>
    <row r="65" spans="1:7" ht="19.5" customHeight="1">
      <c r="A65" s="2863" t="s">
        <v>2592</v>
      </c>
      <c r="B65" s="2831">
        <v>0.6</v>
      </c>
      <c r="C65" s="2831">
        <v>0.3</v>
      </c>
      <c r="D65" s="2831">
        <v>0.25</v>
      </c>
      <c r="E65" s="2831">
        <v>0.25</v>
      </c>
      <c r="F65" s="2831">
        <v>0.25</v>
      </c>
      <c r="G65" s="2831">
        <v>0.15</v>
      </c>
    </row>
    <row r="66" spans="1:7" ht="19.5" customHeight="1">
      <c r="A66" s="2863" t="s">
        <v>2593</v>
      </c>
      <c r="B66" s="2831">
        <v>0.5</v>
      </c>
      <c r="C66" s="2831">
        <v>0.2</v>
      </c>
      <c r="D66" s="2831">
        <v>0.2</v>
      </c>
      <c r="E66" s="2831">
        <v>0.2</v>
      </c>
      <c r="F66" s="2831">
        <v>0.2</v>
      </c>
      <c r="G66" s="2831">
        <v>0.1</v>
      </c>
    </row>
    <row r="67" spans="1:7" ht="19.5" customHeight="1">
      <c r="A67" s="2863" t="s">
        <v>2594</v>
      </c>
      <c r="B67" s="2831">
        <v>0.5</v>
      </c>
      <c r="C67" s="2831">
        <v>0.2</v>
      </c>
      <c r="D67" s="2831">
        <v>0.2</v>
      </c>
      <c r="E67" s="2831">
        <v>0.2</v>
      </c>
      <c r="F67" s="2831">
        <v>0.2</v>
      </c>
      <c r="G67" s="2831">
        <v>0.1</v>
      </c>
    </row>
    <row r="68" spans="1:7" ht="19.5" customHeight="1">
      <c r="A68" s="2863" t="s">
        <v>2595</v>
      </c>
      <c r="B68" s="2831">
        <v>0.5</v>
      </c>
      <c r="C68" s="2831">
        <v>0.2</v>
      </c>
      <c r="D68" s="2831">
        <v>0.2</v>
      </c>
      <c r="E68" s="2831">
        <v>0.2</v>
      </c>
      <c r="F68" s="2831">
        <v>0.2</v>
      </c>
      <c r="G68" s="2831">
        <v>0.1</v>
      </c>
    </row>
    <row r="69" spans="1:7" ht="19.5" customHeight="1">
      <c r="A69" s="2863" t="s">
        <v>2596</v>
      </c>
      <c r="B69" s="2831">
        <v>0.5</v>
      </c>
      <c r="C69" s="2831">
        <v>0.2</v>
      </c>
      <c r="D69" s="2831">
        <v>0.2</v>
      </c>
      <c r="E69" s="2831">
        <v>0.2</v>
      </c>
      <c r="F69" s="2831">
        <v>0.2</v>
      </c>
      <c r="G69" s="2831">
        <v>0.1</v>
      </c>
    </row>
    <row r="70" spans="1:7" ht="19.5" customHeight="1">
      <c r="A70" s="2863" t="s">
        <v>2597</v>
      </c>
      <c r="B70" s="2831">
        <v>0.5</v>
      </c>
      <c r="C70" s="2831">
        <v>0.2</v>
      </c>
      <c r="D70" s="2831">
        <v>0.2</v>
      </c>
      <c r="E70" s="2831">
        <v>0.2</v>
      </c>
      <c r="F70" s="2831">
        <v>0.2</v>
      </c>
      <c r="G70" s="2831">
        <v>0.1</v>
      </c>
    </row>
    <row r="72" spans="1:7" ht="19.5" customHeight="1">
      <c r="A72" s="2845"/>
      <c r="B72" s="2864"/>
      <c r="C72" s="2864"/>
      <c r="D72" s="2864" t="s">
        <v>2634</v>
      </c>
      <c r="E72" s="2864"/>
      <c r="F72" s="2864"/>
    </row>
    <row r="73" spans="1:7" ht="19.5" customHeight="1">
      <c r="A73" s="2857" t="s">
        <v>2635</v>
      </c>
      <c r="B73" s="2857" t="s">
        <v>2636</v>
      </c>
      <c r="C73" s="2857" t="s">
        <v>2637</v>
      </c>
      <c r="D73" s="2857" t="s">
        <v>2638</v>
      </c>
      <c r="E73" s="2857" t="s">
        <v>2639</v>
      </c>
      <c r="F73" s="2857" t="s">
        <v>2640</v>
      </c>
    </row>
    <row r="74" spans="1:7" ht="13.5">
      <c r="A74" s="2857"/>
      <c r="B74" s="2857"/>
      <c r="C74" s="2857" t="s">
        <v>2641</v>
      </c>
      <c r="D74" s="2857"/>
      <c r="E74" s="2857" t="s">
        <v>2612</v>
      </c>
      <c r="F74" s="2857" t="s">
        <v>2612</v>
      </c>
    </row>
    <row r="75" spans="1:7" ht="13.5">
      <c r="A75" s="2857">
        <v>1</v>
      </c>
      <c r="B75" s="3493" t="s">
        <v>2642</v>
      </c>
      <c r="C75" s="2831" t="s">
        <v>2643</v>
      </c>
      <c r="D75" s="2831" t="s">
        <v>2644</v>
      </c>
      <c r="E75" s="2857">
        <v>0.2</v>
      </c>
      <c r="F75" s="2857">
        <v>25</v>
      </c>
    </row>
    <row r="76" spans="1:7" ht="24">
      <c r="A76" s="2857">
        <v>2</v>
      </c>
      <c r="B76" s="3492"/>
      <c r="C76" s="2831" t="s">
        <v>2645</v>
      </c>
      <c r="D76" s="2831" t="s">
        <v>2646</v>
      </c>
      <c r="E76" s="2857">
        <v>0.2</v>
      </c>
      <c r="F76" s="2857">
        <v>25</v>
      </c>
    </row>
    <row r="77" spans="1:7" ht="24">
      <c r="A77" s="2857">
        <v>3</v>
      </c>
      <c r="B77" s="3492"/>
      <c r="C77" s="2831" t="s">
        <v>2647</v>
      </c>
      <c r="D77" s="2831" t="s">
        <v>2648</v>
      </c>
      <c r="E77" s="2857">
        <v>0.2</v>
      </c>
      <c r="F77" s="2857">
        <v>25</v>
      </c>
    </row>
    <row r="78" spans="1:7" ht="13.5">
      <c r="A78" s="2857">
        <v>4</v>
      </c>
      <c r="B78" s="3492"/>
      <c r="C78" s="2831" t="s">
        <v>2649</v>
      </c>
      <c r="D78" s="2831" t="s">
        <v>2650</v>
      </c>
      <c r="E78" s="2857">
        <v>0.15</v>
      </c>
      <c r="F78" s="2857">
        <v>20</v>
      </c>
    </row>
    <row r="79" spans="1:7" ht="24">
      <c r="A79" s="2857">
        <v>5</v>
      </c>
      <c r="B79" s="3492"/>
      <c r="C79" s="2831" t="s">
        <v>2651</v>
      </c>
      <c r="D79" s="2831" t="s">
        <v>2652</v>
      </c>
      <c r="E79" s="2857">
        <v>0.15</v>
      </c>
      <c r="F79" s="2857">
        <v>20</v>
      </c>
    </row>
    <row r="80" spans="1:7" ht="24">
      <c r="A80" s="2857">
        <v>6</v>
      </c>
      <c r="B80" s="3492"/>
      <c r="C80" s="2831" t="s">
        <v>2653</v>
      </c>
      <c r="D80" s="2831" t="s">
        <v>2654</v>
      </c>
      <c r="E80" s="2857">
        <v>0.15</v>
      </c>
      <c r="F80" s="2857">
        <v>20</v>
      </c>
    </row>
    <row r="81" spans="1:6" ht="24">
      <c r="A81" s="2857">
        <v>7</v>
      </c>
      <c r="B81" s="3492"/>
      <c r="C81" s="2831" t="s">
        <v>2655</v>
      </c>
      <c r="D81" s="2831" t="s">
        <v>2656</v>
      </c>
      <c r="E81" s="2857">
        <v>0.15</v>
      </c>
      <c r="F81" s="2857">
        <v>20</v>
      </c>
    </row>
    <row r="82" spans="1:6" ht="24">
      <c r="A82" s="2857">
        <v>8</v>
      </c>
      <c r="B82" s="3492"/>
      <c r="C82" s="2831" t="s">
        <v>2657</v>
      </c>
      <c r="D82" s="2831" t="s">
        <v>2658</v>
      </c>
      <c r="E82" s="2857">
        <v>0.1</v>
      </c>
      <c r="F82" s="2857">
        <v>15</v>
      </c>
    </row>
    <row r="83" spans="1:6" ht="24">
      <c r="A83" s="2857">
        <v>9</v>
      </c>
      <c r="B83" s="3492"/>
      <c r="C83" s="2831" t="s">
        <v>2659</v>
      </c>
      <c r="D83" s="2831" t="s">
        <v>2660</v>
      </c>
      <c r="E83" s="2857">
        <v>0.1</v>
      </c>
      <c r="F83" s="2857">
        <v>15</v>
      </c>
    </row>
    <row r="84" spans="1:6" ht="24">
      <c r="A84" s="2857">
        <v>10</v>
      </c>
      <c r="B84" s="3492"/>
      <c r="C84" s="2831" t="s">
        <v>2661</v>
      </c>
      <c r="D84" s="2831" t="s">
        <v>2662</v>
      </c>
      <c r="E84" s="2857">
        <v>0.1</v>
      </c>
      <c r="F84" s="2857">
        <v>15</v>
      </c>
    </row>
    <row r="85" spans="1:6" ht="24">
      <c r="A85" s="2857">
        <v>11</v>
      </c>
      <c r="B85" s="3492"/>
      <c r="C85" s="2831" t="s">
        <v>2663</v>
      </c>
      <c r="D85" s="2831" t="s">
        <v>2664</v>
      </c>
      <c r="E85" s="2857">
        <v>0.1</v>
      </c>
      <c r="F85" s="2857">
        <v>15</v>
      </c>
    </row>
    <row r="86" spans="1:6" ht="24">
      <c r="A86" s="2857">
        <v>12</v>
      </c>
      <c r="B86" s="3492"/>
      <c r="C86" s="2831" t="s">
        <v>2665</v>
      </c>
      <c r="D86" s="2831" t="s">
        <v>2666</v>
      </c>
      <c r="E86" s="2857">
        <v>0.1</v>
      </c>
      <c r="F86" s="2857">
        <v>15</v>
      </c>
    </row>
    <row r="87" spans="1:6" ht="13.5">
      <c r="A87" s="2857">
        <v>13</v>
      </c>
      <c r="B87" s="3492"/>
      <c r="C87" s="2831" t="s">
        <v>2667</v>
      </c>
      <c r="D87" s="2831" t="s">
        <v>2668</v>
      </c>
      <c r="E87" s="2857">
        <v>0.1</v>
      </c>
      <c r="F87" s="2857">
        <v>15</v>
      </c>
    </row>
    <row r="88" spans="1:6" ht="13.5">
      <c r="A88" s="2857">
        <v>14</v>
      </c>
      <c r="B88" s="3492"/>
      <c r="C88" s="2831" t="s">
        <v>2669</v>
      </c>
      <c r="D88" s="2831" t="s">
        <v>2670</v>
      </c>
      <c r="E88" s="2857">
        <v>0.1</v>
      </c>
      <c r="F88" s="2857">
        <v>15</v>
      </c>
    </row>
    <row r="89" spans="1:6" ht="13.5">
      <c r="A89" s="2857">
        <v>15</v>
      </c>
      <c r="B89" s="3492"/>
      <c r="C89" s="2831" t="s">
        <v>2671</v>
      </c>
      <c r="D89" s="2831" t="s">
        <v>2672</v>
      </c>
      <c r="E89" s="2857">
        <v>0.1</v>
      </c>
      <c r="F89" s="2857">
        <v>15</v>
      </c>
    </row>
    <row r="90" spans="1:6" ht="24">
      <c r="A90" s="2857">
        <v>16</v>
      </c>
      <c r="B90" s="3492"/>
      <c r="C90" s="2831" t="s">
        <v>2673</v>
      </c>
      <c r="D90" s="2831" t="s">
        <v>2674</v>
      </c>
      <c r="E90" s="2857">
        <v>0.1</v>
      </c>
      <c r="F90" s="2857">
        <v>15</v>
      </c>
    </row>
    <row r="91" spans="1:6" ht="24">
      <c r="A91" s="2857">
        <v>17</v>
      </c>
      <c r="B91" s="3498"/>
      <c r="C91" s="2831" t="s">
        <v>2675</v>
      </c>
      <c r="D91" s="2831" t="s">
        <v>2676</v>
      </c>
      <c r="E91" s="2857">
        <v>0.1</v>
      </c>
      <c r="F91" s="2857">
        <v>15</v>
      </c>
    </row>
    <row r="92" spans="1:6" ht="13.5">
      <c r="A92" s="2857">
        <v>18</v>
      </c>
      <c r="B92" s="3493" t="s">
        <v>2677</v>
      </c>
      <c r="C92" s="2831" t="s">
        <v>2678</v>
      </c>
      <c r="D92" s="2831" t="s">
        <v>2679</v>
      </c>
      <c r="E92" s="2857">
        <v>0.2</v>
      </c>
      <c r="F92" s="2857">
        <v>25</v>
      </c>
    </row>
    <row r="93" spans="1:6" ht="24">
      <c r="A93" s="2857">
        <v>19</v>
      </c>
      <c r="B93" s="3492"/>
      <c r="C93" s="2831" t="s">
        <v>2680</v>
      </c>
      <c r="D93" s="2831" t="s">
        <v>2681</v>
      </c>
      <c r="E93" s="2857">
        <v>0.2</v>
      </c>
      <c r="F93" s="2857">
        <v>25</v>
      </c>
    </row>
    <row r="94" spans="1:6" ht="13.5">
      <c r="A94" s="2857">
        <v>20</v>
      </c>
      <c r="B94" s="3492"/>
      <c r="C94" s="2831" t="s">
        <v>2682</v>
      </c>
      <c r="D94" s="2831" t="s">
        <v>2683</v>
      </c>
      <c r="E94" s="2857">
        <v>0.15</v>
      </c>
      <c r="F94" s="2857">
        <v>20</v>
      </c>
    </row>
    <row r="95" spans="1:6" ht="13.5">
      <c r="A95" s="2857">
        <v>21</v>
      </c>
      <c r="B95" s="3492"/>
      <c r="C95" s="2831" t="s">
        <v>2684</v>
      </c>
      <c r="D95" s="2831" t="s">
        <v>2685</v>
      </c>
      <c r="E95" s="2857">
        <v>0.15</v>
      </c>
      <c r="F95" s="2857">
        <v>20</v>
      </c>
    </row>
    <row r="96" spans="1:6" ht="13.5">
      <c r="A96" s="2857">
        <v>22</v>
      </c>
      <c r="B96" s="3492"/>
      <c r="C96" s="2831" t="s">
        <v>2686</v>
      </c>
      <c r="D96" s="2831" t="s">
        <v>2687</v>
      </c>
      <c r="E96" s="2857">
        <v>0.15</v>
      </c>
      <c r="F96" s="2857">
        <v>20</v>
      </c>
    </row>
    <row r="97" spans="1:6" ht="36">
      <c r="A97" s="2857">
        <v>23</v>
      </c>
      <c r="B97" s="3492"/>
      <c r="C97" s="2831" t="s">
        <v>2688</v>
      </c>
      <c r="D97" s="2831" t="s">
        <v>2689</v>
      </c>
      <c r="E97" s="2857">
        <v>0.15</v>
      </c>
      <c r="F97" s="2857">
        <v>20</v>
      </c>
    </row>
    <row r="98" spans="1:6" ht="13.5">
      <c r="A98" s="2857">
        <v>24</v>
      </c>
      <c r="B98" s="3492"/>
      <c r="C98" s="2831" t="s">
        <v>2690</v>
      </c>
      <c r="D98" s="2831" t="s">
        <v>2691</v>
      </c>
      <c r="E98" s="2857">
        <v>0.1</v>
      </c>
      <c r="F98" s="2857">
        <v>15</v>
      </c>
    </row>
    <row r="99" spans="1:6" ht="13.5">
      <c r="A99" s="2857">
        <v>25</v>
      </c>
      <c r="B99" s="3492"/>
      <c r="C99" s="2831" t="s">
        <v>2692</v>
      </c>
      <c r="D99" s="2831" t="s">
        <v>2693</v>
      </c>
      <c r="E99" s="2857">
        <v>0.1</v>
      </c>
      <c r="F99" s="2857">
        <v>15</v>
      </c>
    </row>
    <row r="100" spans="1:6" ht="24">
      <c r="A100" s="2857">
        <v>26</v>
      </c>
      <c r="B100" s="3492"/>
      <c r="C100" s="2831" t="s">
        <v>2694</v>
      </c>
      <c r="D100" s="2831" t="s">
        <v>2695</v>
      </c>
      <c r="E100" s="2857">
        <v>0.1</v>
      </c>
      <c r="F100" s="2857">
        <v>15</v>
      </c>
    </row>
    <row r="101" spans="1:6" ht="24">
      <c r="A101" s="2857">
        <v>27</v>
      </c>
      <c r="B101" s="3492"/>
      <c r="C101" s="2831" t="s">
        <v>2696</v>
      </c>
      <c r="D101" s="2831" t="s">
        <v>2697</v>
      </c>
      <c r="E101" s="2857">
        <v>0.1</v>
      </c>
      <c r="F101" s="2857">
        <v>15</v>
      </c>
    </row>
    <row r="102" spans="1:6" ht="13.5">
      <c r="A102" s="2857">
        <v>28</v>
      </c>
      <c r="B102" s="3492"/>
      <c r="C102" s="2831" t="s">
        <v>2698</v>
      </c>
      <c r="D102" s="2831" t="s">
        <v>2699</v>
      </c>
      <c r="E102" s="2857">
        <v>0.1</v>
      </c>
      <c r="F102" s="2857">
        <v>15</v>
      </c>
    </row>
    <row r="103" spans="1:6" ht="13.5">
      <c r="A103" s="2857">
        <v>29</v>
      </c>
      <c r="B103" s="3492"/>
      <c r="C103" s="2831" t="s">
        <v>2700</v>
      </c>
      <c r="D103" s="2831" t="s">
        <v>2701</v>
      </c>
      <c r="E103" s="2857">
        <v>0.1</v>
      </c>
      <c r="F103" s="2857">
        <v>15</v>
      </c>
    </row>
    <row r="104" spans="1:6" ht="13.5">
      <c r="A104" s="2857">
        <v>30</v>
      </c>
      <c r="B104" s="3492"/>
      <c r="C104" s="2831" t="s">
        <v>2702</v>
      </c>
      <c r="D104" s="2831" t="s">
        <v>2703</v>
      </c>
      <c r="E104" s="2857">
        <v>0.1</v>
      </c>
      <c r="F104" s="2857">
        <v>15</v>
      </c>
    </row>
    <row r="105" spans="1:6" ht="24">
      <c r="A105" s="2857">
        <v>31</v>
      </c>
      <c r="B105" s="3492"/>
      <c r="C105" s="2831" t="s">
        <v>2704</v>
      </c>
      <c r="D105" s="2831" t="s">
        <v>2705</v>
      </c>
      <c r="E105" s="2857">
        <v>0.1</v>
      </c>
      <c r="F105" s="2857">
        <v>15</v>
      </c>
    </row>
    <row r="106" spans="1:6" ht="24">
      <c r="A106" s="2857">
        <v>32</v>
      </c>
      <c r="B106" s="3492"/>
      <c r="C106" s="2831" t="s">
        <v>2706</v>
      </c>
      <c r="D106" s="2831" t="s">
        <v>2707</v>
      </c>
      <c r="E106" s="2857">
        <v>0.1</v>
      </c>
      <c r="F106" s="2857">
        <v>15</v>
      </c>
    </row>
    <row r="107" spans="1:6" ht="24">
      <c r="A107" s="2857">
        <v>33</v>
      </c>
      <c r="B107" s="3492"/>
      <c r="C107" s="2831" t="s">
        <v>2708</v>
      </c>
      <c r="D107" s="2831" t="s">
        <v>2709</v>
      </c>
      <c r="E107" s="2857">
        <v>0.1</v>
      </c>
      <c r="F107" s="2857">
        <v>15</v>
      </c>
    </row>
    <row r="108" spans="1:6" ht="24">
      <c r="A108" s="2857">
        <v>34</v>
      </c>
      <c r="B108" s="3498"/>
      <c r="C108" s="2831" t="s">
        <v>2710</v>
      </c>
      <c r="D108" s="2831" t="s">
        <v>2711</v>
      </c>
      <c r="E108" s="2857">
        <v>0.1</v>
      </c>
      <c r="F108" s="2857">
        <v>15</v>
      </c>
    </row>
    <row r="109" spans="1:6" ht="24">
      <c r="A109" s="2857">
        <v>35</v>
      </c>
      <c r="B109" s="3493" t="s">
        <v>2712</v>
      </c>
      <c r="C109" s="2857" t="s">
        <v>2713</v>
      </c>
      <c r="D109" s="2831" t="s">
        <v>2714</v>
      </c>
      <c r="E109" s="2857">
        <v>0.15</v>
      </c>
      <c r="F109" s="2857">
        <v>20</v>
      </c>
    </row>
    <row r="110" spans="1:6" ht="13.5">
      <c r="A110" s="2857">
        <v>36</v>
      </c>
      <c r="B110" s="3492"/>
      <c r="C110" s="2857" t="s">
        <v>2715</v>
      </c>
      <c r="D110" s="2831" t="s">
        <v>2716</v>
      </c>
      <c r="E110" s="2857">
        <v>0.15</v>
      </c>
      <c r="F110" s="2857">
        <v>20</v>
      </c>
    </row>
    <row r="111" spans="1:6" ht="13.5">
      <c r="A111" s="2857">
        <v>37</v>
      </c>
      <c r="B111" s="3492"/>
      <c r="C111" s="2857" t="s">
        <v>2717</v>
      </c>
      <c r="D111" s="2831" t="s">
        <v>2718</v>
      </c>
      <c r="E111" s="2857">
        <v>0.15</v>
      </c>
      <c r="F111" s="2857">
        <v>20</v>
      </c>
    </row>
    <row r="112" spans="1:6" ht="13.5">
      <c r="A112" s="2857">
        <v>38</v>
      </c>
      <c r="B112" s="3492"/>
      <c r="C112" s="2857" t="s">
        <v>2719</v>
      </c>
      <c r="D112" s="2831" t="s">
        <v>2720</v>
      </c>
      <c r="E112" s="2857">
        <v>0.1</v>
      </c>
      <c r="F112" s="2857">
        <v>15</v>
      </c>
    </row>
    <row r="113" spans="1:6" ht="24">
      <c r="A113" s="2857">
        <v>39</v>
      </c>
      <c r="B113" s="3492"/>
      <c r="C113" s="2857" t="s">
        <v>2721</v>
      </c>
      <c r="D113" s="2831" t="s">
        <v>2722</v>
      </c>
      <c r="E113" s="2857">
        <v>0.1</v>
      </c>
      <c r="F113" s="2857">
        <v>15</v>
      </c>
    </row>
    <row r="114" spans="1:6" ht="24">
      <c r="A114" s="2857">
        <v>40</v>
      </c>
      <c r="B114" s="3498"/>
      <c r="C114" s="2857" t="s">
        <v>2723</v>
      </c>
      <c r="D114" s="2831" t="s">
        <v>2724</v>
      </c>
      <c r="E114" s="2857">
        <v>0.1</v>
      </c>
      <c r="F114" s="2857">
        <v>15</v>
      </c>
    </row>
    <row r="115" spans="1:6" ht="13.5">
      <c r="A115" s="2857">
        <v>41</v>
      </c>
      <c r="B115" s="3486" t="s">
        <v>2725</v>
      </c>
      <c r="C115" s="2857" t="s">
        <v>2726</v>
      </c>
      <c r="D115" s="2831" t="s">
        <v>2727</v>
      </c>
      <c r="E115" s="2857">
        <v>0.1</v>
      </c>
      <c r="F115" s="2857">
        <v>15</v>
      </c>
    </row>
    <row r="116" spans="1:6" ht="13.5">
      <c r="A116" s="2857">
        <v>42</v>
      </c>
      <c r="B116" s="3486"/>
      <c r="C116" s="2857" t="s">
        <v>2728</v>
      </c>
      <c r="D116" s="2831" t="s">
        <v>2729</v>
      </c>
      <c r="E116" s="2857">
        <v>0.1</v>
      </c>
      <c r="F116" s="2857">
        <v>15</v>
      </c>
    </row>
    <row r="117" spans="1:6" ht="24">
      <c r="A117" s="2857">
        <v>43</v>
      </c>
      <c r="B117" s="3486"/>
      <c r="C117" s="2857" t="s">
        <v>2730</v>
      </c>
      <c r="D117" s="2831" t="s">
        <v>2731</v>
      </c>
      <c r="E117" s="2857">
        <v>0.1</v>
      </c>
      <c r="F117" s="2857">
        <v>15</v>
      </c>
    </row>
    <row r="118" spans="1:6" ht="13.5">
      <c r="A118" s="2857">
        <v>44</v>
      </c>
      <c r="B118" s="3493" t="s">
        <v>2732</v>
      </c>
      <c r="C118" s="2857" t="s">
        <v>2733</v>
      </c>
      <c r="D118" s="2831" t="s">
        <v>2734</v>
      </c>
      <c r="E118" s="2857">
        <v>0.1</v>
      </c>
      <c r="F118" s="2857">
        <v>15</v>
      </c>
    </row>
    <row r="119" spans="1:6" ht="24">
      <c r="A119" s="2857">
        <v>45</v>
      </c>
      <c r="B119" s="3498"/>
      <c r="C119" s="2831" t="s">
        <v>2735</v>
      </c>
      <c r="D119" s="2831" t="s">
        <v>2736</v>
      </c>
      <c r="E119" s="2857">
        <v>0.1</v>
      </c>
      <c r="F119" s="2857">
        <v>15</v>
      </c>
    </row>
    <row r="120" spans="1:6" ht="24">
      <c r="A120" s="2857">
        <v>46</v>
      </c>
      <c r="B120" s="3493" t="s">
        <v>2737</v>
      </c>
      <c r="C120" s="2857" t="s">
        <v>2738</v>
      </c>
      <c r="D120" s="2831" t="s">
        <v>2739</v>
      </c>
      <c r="E120" s="2857">
        <v>0.1</v>
      </c>
      <c r="F120" s="2857">
        <v>15</v>
      </c>
    </row>
    <row r="121" spans="1:6" ht="24">
      <c r="A121" s="2857">
        <v>47</v>
      </c>
      <c r="B121" s="3498"/>
      <c r="C121" s="2857" t="s">
        <v>2740</v>
      </c>
      <c r="D121" s="2831" t="s">
        <v>2741</v>
      </c>
      <c r="E121" s="2857">
        <v>0.1</v>
      </c>
      <c r="F121" s="2857">
        <v>15</v>
      </c>
    </row>
    <row r="122" spans="1:6" ht="13.5">
      <c r="A122" s="2857">
        <v>48</v>
      </c>
      <c r="B122" s="3493" t="s">
        <v>2742</v>
      </c>
      <c r="C122" s="2857" t="s">
        <v>2743</v>
      </c>
      <c r="D122" s="2831" t="s">
        <v>2744</v>
      </c>
      <c r="E122" s="2857">
        <v>0.1</v>
      </c>
      <c r="F122" s="2857">
        <v>15</v>
      </c>
    </row>
    <row r="123" spans="1:6" ht="13.5">
      <c r="A123" s="2857">
        <v>49</v>
      </c>
      <c r="B123" s="3498"/>
      <c r="C123" s="2857" t="s">
        <v>2745</v>
      </c>
      <c r="D123" s="2831" t="s">
        <v>2746</v>
      </c>
      <c r="E123" s="2857">
        <v>0.1</v>
      </c>
      <c r="F123" s="2857">
        <v>15</v>
      </c>
    </row>
    <row r="124" spans="1:6" ht="24">
      <c r="A124" s="2857">
        <v>50</v>
      </c>
      <c r="B124" s="3486" t="s">
        <v>2747</v>
      </c>
      <c r="C124" s="2857" t="s">
        <v>2748</v>
      </c>
      <c r="D124" s="2831" t="s">
        <v>2749</v>
      </c>
      <c r="E124" s="2857">
        <v>0.1</v>
      </c>
      <c r="F124" s="2857">
        <v>15</v>
      </c>
    </row>
    <row r="125" spans="1:6" ht="24">
      <c r="A125" s="2857">
        <v>51</v>
      </c>
      <c r="B125" s="3486"/>
      <c r="C125" s="2857" t="s">
        <v>2750</v>
      </c>
      <c r="D125" s="2831" t="s">
        <v>2751</v>
      </c>
      <c r="E125" s="2857">
        <v>0.1</v>
      </c>
      <c r="F125" s="2857">
        <v>15</v>
      </c>
    </row>
    <row r="126" spans="1:6" ht="24">
      <c r="A126" s="2857">
        <v>52</v>
      </c>
      <c r="B126" s="3486" t="s">
        <v>2752</v>
      </c>
      <c r="C126" s="2857" t="s">
        <v>2753</v>
      </c>
      <c r="D126" s="2831" t="s">
        <v>2754</v>
      </c>
      <c r="E126" s="2857">
        <v>0.1</v>
      </c>
      <c r="F126" s="2857">
        <v>15</v>
      </c>
    </row>
    <row r="127" spans="1:6" ht="24">
      <c r="A127" s="2857">
        <v>53</v>
      </c>
      <c r="B127" s="3486"/>
      <c r="C127" s="2857" t="s">
        <v>2755</v>
      </c>
      <c r="D127" s="2831" t="s">
        <v>2756</v>
      </c>
      <c r="E127" s="2857">
        <v>0.1</v>
      </c>
      <c r="F127" s="2857">
        <v>15</v>
      </c>
    </row>
    <row r="128" spans="1:6" ht="13.5">
      <c r="A128" s="2857">
        <v>54</v>
      </c>
      <c r="B128" s="2857" t="s">
        <v>2757</v>
      </c>
      <c r="C128" s="2857" t="s">
        <v>2758</v>
      </c>
      <c r="D128" s="2831" t="s">
        <v>2759</v>
      </c>
      <c r="E128" s="2857">
        <v>0.1</v>
      </c>
      <c r="F128" s="2857">
        <v>15</v>
      </c>
    </row>
    <row r="129" spans="1:6" ht="13.5">
      <c r="A129" s="2857">
        <v>55</v>
      </c>
      <c r="B129" s="3486" t="s">
        <v>2760</v>
      </c>
      <c r="C129" s="2857" t="s">
        <v>2761</v>
      </c>
      <c r="D129" s="2831" t="s">
        <v>2762</v>
      </c>
      <c r="E129" s="2857">
        <v>0.1</v>
      </c>
      <c r="F129" s="2857">
        <v>15</v>
      </c>
    </row>
    <row r="130" spans="1:6" ht="13.5">
      <c r="A130" s="2857">
        <v>56</v>
      </c>
      <c r="B130" s="3486"/>
      <c r="C130" s="2857" t="s">
        <v>2763</v>
      </c>
      <c r="D130" s="2831" t="s">
        <v>2764</v>
      </c>
      <c r="E130" s="2857">
        <v>0.1</v>
      </c>
      <c r="F130" s="2857">
        <v>15</v>
      </c>
    </row>
    <row r="131" spans="1:6" ht="24">
      <c r="A131" s="2857">
        <v>57</v>
      </c>
      <c r="B131" s="3486"/>
      <c r="C131" s="2857" t="s">
        <v>2765</v>
      </c>
      <c r="D131" s="2831" t="s">
        <v>2766</v>
      </c>
      <c r="E131" s="2857">
        <v>0.1</v>
      </c>
      <c r="F131" s="2857">
        <v>15</v>
      </c>
    </row>
    <row r="132" spans="1:6" ht="24">
      <c r="A132" s="2857">
        <v>58</v>
      </c>
      <c r="B132" s="3486" t="s">
        <v>2767</v>
      </c>
      <c r="C132" s="2857" t="s">
        <v>2768</v>
      </c>
      <c r="D132" s="2831" t="s">
        <v>2769</v>
      </c>
      <c r="E132" s="2857">
        <v>0.1</v>
      </c>
      <c r="F132" s="2857">
        <v>15</v>
      </c>
    </row>
    <row r="133" spans="1:6" ht="13.5">
      <c r="A133" s="2857">
        <v>59</v>
      </c>
      <c r="B133" s="3486"/>
      <c r="C133" s="2857" t="s">
        <v>2770</v>
      </c>
      <c r="D133" s="2831" t="s">
        <v>2771</v>
      </c>
      <c r="E133" s="2857">
        <v>0.1</v>
      </c>
      <c r="F133" s="2857">
        <v>15</v>
      </c>
    </row>
    <row r="134" spans="1:6" ht="13.5">
      <c r="A134" s="2857">
        <v>60</v>
      </c>
      <c r="B134" s="3493" t="s">
        <v>2772</v>
      </c>
      <c r="C134" s="2857" t="s">
        <v>2773</v>
      </c>
      <c r="D134" s="2831" t="s">
        <v>2774</v>
      </c>
      <c r="E134" s="2857">
        <v>0.1</v>
      </c>
      <c r="F134" s="2857">
        <v>15</v>
      </c>
    </row>
    <row r="135" spans="1:6" ht="13.5">
      <c r="A135" s="2857">
        <v>61</v>
      </c>
      <c r="B135" s="3498"/>
      <c r="C135" s="2857" t="s">
        <v>2775</v>
      </c>
      <c r="D135" s="2831" t="s">
        <v>2776</v>
      </c>
      <c r="E135" s="2857">
        <v>0.1</v>
      </c>
      <c r="F135" s="2857">
        <v>15</v>
      </c>
    </row>
    <row r="136" spans="1:6" ht="24">
      <c r="A136" s="2857">
        <v>62</v>
      </c>
      <c r="B136" s="2857" t="s">
        <v>2777</v>
      </c>
      <c r="C136" s="2857" t="s">
        <v>2778</v>
      </c>
      <c r="D136" s="2831" t="s">
        <v>2779</v>
      </c>
      <c r="E136" s="2857">
        <v>0.1</v>
      </c>
      <c r="F136" s="2857">
        <v>15</v>
      </c>
    </row>
    <row r="137" spans="1:6" ht="13.5">
      <c r="A137" s="2857">
        <v>63</v>
      </c>
      <c r="B137" s="3486" t="s">
        <v>2780</v>
      </c>
      <c r="C137" s="2857" t="s">
        <v>2781</v>
      </c>
      <c r="D137" s="2831" t="s">
        <v>2782</v>
      </c>
      <c r="E137" s="2857">
        <v>0.1</v>
      </c>
      <c r="F137" s="2857">
        <v>15</v>
      </c>
    </row>
    <row r="138" spans="1:6" ht="13.5">
      <c r="A138" s="2857">
        <v>64</v>
      </c>
      <c r="B138" s="3486"/>
      <c r="C138" s="2857" t="s">
        <v>2783</v>
      </c>
      <c r="D138" s="2831" t="s">
        <v>2784</v>
      </c>
      <c r="E138" s="2857">
        <v>0.1</v>
      </c>
      <c r="F138" s="2857">
        <v>15</v>
      </c>
    </row>
    <row r="139" spans="1:6" ht="13.5">
      <c r="A139" s="2857">
        <v>65</v>
      </c>
      <c r="B139" s="2857" t="s">
        <v>2785</v>
      </c>
      <c r="C139" s="2857" t="s">
        <v>2786</v>
      </c>
      <c r="D139" s="2831" t="s">
        <v>2787</v>
      </c>
      <c r="E139" s="2857">
        <v>0.1</v>
      </c>
      <c r="F139" s="2857">
        <v>15</v>
      </c>
    </row>
    <row r="140" spans="1:6" ht="13.5">
      <c r="A140" s="2857"/>
      <c r="B140" s="2857"/>
      <c r="C140" s="2857"/>
      <c r="D140" s="2857"/>
      <c r="E140" s="2857" t="s">
        <v>2788</v>
      </c>
      <c r="F140" s="2857"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6"/>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SUMPRODUCT((A95:A184=ROUNDDOWN('商业-基准地价修正'!G3,1))*(B94:M94='商业-基准地价修正'!G2)*(B95:M184))</f>
        <v>0.90439999999999998</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SUMPRODUCT((A371:A460=ROUNDDOWN('商业-基准地价修正'!G3,1))*(B370:M370='商业-基准地价修正'!G2)*(B371:M460))</f>
        <v>0.85660000000000003</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29933</v>
      </c>
      <c r="C2" s="2" t="s">
        <v>106</v>
      </c>
      <c r="D2" s="191"/>
      <c r="E2" s="191"/>
      <c r="F2" s="191"/>
      <c r="G2" s="191"/>
    </row>
    <row r="3" spans="1:7" s="192" customFormat="1" ht="18" customHeight="1" thickBot="1">
      <c r="A3" s="195" t="s">
        <v>58</v>
      </c>
      <c r="B3" s="196">
        <f ca="1">ROUND(B2*10000/'数据-汇总表'!E3,0)</f>
        <v>108222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55</v>
      </c>
      <c r="D10" s="794">
        <f>'数据-汇总表'!E6</f>
        <v>2765.9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55</v>
      </c>
      <c r="D19" s="204">
        <f>'数据-汇总表'!E3</f>
        <v>2765.9</v>
      </c>
      <c r="E19" s="203">
        <f>'数据-取费表'!B31</f>
        <v>200</v>
      </c>
      <c r="F19" s="223"/>
      <c r="G19" s="1" t="s">
        <v>436</v>
      </c>
    </row>
    <row r="20" spans="1:7" s="206" customFormat="1" ht="13.5" customHeight="1">
      <c r="A20" s="730" t="s">
        <v>419</v>
      </c>
      <c r="B20" s="202" t="s">
        <v>77</v>
      </c>
      <c r="C20" s="224">
        <f>ROUND((C5+C19)*F20,0)</f>
        <v>620</v>
      </c>
      <c r="D20" s="224"/>
      <c r="E20" s="224"/>
      <c r="F20" s="225">
        <f>'数据-取费表'!B37</f>
        <v>0.03</v>
      </c>
      <c r="G20" s="1003" t="s">
        <v>430</v>
      </c>
    </row>
    <row r="21" spans="1:7" s="206" customFormat="1" ht="13.5" customHeight="1">
      <c r="A21" s="730" t="s">
        <v>421</v>
      </c>
      <c r="B21" s="202" t="s">
        <v>78</v>
      </c>
      <c r="C21" s="227">
        <f>F21</f>
        <v>0.03</v>
      </c>
      <c r="D21" s="228" t="s">
        <v>99</v>
      </c>
      <c r="E21" s="224"/>
      <c r="F21" s="225">
        <f>'数据-取费表'!B38</f>
        <v>0.03</v>
      </c>
      <c r="G21" s="226" t="s">
        <v>79</v>
      </c>
    </row>
    <row r="22" spans="1:7" s="206" customFormat="1" ht="13.5" customHeight="1">
      <c r="A22" s="730" t="s">
        <v>341</v>
      </c>
      <c r="B22" s="202" t="s">
        <v>80</v>
      </c>
      <c r="C22" s="1040">
        <f ca="1">ROUND(SUM(C23:C25),0)</f>
        <v>1332</v>
      </c>
      <c r="D22" s="227">
        <f ca="1">C26</f>
        <v>8.9999999999999998E-4</v>
      </c>
      <c r="E22" s="228" t="s">
        <v>99</v>
      </c>
      <c r="F22" s="229">
        <f ca="1">'数据-取费表'!B40</f>
        <v>3.1300000000000001E-2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1310</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3</v>
      </c>
      <c r="D24" s="230"/>
      <c r="E24" s="230"/>
      <c r="F24" s="231"/>
      <c r="G24" s="232" t="s">
        <v>82</v>
      </c>
    </row>
    <row r="25" spans="1:7" s="206" customFormat="1" ht="24">
      <c r="A25" s="733" t="s">
        <v>348</v>
      </c>
      <c r="B25" s="207" t="s">
        <v>420</v>
      </c>
      <c r="C25" s="1041">
        <f ca="1">ROUND(IF('数据-取费表'!B22&lt;=1,C20*F22*'数据-取费表'!B23/2,C20*(POWER((1+F22),'数据-取费表'!B23/2)-1)),0)</f>
        <v>19</v>
      </c>
      <c r="D25" s="230"/>
      <c r="E25" s="233"/>
      <c r="F25" s="231"/>
      <c r="G25" s="234" t="s">
        <v>83</v>
      </c>
    </row>
    <row r="26" spans="1:7" s="206" customFormat="1">
      <c r="A26" s="733" t="s">
        <v>350</v>
      </c>
      <c r="B26" s="207" t="s">
        <v>422</v>
      </c>
      <c r="C26" s="230">
        <f ca="1">ROUND(IF('数据-取费表'!B22&lt;=1,F21*F22*'数据-取费表'!B23/2,F21*(POWER((1+F22),'数据-取费表'!B23/2)-1)),4)</f>
        <v>8.9999999999999998E-4</v>
      </c>
      <c r="D26" s="230"/>
      <c r="E26" s="233"/>
      <c r="F26" s="231"/>
      <c r="G26" s="235"/>
    </row>
    <row r="27" spans="1:7" s="206" customFormat="1" ht="24.75">
      <c r="A27" s="730" t="s">
        <v>342</v>
      </c>
      <c r="B27" s="236" t="s">
        <v>85</v>
      </c>
      <c r="C27" s="237">
        <f>C28</f>
        <v>3406</v>
      </c>
      <c r="D27" s="227">
        <f>C29</f>
        <v>4.7999999999999996E-3</v>
      </c>
      <c r="E27" s="228" t="s">
        <v>99</v>
      </c>
      <c r="F27" s="238">
        <f>'数据-取费表'!Q16</f>
        <v>0.16</v>
      </c>
      <c r="G27" s="239" t="s">
        <v>431</v>
      </c>
    </row>
    <row r="28" spans="1:7" s="206" customFormat="1" ht="13.5" customHeight="1">
      <c r="A28" s="733" t="s">
        <v>349</v>
      </c>
      <c r="B28" s="240" t="s">
        <v>424</v>
      </c>
      <c r="C28" s="241">
        <f>ROUND((C5+C19+C20)*F27*'数据-取费表'!B21/'数据-取费表'!B20,0)</f>
        <v>3406</v>
      </c>
      <c r="D28" s="227"/>
      <c r="E28" s="228"/>
      <c r="F28" s="238"/>
      <c r="G28" s="239"/>
    </row>
    <row r="29" spans="1:7" s="206" customFormat="1" ht="13.5" customHeight="1">
      <c r="A29" s="733" t="s">
        <v>347</v>
      </c>
      <c r="B29" s="240" t="s">
        <v>425</v>
      </c>
      <c r="C29" s="230">
        <f>ROUND(C21*F27*'数据-取费表'!B21/'数据-取费表'!B20,4)</f>
        <v>4.7999999999999996E-3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28566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1238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1106</v>
      </c>
      <c r="D34" s="209"/>
      <c r="E34" s="212"/>
      <c r="F34" s="249">
        <f>IF('数据-取费表'!B24=0,1,'数据-取费表'!N16)</f>
        <v>1</v>
      </c>
      <c r="G34" s="211" t="s">
        <v>89</v>
      </c>
    </row>
    <row r="35" spans="1:7" ht="13.5" customHeight="1">
      <c r="A35" s="733" t="s">
        <v>351</v>
      </c>
      <c r="B35" s="207" t="s">
        <v>33</v>
      </c>
      <c r="C35" s="212">
        <f>ROUND(C34*F35,0)</f>
        <v>55</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55</v>
      </c>
      <c r="D37" s="209">
        <f>'数据-汇总表'!E3</f>
        <v>2765.9</v>
      </c>
      <c r="E37" s="241">
        <f>'数据-取费表'!B35</f>
        <v>200</v>
      </c>
      <c r="F37" s="251"/>
      <c r="G37" s="253" t="s">
        <v>92</v>
      </c>
    </row>
    <row r="38" spans="1:7" ht="13.5" customHeight="1">
      <c r="A38" s="733" t="s">
        <v>354</v>
      </c>
      <c r="B38" s="207" t="s">
        <v>36</v>
      </c>
      <c r="C38" s="212">
        <f>ROUND(C34*F38,0)</f>
        <v>22</v>
      </c>
      <c r="D38" s="212"/>
      <c r="E38" s="212"/>
      <c r="F38" s="251">
        <f>'数据-取费表'!B36</f>
        <v>0.02</v>
      </c>
      <c r="G38" s="211" t="s">
        <v>90</v>
      </c>
    </row>
    <row r="39" spans="1:7" s="206" customFormat="1" ht="13.5" customHeight="1">
      <c r="A39" s="730" t="s">
        <v>338</v>
      </c>
      <c r="B39" s="202" t="s">
        <v>77</v>
      </c>
      <c r="C39" s="224">
        <f>ROUND(C33*F20,0)</f>
        <v>37</v>
      </c>
      <c r="D39" s="224"/>
      <c r="E39" s="224"/>
      <c r="F39" s="225"/>
      <c r="G39" s="1003" t="s">
        <v>433</v>
      </c>
    </row>
    <row r="40" spans="1:7" s="206" customFormat="1" ht="13.5" customHeight="1">
      <c r="A40" s="730" t="s">
        <v>339</v>
      </c>
      <c r="B40" s="202" t="s">
        <v>78</v>
      </c>
      <c r="C40" s="254">
        <f>F21</f>
        <v>0.03</v>
      </c>
      <c r="D40" s="228" t="s">
        <v>102</v>
      </c>
      <c r="E40" s="224"/>
      <c r="F40" s="225"/>
      <c r="G40" s="226" t="s">
        <v>93</v>
      </c>
    </row>
    <row r="41" spans="1:7" s="206" customFormat="1" ht="13.5" customHeight="1">
      <c r="A41" s="730" t="s">
        <v>340</v>
      </c>
      <c r="B41" s="202" t="s">
        <v>80</v>
      </c>
      <c r="C41" s="224">
        <f ca="1">ROUND(SUM(C42:C43),0)</f>
        <v>40</v>
      </c>
      <c r="D41" s="227">
        <f ca="1">C44</f>
        <v>8.9999999999999998E-4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39</v>
      </c>
      <c r="D42" s="230"/>
      <c r="E42" s="230"/>
      <c r="F42" s="231"/>
      <c r="G42" s="3362" t="s">
        <v>94</v>
      </c>
    </row>
    <row r="43" spans="1:7" ht="13.5" customHeight="1">
      <c r="A43" s="733" t="s">
        <v>347</v>
      </c>
      <c r="B43" s="207" t="s">
        <v>426</v>
      </c>
      <c r="C43" s="230">
        <f ca="1">ROUND(IF('数据-取费表'!B22&lt;=1,C39*F22*'数据-取费表'!B21/2,C39*(POWER((1+F22),'数据-取费表'!B21/2)-1)),0)</f>
        <v>1</v>
      </c>
      <c r="D43" s="230"/>
      <c r="E43" s="230"/>
      <c r="F43" s="231"/>
      <c r="G43" s="3363"/>
    </row>
    <row r="44" spans="1:7" ht="13.5" customHeight="1">
      <c r="A44" s="733" t="s">
        <v>348</v>
      </c>
      <c r="B44" s="207" t="s">
        <v>428</v>
      </c>
      <c r="C44" s="230">
        <f ca="1">ROUND(IF('数据-取费表'!B22&lt;=1,C40*F22*'数据-取费表'!B21/2,C40*(POWER((1+F22),'数据-取费表'!B21/2)-1)),4)</f>
        <v>8.9999999999999998E-4</v>
      </c>
      <c r="D44" s="230"/>
      <c r="E44" s="230"/>
      <c r="F44" s="231"/>
      <c r="G44" s="3364"/>
    </row>
    <row r="45" spans="1:7" s="206" customFormat="1" ht="13.5" customHeight="1">
      <c r="A45" s="730" t="s">
        <v>341</v>
      </c>
      <c r="B45" s="236" t="s">
        <v>85</v>
      </c>
      <c r="C45" s="237">
        <f>C46</f>
        <v>204</v>
      </c>
      <c r="D45" s="227">
        <f>C47</f>
        <v>4.7999999999999996E-3</v>
      </c>
      <c r="E45" s="228" t="s">
        <v>102</v>
      </c>
      <c r="F45" s="238"/>
      <c r="G45" s="239" t="s">
        <v>434</v>
      </c>
    </row>
    <row r="46" spans="1:7" s="206" customFormat="1" ht="13.5" customHeight="1">
      <c r="A46" s="733" t="s">
        <v>349</v>
      </c>
      <c r="B46" s="240" t="s">
        <v>427</v>
      </c>
      <c r="C46" s="241">
        <f>ROUND((C33+C39)*F27,0)</f>
        <v>204</v>
      </c>
      <c r="D46" s="255"/>
      <c r="E46" s="228"/>
      <c r="F46" s="238"/>
      <c r="G46" s="239"/>
    </row>
    <row r="47" spans="1:7" s="206" customFormat="1" ht="13.5" customHeight="1">
      <c r="A47" s="733" t="s">
        <v>347</v>
      </c>
      <c r="B47" s="240" t="s">
        <v>429</v>
      </c>
      <c r="C47" s="230">
        <f>ROUND(C40*F27,4)</f>
        <v>4.7999999999999996E-3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1667</v>
      </c>
      <c r="D49" s="224"/>
      <c r="E49" s="224"/>
      <c r="F49" s="256"/>
      <c r="G49" s="226" t="s">
        <v>435</v>
      </c>
    </row>
    <row r="50" spans="1:7" s="250" customFormat="1" ht="24">
      <c r="A50" s="730" t="s">
        <v>344</v>
      </c>
      <c r="B50" s="202" t="s">
        <v>97</v>
      </c>
      <c r="C50" s="224"/>
      <c r="D50" s="224"/>
      <c r="E50" s="224"/>
      <c r="F50" s="256">
        <f>IF('数据-取费表'!B24=0,'数据-取费表'!N16,1)</f>
        <v>0.82</v>
      </c>
      <c r="G50" s="239" t="s">
        <v>98</v>
      </c>
    </row>
    <row r="51" spans="1:7" ht="16.5" customHeight="1">
      <c r="A51" s="730" t="s">
        <v>345</v>
      </c>
      <c r="B51" s="202" t="s">
        <v>105</v>
      </c>
      <c r="C51" s="224">
        <f ca="1">ROUND(C49*F50,0)</f>
        <v>1367</v>
      </c>
      <c r="D51" s="224"/>
      <c r="E51" s="224"/>
      <c r="F51" s="256"/>
      <c r="G51" s="226" t="s">
        <v>37</v>
      </c>
    </row>
    <row r="52" spans="1:7" s="200" customFormat="1" ht="16.5" thickBot="1">
      <c r="A52" s="257" t="s">
        <v>38</v>
      </c>
      <c r="B52" s="258"/>
      <c r="C52" s="259">
        <f ca="1">C31+C51</f>
        <v>29933</v>
      </c>
      <c r="D52" s="258"/>
      <c r="E52" s="258"/>
      <c r="F52" s="258"/>
      <c r="G52" s="260"/>
    </row>
    <row r="55" spans="1:7" ht="15">
      <c r="B55" s="262" t="s">
        <v>39</v>
      </c>
      <c r="C55" s="263"/>
    </row>
    <row r="56" spans="1:7">
      <c r="B56" s="265" t="s">
        <v>40</v>
      </c>
      <c r="C56" s="266">
        <f ca="1">ROUND(C51/C52,3)</f>
        <v>4.5999999999999999E-2</v>
      </c>
    </row>
    <row r="57" spans="1:7">
      <c r="B57" s="265" t="s">
        <v>41</v>
      </c>
      <c r="C57" s="267">
        <f ca="1">1-C56</f>
        <v>0.95399999999999996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9" t="s">
        <v>3172</v>
      </c>
      <c r="B1" s="3499"/>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00" t="s">
        <v>3223</v>
      </c>
      <c r="B1" s="3500"/>
      <c r="C1" s="3500"/>
      <c r="D1" s="3500"/>
      <c r="E1" s="3500"/>
      <c r="F1" s="3501"/>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'商业-基准地价修正'!G23</f>
        <v>45989</v>
      </c>
      <c r="B1" s="2929" t="s">
        <v>3366</v>
      </c>
      <c r="C1" s="2930"/>
      <c r="D1" s="2930"/>
      <c r="E1" s="2930"/>
      <c r="F1" s="2930"/>
      <c r="G1" s="2930"/>
      <c r="H1" s="2930"/>
      <c r="I1" s="2930"/>
      <c r="J1" s="2896"/>
      <c r="K1" s="2930" t="s">
        <v>454</v>
      </c>
      <c r="L1" s="2930"/>
      <c r="M1" s="2930"/>
      <c r="N1" s="2930"/>
      <c r="O1" s="2930"/>
      <c r="P1" s="2930"/>
      <c r="Q1" s="2896"/>
      <c r="R1" s="3502" t="s">
        <v>456</v>
      </c>
      <c r="S1" s="3503"/>
      <c r="T1" s="3503"/>
      <c r="U1" s="3503"/>
      <c r="V1" s="3503"/>
      <c r="W1" s="3503"/>
      <c r="X1" s="2896"/>
      <c r="Y1" s="3502" t="s">
        <v>457</v>
      </c>
      <c r="Z1" s="3503"/>
      <c r="AA1" s="3503"/>
      <c r="AB1" s="3503"/>
      <c r="AC1" s="3503"/>
      <c r="AD1" s="3503"/>
    </row>
    <row r="2" spans="1:44" s="2009" customFormat="1" ht="14.25" thickBot="1">
      <c r="B2" s="2881"/>
      <c r="C2" s="2882"/>
      <c r="D2" s="2010" t="s">
        <v>2801</v>
      </c>
      <c r="E2" s="2011" t="s">
        <v>2802</v>
      </c>
      <c r="F2" s="2011" t="s">
        <v>2803</v>
      </c>
      <c r="G2" s="2011" t="s">
        <v>2804</v>
      </c>
      <c r="H2" s="2011" t="s">
        <v>2805</v>
      </c>
      <c r="I2" s="2011" t="s">
        <v>2622</v>
      </c>
      <c r="J2" s="2883"/>
      <c r="K2" s="2010" t="s">
        <v>2801</v>
      </c>
      <c r="L2" s="2011" t="s">
        <v>2802</v>
      </c>
      <c r="M2" s="2011" t="s">
        <v>2803</v>
      </c>
      <c r="N2" s="2011" t="s">
        <v>2804</v>
      </c>
      <c r="O2" s="2011" t="s">
        <v>2806</v>
      </c>
      <c r="P2" s="2011" t="s">
        <v>2622</v>
      </c>
      <c r="Q2" s="2883"/>
      <c r="R2" s="2010" t="s">
        <v>2801</v>
      </c>
      <c r="S2" s="2011" t="s">
        <v>2802</v>
      </c>
      <c r="T2" s="2011" t="s">
        <v>2803</v>
      </c>
      <c r="U2" s="2011" t="s">
        <v>2807</v>
      </c>
      <c r="V2" s="2011" t="s">
        <v>2808</v>
      </c>
      <c r="W2" s="2011" t="s">
        <v>2622</v>
      </c>
      <c r="X2" s="2883"/>
      <c r="Y2" s="2010" t="s">
        <v>2801</v>
      </c>
      <c r="Z2" s="2011" t="s">
        <v>2802</v>
      </c>
      <c r="AA2" s="2011" t="s">
        <v>2803</v>
      </c>
      <c r="AB2" s="2011" t="s">
        <v>2809</v>
      </c>
      <c r="AC2" s="2011" t="s">
        <v>2808</v>
      </c>
      <c r="AD2" s="2011" t="s">
        <v>2622</v>
      </c>
      <c r="AF2" t="s">
        <v>3391</v>
      </c>
      <c r="AG2" t="s">
        <v>673</v>
      </c>
      <c r="AH2" t="s">
        <v>21</v>
      </c>
      <c r="AI2" t="s">
        <v>3392</v>
      </c>
      <c r="AJ2" t="s">
        <v>3</v>
      </c>
      <c r="AK2" t="s">
        <v>3393</v>
      </c>
      <c r="AM2" t="s">
        <v>3391</v>
      </c>
      <c r="AN2" t="s">
        <v>673</v>
      </c>
      <c r="AO2" t="s">
        <v>21</v>
      </c>
      <c r="AP2" t="s">
        <v>3392</v>
      </c>
      <c r="AQ2" t="s">
        <v>3</v>
      </c>
      <c r="AR2" t="s">
        <v>3393</v>
      </c>
    </row>
    <row r="3" spans="1:44" s="2886" customFormat="1" ht="12.75">
      <c r="A3" s="2884" t="s">
        <v>2810</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3390</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3404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4" customFormat="1" ht="12.75">
      <c r="A7" s="2039" t="s">
        <v>3405</v>
      </c>
      <c r="B7" s="2030">
        <v>2025</v>
      </c>
      <c r="C7" s="2041">
        <v>2</v>
      </c>
      <c r="D7" s="2006">
        <v>0.05</v>
      </c>
      <c r="E7" s="2006">
        <v>-0.62</v>
      </c>
      <c r="F7" s="2006">
        <v>-1.05</v>
      </c>
      <c r="G7" s="2006">
        <v>0.09</v>
      </c>
      <c r="H7" s="2006">
        <v>0.17</v>
      </c>
      <c r="I7" s="2007">
        <f t="shared" ref="I7" si="37">F7</f>
        <v>-1.05</v>
      </c>
      <c r="J7" s="2906"/>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6"/>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6"/>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4" customFormat="1" ht="12.75">
      <c r="A8" s="2039" t="s">
        <v>3396</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4" customFormat="1" ht="12.75">
      <c r="A9" s="2039" t="s">
        <v>3395</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4" customFormat="1" ht="12.75">
      <c r="A10" s="2039" t="s">
        <v>3370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4" customFormat="1" ht="12.75">
      <c r="A11" s="2905" t="s">
        <v>3364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4" customFormat="1" ht="12.75">
      <c r="A12" s="2905" t="s">
        <v>3363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4" customFormat="1" ht="12.75">
      <c r="A13" s="2905" t="s">
        <v>3359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4" customFormat="1" ht="12.75">
      <c r="A14" s="2905" t="s">
        <v>3358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4" customFormat="1" ht="12.75">
      <c r="A15" s="2905" t="s">
        <v>3356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4" customFormat="1" ht="12.75">
      <c r="A16" s="2905" t="s">
        <v>3355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4" customFormat="1" ht="12.75">
      <c r="A17" s="2905" t="s">
        <v>3354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4" customFormat="1" ht="12.75">
      <c r="A18" s="2905" t="s">
        <v>3352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4" customFormat="1" ht="12.75">
      <c r="A19" s="2905" t="s">
        <v>3343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4" customFormat="1" ht="12.75">
      <c r="A20" s="2905" t="s">
        <v>2811</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4" customFormat="1" ht="12.75">
      <c r="A21" s="2905" t="s">
        <v>2812</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4" customFormat="1" ht="12.75">
      <c r="A22" s="2905" t="s">
        <v>2813</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4" customFormat="1" ht="12.75">
      <c r="A23" s="2905" t="s">
        <v>2814</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3369</v>
      </c>
    </row>
    <row r="27" spans="1:44">
      <c r="I27" s="1404" t="s">
        <v>2816</v>
      </c>
    </row>
    <row r="29" spans="1:44" s="2008" customFormat="1" ht="12.75">
      <c r="B29" s="2929" t="s">
        <v>3367</v>
      </c>
      <c r="C29" s="2930"/>
      <c r="D29" s="2930"/>
      <c r="E29" s="2930"/>
      <c r="F29" s="2930"/>
      <c r="G29" s="2930"/>
      <c r="H29" s="2930"/>
      <c r="I29" s="2930"/>
      <c r="J29" s="2896"/>
      <c r="K29" s="2930" t="s">
        <v>2817</v>
      </c>
      <c r="L29" s="2930"/>
      <c r="M29" s="2930"/>
      <c r="N29" s="2930"/>
      <c r="O29" s="2930"/>
      <c r="P29" s="2930"/>
      <c r="Q29" s="2896"/>
      <c r="R29" s="3502" t="s">
        <v>2818</v>
      </c>
      <c r="S29" s="3503"/>
      <c r="T29" s="3503"/>
      <c r="U29" s="3503"/>
      <c r="V29" s="3503"/>
      <c r="W29" s="3503"/>
      <c r="X29" s="2896"/>
      <c r="Y29" s="3502" t="s">
        <v>2819</v>
      </c>
      <c r="Z29" s="3503"/>
      <c r="AA29" s="3503"/>
      <c r="AB29" s="3503"/>
      <c r="AC29" s="3503"/>
      <c r="AD29" s="3503"/>
    </row>
    <row r="30" spans="1:44" s="2009" customFormat="1" ht="14.25" thickBot="1">
      <c r="B30" s="2881"/>
      <c r="C30" s="2882"/>
      <c r="D30" s="2010" t="s">
        <v>2820</v>
      </c>
      <c r="E30" s="2011" t="s">
        <v>2821</v>
      </c>
      <c r="F30" s="2011" t="s">
        <v>2822</v>
      </c>
      <c r="G30" s="2011" t="s">
        <v>2823</v>
      </c>
      <c r="H30" s="2011"/>
      <c r="I30" s="2011" t="s">
        <v>2824</v>
      </c>
      <c r="J30" s="2883"/>
      <c r="K30" s="2010" t="s">
        <v>2820</v>
      </c>
      <c r="L30" s="2011" t="s">
        <v>2821</v>
      </c>
      <c r="M30" s="2011" t="s">
        <v>2822</v>
      </c>
      <c r="N30" s="2011" t="s">
        <v>2823</v>
      </c>
      <c r="O30" s="2011"/>
      <c r="P30" s="2011" t="s">
        <v>2824</v>
      </c>
      <c r="Q30" s="2883"/>
      <c r="R30" s="2010" t="s">
        <v>2820</v>
      </c>
      <c r="S30" s="2011" t="s">
        <v>2821</v>
      </c>
      <c r="T30" s="2011" t="s">
        <v>2822</v>
      </c>
      <c r="U30" s="2011" t="s">
        <v>2823</v>
      </c>
      <c r="V30" s="2011"/>
      <c r="W30" s="2011" t="s">
        <v>2824</v>
      </c>
      <c r="X30" s="2883"/>
      <c r="Y30" s="2010" t="s">
        <v>2820</v>
      </c>
      <c r="Z30" s="2011" t="s">
        <v>2821</v>
      </c>
      <c r="AA30" s="2011" t="s">
        <v>2822</v>
      </c>
      <c r="AB30" s="2011" t="s">
        <v>2823</v>
      </c>
      <c r="AC30" s="2011"/>
      <c r="AD30" s="2011" t="s">
        <v>2824</v>
      </c>
      <c r="AG30" t="s">
        <v>673</v>
      </c>
      <c r="AH30" t="s">
        <v>21</v>
      </c>
      <c r="AI30" t="s">
        <v>3392</v>
      </c>
      <c r="AJ30"/>
      <c r="AK30" t="s">
        <v>3393</v>
      </c>
      <c r="AN30" t="s">
        <v>673</v>
      </c>
      <c r="AO30" t="s">
        <v>21</v>
      </c>
      <c r="AP30" t="s">
        <v>3392</v>
      </c>
      <c r="AQ30"/>
      <c r="AR30" t="s">
        <v>3393</v>
      </c>
    </row>
    <row r="31" spans="1:44" s="2886" customFormat="1" ht="12.75">
      <c r="A31" s="2884" t="s">
        <v>2825</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3390</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3406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4" customFormat="1" ht="12.75">
      <c r="A35" s="2039" t="s">
        <v>3405</v>
      </c>
      <c r="B35" s="2030">
        <v>2025</v>
      </c>
      <c r="C35" s="2041">
        <v>2</v>
      </c>
      <c r="D35" s="2006"/>
      <c r="E35" s="2006">
        <v>-0.31</v>
      </c>
      <c r="F35" s="2006">
        <v>-1.03</v>
      </c>
      <c r="G35" s="2006">
        <v>0.03</v>
      </c>
      <c r="H35" s="2006"/>
      <c r="I35" s="2007">
        <f t="shared" ref="I35" si="141">F35</f>
        <v>-1.03</v>
      </c>
      <c r="J35" s="2906"/>
      <c r="K35" s="2042"/>
      <c r="L35" s="2027">
        <f t="shared" ref="L35" si="142">E35/100</f>
        <v>-3.0999999999999999E-3</v>
      </c>
      <c r="M35" s="2027">
        <f t="shared" ref="M35" si="143">F35/100</f>
        <v>-1.03E-2</v>
      </c>
      <c r="N35" s="2027">
        <f t="shared" ref="N35" si="144">G35/100</f>
        <v>2.9999999999999997E-4</v>
      </c>
      <c r="O35" s="2027"/>
      <c r="P35" s="2027">
        <f t="shared" si="123"/>
        <v>-1.03E-2</v>
      </c>
      <c r="Q35" s="2906"/>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6"/>
      <c r="Y35" s="2027"/>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7">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4" customFormat="1" ht="12.75">
      <c r="A36" s="2039" t="s">
        <v>3394</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4" customFormat="1" ht="12.75">
      <c r="A37" s="2039" t="s">
        <v>3395</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4" customFormat="1" ht="12.75">
      <c r="A38" s="2039" t="s">
        <v>3361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4" customFormat="1" ht="12.75">
      <c r="A39" s="2905" t="s">
        <v>3365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4" customFormat="1" ht="12.75">
      <c r="A40" s="2905" t="s">
        <v>3362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4" customFormat="1" ht="12.75">
      <c r="A41" s="2905" t="s">
        <v>3360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4" customFormat="1" ht="12.75">
      <c r="A42" s="2905" t="s">
        <v>3358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4" customFormat="1" ht="12.75">
      <c r="A43" s="2905" t="s">
        <v>3357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4" customFormat="1" ht="12.75">
      <c r="A44" s="2905" t="s">
        <v>3355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4" customFormat="1" ht="12.75">
      <c r="A45" s="2905" t="s">
        <v>3354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4" customFormat="1" ht="12.75">
      <c r="A46" s="2905" t="s">
        <v>3353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4" customFormat="1" ht="12.75">
      <c r="A47" s="2905" t="s">
        <v>3343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4" customFormat="1" ht="12.75">
      <c r="A48" s="2905" t="s">
        <v>2826</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4" customFormat="1" ht="12.75">
      <c r="A49" s="2905" t="s">
        <v>2827</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4" customFormat="1" ht="12.75">
      <c r="A50" s="2905" t="s">
        <v>2828</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4" customFormat="1" ht="12.75">
      <c r="A51" s="2905" t="s">
        <v>2829</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5" t="s">
        <v>2830</v>
      </c>
      <c r="B1" s="3515"/>
      <c r="C1" s="3515"/>
      <c r="D1" s="3515"/>
      <c r="E1" s="3515"/>
      <c r="F1" s="3515"/>
      <c r="G1" s="3516"/>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13"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14"/>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1" t="str">
        <f>IF(项目基本情况!B9="房地产市场价值","估价结果一览表","结果表-2")</f>
        <v>结果表-2</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93"/>
      <c r="B3" s="3193"/>
      <c r="C3" s="3193"/>
      <c r="D3" s="800" t="s">
        <v>925</v>
      </c>
      <c r="E3" s="800" t="s">
        <v>931</v>
      </c>
      <c r="F3" s="800" t="s">
        <v>925</v>
      </c>
      <c r="G3" s="800" t="s">
        <v>926</v>
      </c>
      <c r="H3" s="800" t="s">
        <v>925</v>
      </c>
      <c r="I3" s="800" t="s">
        <v>926</v>
      </c>
    </row>
    <row r="4" spans="1:9" ht="15">
      <c r="A4" s="1402" t="str">
        <f>项目基本情况!S2</f>
        <v>北京市房地产</v>
      </c>
      <c r="B4" s="800">
        <f>项目基本情况!C17</f>
        <v>2765.9</v>
      </c>
      <c r="C4" s="800">
        <f>项目基本情况!C18</f>
        <v>0</v>
      </c>
      <c r="D4" s="800">
        <f ca="1">结果表!D118</f>
        <v>6677</v>
      </c>
      <c r="E4" s="800">
        <f ca="1">结果表!E118</f>
        <v>24140</v>
      </c>
      <c r="F4" s="800">
        <f ca="1">结果表!F118</f>
        <v>911</v>
      </c>
      <c r="G4" s="800">
        <f ca="1">结果表!G118</f>
        <v>3294</v>
      </c>
      <c r="H4" s="800">
        <f ca="1">结果表!H118</f>
        <v>7588</v>
      </c>
      <c r="I4" s="800">
        <f ca="1">结果表!I118</f>
        <v>27434</v>
      </c>
    </row>
    <row r="5" spans="1:9" ht="30" customHeight="1">
      <c r="A5" s="3193" t="s">
        <v>927</v>
      </c>
      <c r="B5" s="3193"/>
      <c r="C5" s="3193"/>
      <c r="D5" s="3193" t="str">
        <f ca="1">结果表!D119</f>
        <v>陆仟陆佰柒拾柒万元整</v>
      </c>
      <c r="E5" s="3193"/>
      <c r="F5" s="3193" t="str">
        <f ca="1">结果表!F119</f>
        <v>玖佰壹拾壹万元整</v>
      </c>
      <c r="G5" s="3193"/>
      <c r="H5" s="3193" t="str">
        <f ca="1">结果表!H119</f>
        <v>柒仟伍佰捌拾捌万元整</v>
      </c>
      <c r="I5" s="3193"/>
    </row>
    <row r="6" spans="1:9" ht="15.75">
      <c r="A6" s="3194" t="str">
        <f>结果表!A120</f>
        <v>估价师知悉的法定优先受偿款</v>
      </c>
      <c r="B6" s="3194"/>
      <c r="C6" s="3194"/>
      <c r="D6" s="3194">
        <f>结果表!D120</f>
        <v>0</v>
      </c>
      <c r="E6" s="3194"/>
      <c r="F6" s="3194"/>
      <c r="G6" s="3194"/>
      <c r="H6" s="3194"/>
      <c r="I6" s="3194"/>
    </row>
    <row r="7" spans="1:9" ht="15">
      <c r="A7" s="3193" t="s">
        <v>927</v>
      </c>
      <c r="B7" s="3193"/>
      <c r="C7" s="3193"/>
      <c r="D7" s="3195" t="str">
        <f>结果表!D121</f>
        <v>零元整</v>
      </c>
      <c r="E7" s="3196"/>
      <c r="F7" s="3196"/>
      <c r="G7" s="3196"/>
      <c r="H7" s="3196"/>
      <c r="I7" s="3197"/>
    </row>
    <row r="8" spans="1:9" ht="15.75">
      <c r="A8" s="3194" t="str">
        <f>结果表!A122</f>
        <v>房地产抵押价值</v>
      </c>
      <c r="B8" s="3194"/>
      <c r="C8" s="3194"/>
      <c r="D8" s="3194">
        <f ca="1">结果表!D122</f>
        <v>7588</v>
      </c>
      <c r="E8" s="3194"/>
      <c r="F8" s="3194"/>
      <c r="G8" s="3194"/>
      <c r="H8" s="3194"/>
      <c r="I8" s="3194"/>
    </row>
    <row r="9" spans="1:9" ht="15">
      <c r="A9" s="3193" t="s">
        <v>927</v>
      </c>
      <c r="B9" s="3193"/>
      <c r="C9" s="3193"/>
      <c r="D9" s="3193" t="str">
        <f ca="1">结果表!D123</f>
        <v>柒仟伍佰捌拾捌万元整</v>
      </c>
      <c r="E9" s="3193"/>
      <c r="F9" s="3193"/>
      <c r="G9" s="3193"/>
      <c r="H9" s="3193"/>
      <c r="I9" s="3193"/>
    </row>
    <row r="10" spans="1:9" ht="15.75">
      <c r="A10" s="3194" t="str">
        <f>结果表!A124</f>
        <v/>
      </c>
      <c r="B10" s="3194"/>
      <c r="C10" s="3194"/>
      <c r="D10" s="3194" t="str">
        <f>结果表!D124</f>
        <v>——</v>
      </c>
      <c r="E10" s="3194"/>
      <c r="F10" s="3194"/>
      <c r="G10" s="3194"/>
      <c r="H10" s="3194"/>
      <c r="I10" s="3194"/>
    </row>
    <row r="11" spans="1:9" ht="15">
      <c r="A11" s="3193" t="s">
        <v>927</v>
      </c>
      <c r="B11" s="3193"/>
      <c r="C11" s="3193"/>
      <c r="D11" s="3193" t="e">
        <f>结果表!D125</f>
        <v>#VALUE!</v>
      </c>
      <c r="E11" s="3193"/>
      <c r="F11" s="3193"/>
      <c r="G11" s="3193"/>
      <c r="H11" s="3193"/>
      <c r="I11" s="3193"/>
    </row>
    <row r="12" spans="1:9" ht="15.75">
      <c r="A12" s="3194" t="str">
        <f>结果表!A126</f>
        <v/>
      </c>
      <c r="B12" s="3194"/>
      <c r="C12" s="3194"/>
      <c r="D12" s="3194" t="str">
        <f>结果表!D126</f>
        <v>——</v>
      </c>
      <c r="E12" s="3194"/>
      <c r="F12" s="3194"/>
      <c r="G12" s="3194"/>
      <c r="H12" s="3194"/>
      <c r="I12" s="3194"/>
    </row>
    <row r="13" spans="1:9" ht="15.75" thickBot="1">
      <c r="A13" s="3198" t="s">
        <v>927</v>
      </c>
      <c r="B13" s="3198"/>
      <c r="C13" s="3198"/>
      <c r="D13" s="3198" t="e">
        <f>结果表!D127</f>
        <v>#VALUE!</v>
      </c>
      <c r="E13" s="3198"/>
      <c r="F13" s="3198"/>
      <c r="G13" s="3198"/>
      <c r="H13" s="3198"/>
      <c r="I13" s="3198"/>
    </row>
    <row r="14" spans="1:9" ht="15" thickTop="1">
      <c r="A14" s="3199" t="s">
        <v>932</v>
      </c>
      <c r="B14" s="3199"/>
      <c r="C14" s="3199"/>
      <c r="D14" s="3199"/>
      <c r="E14" s="3199"/>
      <c r="F14" s="3199"/>
      <c r="G14" s="3199"/>
      <c r="H14" s="3199"/>
      <c r="I14" s="319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45989</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2300</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0" t="s">
        <v>949</v>
      </c>
      <c r="B1" s="3200"/>
      <c r="C1" s="3200"/>
      <c r="D1" s="3200"/>
    </row>
    <row r="2" spans="1:4" ht="18">
      <c r="A2" s="3201" t="s">
        <v>933</v>
      </c>
      <c r="B2" s="3201"/>
      <c r="C2" s="3201"/>
      <c r="D2" s="3201"/>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1" t="s">
        <v>939</v>
      </c>
      <c r="B6" s="3201"/>
      <c r="C6" s="3201"/>
      <c r="D6" s="320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2" t="s">
        <v>942</v>
      </c>
      <c r="B11" s="3203"/>
      <c r="C11" s="3203"/>
      <c r="D11" s="3203"/>
    </row>
    <row r="12" spans="1:4" ht="15.75">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203" t="str">
        <f>IF(项目基本情况!B8="抵押","4.本次评估估价师所知悉的法定优先受偿款情况说明如下：","——")</f>
        <v>4.本次评估估价师所知悉的法定优先受偿款情况说明如下：</v>
      </c>
      <c r="B14" s="3204"/>
      <c r="C14" s="3204"/>
      <c r="D14" s="3204"/>
    </row>
    <row r="15" spans="1:4" ht="42" customHeight="1">
      <c r="A15" s="32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3"/>
      <c r="C15" s="3203"/>
      <c r="D15" s="3203"/>
    </row>
    <row r="16" spans="1:4" ht="30" customHeight="1">
      <c r="A16" s="3206" t="s">
        <v>943</v>
      </c>
      <c r="B16" s="3206"/>
      <c r="C16" s="3206"/>
      <c r="D16" s="3206"/>
    </row>
    <row r="17" spans="1:4" ht="144" customHeight="1">
      <c r="A17" s="3206" t="s">
        <v>944</v>
      </c>
      <c r="B17" s="3206"/>
      <c r="C17" s="3206"/>
      <c r="D17" s="3206"/>
    </row>
    <row r="18" spans="1:4" ht="15.75" customHeight="1">
      <c r="A18" s="3203" t="str">
        <f>IF(项目基本情况!B8="抵押",结果表!K120,"——")</f>
        <v>故，本次评估不存在估价师知悉的法定优先受偿款</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3"/>
      <c r="C20" s="3203"/>
      <c r="D20" s="3203"/>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7"/>
      <c r="C21" s="3207"/>
      <c r="D21" s="3207"/>
    </row>
    <row r="22" spans="1:4" ht="18.75" customHeight="1">
      <c r="A22" s="3208" t="s">
        <v>945</v>
      </c>
      <c r="B22" s="3208"/>
      <c r="C22" s="3208"/>
      <c r="D22" s="3208"/>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5">
        <v>42551</v>
      </c>
      <c r="D31" s="32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4" t="s">
        <v>956</v>
      </c>
      <c r="B15" s="3209" t="s">
        <v>109</v>
      </c>
      <c r="C15" s="3210"/>
    </row>
    <row r="16" spans="1:7" ht="13.5">
      <c r="A16" s="3215"/>
      <c r="B16" s="3209" t="s">
        <v>42</v>
      </c>
      <c r="C16" s="3210"/>
    </row>
    <row r="17" spans="1:3" ht="13.5">
      <c r="A17" s="3215"/>
      <c r="B17" s="3212" t="s">
        <v>957</v>
      </c>
      <c r="C17" s="1428" t="s">
        <v>956</v>
      </c>
    </row>
    <row r="18" spans="1:3" ht="13.5">
      <c r="A18" s="3215"/>
      <c r="B18" s="3212"/>
      <c r="C18" s="1428" t="s">
        <v>958</v>
      </c>
    </row>
    <row r="19" spans="1:3" ht="13.5">
      <c r="A19" s="3215"/>
      <c r="B19" s="3212"/>
      <c r="C19" s="1428" t="s">
        <v>959</v>
      </c>
    </row>
    <row r="20" spans="1:3" ht="13.5">
      <c r="A20" s="3216"/>
      <c r="B20" s="3211" t="s">
        <v>960</v>
      </c>
      <c r="C20" s="3210"/>
    </row>
    <row r="21" spans="1:3" ht="13.5">
      <c r="A21" s="1429" t="s">
        <v>961</v>
      </c>
      <c r="B21" s="1430"/>
      <c r="C21" s="1431"/>
    </row>
    <row r="22" spans="1:3" ht="13.5">
      <c r="A22" s="3213" t="s">
        <v>962</v>
      </c>
      <c r="B22" s="3211" t="s">
        <v>963</v>
      </c>
      <c r="C22" s="3210"/>
    </row>
    <row r="23" spans="1:3" ht="13.5">
      <c r="A23" s="3213"/>
      <c r="B23" s="3211" t="s">
        <v>964</v>
      </c>
      <c r="C23" s="3210"/>
    </row>
    <row r="24" spans="1:3" ht="13.5">
      <c r="A24" s="3213"/>
      <c r="B24" s="3211" t="s">
        <v>965</v>
      </c>
      <c r="C24" s="3210"/>
    </row>
    <row r="25" spans="1:3" ht="13.5">
      <c r="A25" s="3213"/>
      <c r="B25" s="3212" t="s">
        <v>966</v>
      </c>
      <c r="C25" s="1428" t="s">
        <v>967</v>
      </c>
    </row>
    <row r="26" spans="1:3" ht="13.5">
      <c r="A26" s="3213"/>
      <c r="B26" s="3212"/>
      <c r="C26" s="1428" t="s">
        <v>968</v>
      </c>
    </row>
    <row r="27" spans="1:3" ht="13.5">
      <c r="A27" s="3213"/>
      <c r="B27" s="3212"/>
      <c r="C27" s="1428" t="s">
        <v>969</v>
      </c>
    </row>
    <row r="28" spans="1:3" ht="13.5">
      <c r="A28" s="3213"/>
      <c r="B28" s="3212"/>
      <c r="C28" s="1428" t="s">
        <v>970</v>
      </c>
    </row>
    <row r="29" spans="1:3" ht="13.5">
      <c r="A29" s="3213"/>
      <c r="B29" s="3212"/>
      <c r="C29" s="1428" t="s">
        <v>971</v>
      </c>
    </row>
    <row r="30" spans="1:3" ht="13.5">
      <c r="A30" s="3213"/>
      <c r="B30" s="3212"/>
      <c r="C30" s="1428" t="s">
        <v>972</v>
      </c>
    </row>
    <row r="31" spans="1:3" ht="13.5">
      <c r="A31" s="3213"/>
      <c r="B31" s="3212"/>
      <c r="C31" s="1428" t="s">
        <v>973</v>
      </c>
    </row>
    <row r="32" spans="1:3" ht="13.5">
      <c r="A32" s="3213"/>
      <c r="B32" s="3212"/>
      <c r="C32" s="1428" t="s">
        <v>974</v>
      </c>
    </row>
    <row r="33" spans="1:3" ht="13.5">
      <c r="A33" s="3213"/>
      <c r="B33" s="3212"/>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45992</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7" t="s">
        <v>2160</v>
      </c>
      <c r="B17" s="3217"/>
      <c r="C17" s="3217"/>
      <c r="D17" s="3217"/>
      <c r="E17" s="3217"/>
      <c r="F17" s="3217"/>
      <c r="G17" s="3217"/>
      <c r="H17" s="3217"/>
    </row>
    <row r="18" spans="1:8" ht="24" customHeight="1">
      <c r="A18" s="3218" t="s">
        <v>2161</v>
      </c>
      <c r="B18" s="3218"/>
      <c r="C18" s="3218"/>
      <c r="D18" s="2159"/>
      <c r="E18" s="3219" t="s">
        <v>2162</v>
      </c>
      <c r="F18" s="3218"/>
      <c r="G18" s="3218"/>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160</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定义</vt:lpstr>
      <vt:lpstr>项目基本情况</vt:lpstr>
      <vt:lpstr>数据-基础表</vt:lpstr>
      <vt:lpstr>数据-汇总表</vt:lpstr>
      <vt:lpstr>数据-取费表</vt:lpstr>
      <vt:lpstr>估价对象房地状况</vt:lpstr>
      <vt:lpstr>租约</vt:lpstr>
      <vt:lpstr>系统读取表</vt:lpstr>
      <vt:lpstr>结果表</vt:lpstr>
      <vt:lpstr>成本法</vt:lpstr>
      <vt:lpstr>成本法 (元)</vt:lpstr>
      <vt:lpstr>假设开发法</vt:lpstr>
      <vt:lpstr>商业-基准地价修正</vt:lpstr>
      <vt:lpstr>办公-基准地价修正</vt:lpstr>
      <vt:lpstr>收益法（汇总）</vt:lpstr>
      <vt:lpstr>商业收益法</vt:lpstr>
      <vt:lpstr>收益法 (元)</vt:lpstr>
      <vt:lpstr>收益法-酒店模型</vt:lpstr>
      <vt:lpstr>比较法-住宅</vt:lpstr>
      <vt:lpstr>办公收益法 </vt:lpstr>
      <vt:lpstr>比较法-商业</vt:lpstr>
      <vt:lpstr>比较法-办公</vt:lpstr>
      <vt:lpstr>商业案例</vt:lpstr>
      <vt:lpstr>办公案例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'办公-基准地价修正'!Print_Area</vt:lpstr>
      <vt:lpstr>'办公收益法 '!Print_Area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假设开发法!Print_Area</vt:lpstr>
      <vt:lpstr>结果表!Print_Area</vt:lpstr>
      <vt:lpstr>'商业-基准地价修正'!Print_Area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'办公-基准地价修正'!季度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2025-12-01T05:37:45Z</dcterms:modified>
</cp:coreProperties>
</file>