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四区抵押物清单" sheetId="78" r:id="rId14"/>
    <sheet name="项目四期总体出租资源明细表" sheetId="79" r:id="rId15"/>
    <sheet name="四期租约收入台账" sheetId="80"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r:id="rId25"/>
    <sheet name="土地案例" sheetId="84" r:id="rId26"/>
    <sheet name="收益法（汇总）" sheetId="70" r:id="rId27"/>
    <sheet name="收益法" sheetId="15" r:id="rId28"/>
    <sheet name="收益法 (元)" sheetId="67" state="hidden" r:id="rId29"/>
    <sheet name="收益法-酒店模型" sheetId="77" state="hidden" r:id="rId30"/>
    <sheet name="收益法-地下车库" sheetId="83" r:id="rId31"/>
    <sheet name="办公租金" sheetId="81" r:id="rId32"/>
    <sheet name="售价" sheetId="85" r:id="rId33"/>
    <sheet name="Sheet9" sheetId="86" r:id="rId34"/>
    <sheet name="Sheet5" sheetId="82" r:id="rId35"/>
    <sheet name="比较法-住宅" sheetId="21"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 r:id="rId55"/>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5">'基准地价（汇总）'!$A$1:$E$13</definedName>
    <definedName name="_xlnm.Print_Area" localSheetId="42">基准地价修正!$A$1:$J$41,基准地价修正!$A$45:$H$88,基准地价修正!$R$1:$V$16</definedName>
    <definedName name="_xlnm.Print_Area" localSheetId="23">假设开发法!$A$1:$K$32</definedName>
    <definedName name="_xlnm.Print_Area" localSheetId="20">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0">'收益法-地下车库'!$A$1:$F$43,'收益法-地下车库'!$H$3:$M$29,'收益法-地下车库'!$A$46:$F$71,'收益法-地下车库'!$I$46:$N$65</definedName>
    <definedName name="_xlnm.Print_Area" localSheetId="16">'数据-汇总表'!$A$1:$P$32</definedName>
    <definedName name="_xlnm.Print_Area" localSheetId="41">'土地比较法-工业'!$A$1:$K$61,'土地比较法-工业'!$A$64:$M$121</definedName>
    <definedName name="_xlnm.Print_Area" localSheetId="24">'土地比较法-住宅、综合'!$A$1:$K$65,'土地比较法-住宅、综合'!$A$68:$M$131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 localSheetId="15">'[1]比较法-办公'!$B$119:$M$119</definedName>
    <definedName name="办公层高" localSheetId="13">'[1]比较法-办公'!$B$119:$M$119</definedName>
    <definedName name="办公层高" localSheetId="14">'[1]比较法-办公'!$B$119:$M$119</definedName>
    <definedName name="办公层高">'比较法-办公'!$B$119:$M$119</definedName>
    <definedName name="办公朝向" localSheetId="15">'[1]比较法-办公'!$B$91:$M$91</definedName>
    <definedName name="办公朝向" localSheetId="13">'[1]比较法-办公'!$B$91:$M$91</definedName>
    <definedName name="办公朝向" localSheetId="14">'[1]比较法-办公'!$B$91:$M$91</definedName>
    <definedName name="办公朝向">'比较法-办公'!$B$91:$M$91</definedName>
    <definedName name="办公道路级别" localSheetId="15">'[1]比较法-办公'!$B$87:$M$87</definedName>
    <definedName name="办公道路级别" localSheetId="13">'[1]比较法-办公'!$B$87:$M$87</definedName>
    <definedName name="办公道路级别" localSheetId="14">'[1]比较法-办公'!$B$87:$M$87</definedName>
    <definedName name="办公道路级别">'比较法-办公'!$B$87:$M$87</definedName>
    <definedName name="办公公共部分装修" localSheetId="15">'[1]比较法-办公'!$B$108:$M$108</definedName>
    <definedName name="办公公共部分装修" localSheetId="13">'[1]比较法-办公'!$B$108:$M$108</definedName>
    <definedName name="办公公共部分装修" localSheetId="14">'[1]比较法-办公'!$B$108:$M$108</definedName>
    <definedName name="办公公共部分装修">'比较法-办公'!$B$108:$M$108</definedName>
    <definedName name="办公基础设施水平" localSheetId="15">'[1]比较法-办公'!$B$117:$M$117</definedName>
    <definedName name="办公基础设施水平" localSheetId="13">'[1]比较法-办公'!$B$117:$M$117</definedName>
    <definedName name="办公基础设施水平" localSheetId="14">'[1]比较法-办公'!$B$117:$M$117</definedName>
    <definedName name="办公基础设施水平">'比较法-办公'!$B$117:$M$117</definedName>
    <definedName name="办公集聚程度" localSheetId="15">[1]定义!$M$1:$M$6</definedName>
    <definedName name="办公集聚程度" localSheetId="13">[1]定义!$M$1:$M$6</definedName>
    <definedName name="办公集聚程度" localSheetId="14">[1]定义!$M$1:$M$6</definedName>
    <definedName name="办公集聚程度">定义!$M$1:$M$6</definedName>
    <definedName name="办公建筑结构" localSheetId="15">'[1]比较法-办公'!$B$106:$M$106</definedName>
    <definedName name="办公建筑结构" localSheetId="13">'[1]比较法-办公'!$B$106:$M$106</definedName>
    <definedName name="办公建筑结构" localSheetId="14">'[1]比较法-办公'!$B$106:$M$106</definedName>
    <definedName name="办公建筑结构">'比较法-办公'!$B$106:$M$106</definedName>
    <definedName name="办公建筑类型" localSheetId="15">'[1]比较法-办公'!$B$101:$M$101</definedName>
    <definedName name="办公建筑类型" localSheetId="13">'[1]比较法-办公'!$B$101:$M$101</definedName>
    <definedName name="办公建筑类型" localSheetId="14">'[1]比较法-办公'!$B$101:$M$101</definedName>
    <definedName name="办公建筑类型">'比较法-办公'!$B$101:$M$101</definedName>
    <definedName name="办公交易情况" localSheetId="15">'[1]比较法-办公'!$A$62:$M$62</definedName>
    <definedName name="办公交易情况" localSheetId="13">'[1]比较法-办公'!$A$62:$M$62</definedName>
    <definedName name="办公交易情况" localSheetId="14">'[1]比较法-办公'!$A$62:$M$62</definedName>
    <definedName name="办公交易情况">'比较法-办公'!$A$62:$M$62</definedName>
    <definedName name="办公楼层" localSheetId="15">'[1]比较法-办公'!$B$89:$M$89</definedName>
    <definedName name="办公楼层" localSheetId="13">'[1]比较法-办公'!$B$89:$M$89</definedName>
    <definedName name="办公楼层" localSheetId="14">'[1]比较法-办公'!$B$89:$M$89</definedName>
    <definedName name="办公楼层">'比较法-办公'!$B$89:$M$89</definedName>
    <definedName name="办公内部装修" localSheetId="15">'[1]比较法-办公'!$B$123:$M$123</definedName>
    <definedName name="办公内部装修" localSheetId="13">'[1]比较法-办公'!$B$123:$M$123</definedName>
    <definedName name="办公内部装修" localSheetId="14">'[1]比较法-办公'!$B$123:$M$123</definedName>
    <definedName name="办公内部装修">'比较法-办公'!$B$123:$M$123</definedName>
    <definedName name="办公物业管理" localSheetId="15">'[1]比较法-办公'!$B$115:$M$115</definedName>
    <definedName name="办公物业管理" localSheetId="13">'[1]比较法-办公'!$B$115:$M$115</definedName>
    <definedName name="办公物业管理" localSheetId="14">'[1]比较法-办公'!$B$115:$M$115</definedName>
    <definedName name="办公物业管理">'比较法-办公'!$B$115:$M$115</definedName>
    <definedName name="办公用途" localSheetId="15">'[1]比较法-办公'!$B$64:$M$64</definedName>
    <definedName name="办公用途" localSheetId="13">'[1]比较法-办公'!$B$64:$M$64</definedName>
    <definedName name="办公用途" localSheetId="14">'[1]比较法-办公'!$B$64:$M$64</definedName>
    <definedName name="办公用途">'比较法-办公'!$B$64:$M$64</definedName>
    <definedName name="仓储公共部分装修" localSheetId="15">'[1]比较法-仓储'!$B$77:$M$77</definedName>
    <definedName name="仓储公共部分装修" localSheetId="13">'[1]比较法-仓储'!$B$77:$M$77</definedName>
    <definedName name="仓储公共部分装修" localSheetId="14">'[1]比较法-仓储'!$B$77:$M$77</definedName>
    <definedName name="仓储公共部分装修">'比较法-仓储'!$B$77:$M$77</definedName>
    <definedName name="仓储交易情况" localSheetId="15">'[1]比较法-仓储'!$A$49:$M$49</definedName>
    <definedName name="仓储交易情况" localSheetId="13">'[1]比较法-仓储'!$A$49:$M$49</definedName>
    <definedName name="仓储交易情况" localSheetId="14">'[1]比较法-仓储'!$A$49:$M$49</definedName>
    <definedName name="仓储交易情况">'比较法-仓储'!$A$49:$M$49</definedName>
    <definedName name="仓储楼层" localSheetId="15">'[1]比较法-仓储'!$B$69:$M$69</definedName>
    <definedName name="仓储楼层" localSheetId="13">'[1]比较法-仓储'!$B$69:$M$69</definedName>
    <definedName name="仓储楼层" localSheetId="14">'[1]比较法-仓储'!$B$69:$M$69</definedName>
    <definedName name="仓储楼层">'比较法-仓储'!$B$69:$M$69</definedName>
    <definedName name="仓储物业等级" localSheetId="15">'[1]比较法-仓储'!$B$82:$M$82</definedName>
    <definedName name="仓储物业等级" localSheetId="13">'[1]比较法-仓储'!$B$82:$M$82</definedName>
    <definedName name="仓储物业等级" localSheetId="14">'[1]比较法-仓储'!$B$82:$M$82</definedName>
    <definedName name="仓储物业等级">'比较法-仓储'!$B$82:$M$82</definedName>
    <definedName name="仓储用途" localSheetId="15">'[1]比较法-仓储'!$B$51:$M$51</definedName>
    <definedName name="仓储用途" localSheetId="13">'[1]比较法-仓储'!$B$51:$M$51</definedName>
    <definedName name="仓储用途" localSheetId="14">'[1]比较法-仓储'!$B$51:$M$51</definedName>
    <definedName name="仓储用途">'比较法-仓储'!$B$51:$M$51</definedName>
    <definedName name="产业集聚程度" localSheetId="15">[1]定义!$N$1:$N$6</definedName>
    <definedName name="产业集聚程度" localSheetId="13">[1]定义!$N$1:$N$6</definedName>
    <definedName name="产业集聚程度" localSheetId="14">[1]定义!$N$1:$N$6</definedName>
    <definedName name="产业集聚程度">定义!$N$1:$N$6</definedName>
    <definedName name="车位公共部分装修" localSheetId="15">'[1]比较法-车位'!$B$83:$M$83</definedName>
    <definedName name="车位公共部分装修" localSheetId="13">'[1]比较法-车位'!$B$83:$M$83</definedName>
    <definedName name="车位公共部分装修" localSheetId="14">'[1]比较法-车位'!$B$83:$M$83</definedName>
    <definedName name="车位公共部分装修">'比较法-车位'!$B$83:$M$83</definedName>
    <definedName name="车位交易情况" localSheetId="15">'[1]比较法-车位'!$A$51:$M$51</definedName>
    <definedName name="车位交易情况" localSheetId="13">'[1]比较法-车位'!$A$51:$M$51</definedName>
    <definedName name="车位交易情况" localSheetId="14">'[1]比较法-车位'!$A$51:$M$51</definedName>
    <definedName name="车位交易情况">'比较法-车位'!$A$51:$M$51</definedName>
    <definedName name="车位类型" localSheetId="15">'[1]比较法-车位'!$B$93:$M$93</definedName>
    <definedName name="车位类型" localSheetId="13">'[1]比较法-车位'!$B$93:$M$93</definedName>
    <definedName name="车位类型" localSheetId="14">'[1]比较法-车位'!$B$93:$M$93</definedName>
    <definedName name="车位类型">'比较法-车位'!$B$93:$M$93</definedName>
    <definedName name="车位楼层" localSheetId="15">'[1]比较法-车位'!$B$71:$M$71</definedName>
    <definedName name="车位楼层" localSheetId="13">'[1]比较法-车位'!$B$71:$M$71</definedName>
    <definedName name="车位楼层" localSheetId="14">'[1]比较法-车位'!$B$71:$M$71</definedName>
    <definedName name="车位楼层">'比较法-车位'!$B$71:$M$71</definedName>
    <definedName name="车位配套类型" localSheetId="15">'[1]比较法-车位'!$B$79:$M$79</definedName>
    <definedName name="车位配套类型" localSheetId="13">'[1]比较法-车位'!$B$79:$M$79</definedName>
    <definedName name="车位配套类型" localSheetId="14">'[1]比较法-车位'!$B$79:$M$79</definedName>
    <definedName name="车位配套类型">'比较法-车位'!$B$79:$M$79</definedName>
    <definedName name="车位物业等级" localSheetId="15">'[1]比较法-车位'!$B$88:$M$88</definedName>
    <definedName name="车位物业等级" localSheetId="13">'[1]比较法-车位'!$B$88:$M$88</definedName>
    <definedName name="车位物业等级" localSheetId="14">'[1]比较法-车位'!$B$88:$M$88</definedName>
    <definedName name="车位物业等级">'比较法-车位'!$B$88:$M$88</definedName>
    <definedName name="车位用途" localSheetId="15">'[1]比较法-车位'!$B$53:$M$53</definedName>
    <definedName name="车位用途" localSheetId="13">'[1]比较法-车位'!$B$53:$M$53</definedName>
    <definedName name="车位用途" localSheetId="14">'[1]比较法-车位'!$B$53:$M$53</definedName>
    <definedName name="车位用途">'比较法-车位'!$B$53:$M$53</definedName>
    <definedName name="城镇土地纳税等级分级范围" localSheetId="15">'[1]数据-取费表'!$A$53:$A$63</definedName>
    <definedName name="城镇土地纳税等级分级范围" localSheetId="13">'[1]数据-取费表'!$A$53:$A$63</definedName>
    <definedName name="城镇土地纳税等级分级范围" localSheetId="14">'[1]数据-取费表'!$A$53:$A$63</definedName>
    <definedName name="城镇土地纳税等级分级范围">'数据-取费表'!$A$53:$A$63</definedName>
    <definedName name="单价内涵" localSheetId="15">[1]定义!$V$1:$V$3</definedName>
    <definedName name="单价内涵" localSheetId="13">[1]定义!$V$1:$V$3</definedName>
    <definedName name="单价内涵" localSheetId="14">[1]定义!$V$1:$V$3</definedName>
    <definedName name="单价内涵">定义!$V$1:$V$3</definedName>
    <definedName name="地类判定" localSheetId="15">[1]定义!$H$1:$H$9</definedName>
    <definedName name="地类判定" localSheetId="13">[1]定义!$H$1:$H$9</definedName>
    <definedName name="地类判定" localSheetId="14">[1]定义!$H$1:$H$9</definedName>
    <definedName name="地类判定">定义!$H$1:$H$9</definedName>
    <definedName name="二级">区片价!$I$1:$I$20</definedName>
    <definedName name="二级分类" localSheetId="15">[1]修正!$C$17:$C$39</definedName>
    <definedName name="二级分类" localSheetId="13">[1]修正!$C$17:$C$39</definedName>
    <definedName name="二级分类" localSheetId="14">[1]修正!$C$17:$C$39</definedName>
    <definedName name="二级分类">修正!$C$19:$C$51</definedName>
    <definedName name="法定最高年限" localSheetId="15">[1]定义!$G$1:$G$4</definedName>
    <definedName name="法定最高年限" localSheetId="13">[1]定义!$G$1:$G$4</definedName>
    <definedName name="法定最高年限" localSheetId="14">[1]定义!$G$1:$G$4</definedName>
    <definedName name="法定最高年限">定义!$G$1:$G$4</definedName>
    <definedName name="工业公共部分装修" localSheetId="15">'[1]比较法-工业'!$B$95:$M$95</definedName>
    <definedName name="工业公共部分装修" localSheetId="13">'[1]比较法-工业'!$B$95:$M$95</definedName>
    <definedName name="工业公共部分装修" localSheetId="14">'[1]比较法-工业'!$B$95:$M$95</definedName>
    <definedName name="工业公共部分装修">'比较法-工业'!$B$95:$M$95</definedName>
    <definedName name="工业基础设施水平" localSheetId="15">'[1]比较法-工业'!$B$102:$M$102</definedName>
    <definedName name="工业基础设施水平" localSheetId="13">'[1]比较法-工业'!$B$102:$M$102</definedName>
    <definedName name="工业基础设施水平" localSheetId="14">'[1]比较法-工业'!$B$102:$M$102</definedName>
    <definedName name="工业基础设施水平">'比较法-工业'!$B$102:$M$102</definedName>
    <definedName name="工业建筑结构" localSheetId="15">'[1]比较法-工业'!$B$93:$M$93</definedName>
    <definedName name="工业建筑结构" localSheetId="13">'[1]比较法-工业'!$B$93:$M$93</definedName>
    <definedName name="工业建筑结构" localSheetId="14">'[1]比较法-工业'!$B$93:$M$93</definedName>
    <definedName name="工业建筑结构">'比较法-工业'!$B$93:$M$93</definedName>
    <definedName name="工业建筑类型" localSheetId="15">'[1]比较法-工业'!$B$88:$M$88</definedName>
    <definedName name="工业建筑类型" localSheetId="13">'[1]比较法-工业'!$B$88:$M$88</definedName>
    <definedName name="工业建筑类型" localSheetId="14">'[1]比较法-工业'!$B$88:$M$88</definedName>
    <definedName name="工业建筑类型">'比较法-工业'!$B$88:$M$88</definedName>
    <definedName name="工业交易情况" localSheetId="15">'[1]比较法-工业'!$A$55:$M$55</definedName>
    <definedName name="工业交易情况" localSheetId="13">'[1]比较法-工业'!$A$55:$M$55</definedName>
    <definedName name="工业交易情况" localSheetId="14">'[1]比较法-工业'!$A$55:$M$55</definedName>
    <definedName name="工业交易情况">'比较法-工业'!$A$55:$M$55</definedName>
    <definedName name="工业内部装修" localSheetId="15">'[1]比较法-工业'!$B$104:$M$104</definedName>
    <definedName name="工业内部装修" localSheetId="13">'[1]比较法-工业'!$B$104:$M$104</definedName>
    <definedName name="工业内部装修" localSheetId="14">'[1]比较法-工业'!$B$104:$M$104</definedName>
    <definedName name="工业内部装修">'比较法-工业'!$B$104:$M$104</definedName>
    <definedName name="工业物业管理" localSheetId="15">'[1]比较法-工业'!$B$100:$M$100</definedName>
    <definedName name="工业物业管理" localSheetId="13">'[1]比较法-工业'!$B$100:$M$100</definedName>
    <definedName name="工业物业管理" localSheetId="14">'[1]比较法-工业'!$B$100:$M$100</definedName>
    <definedName name="工业物业管理">'比较法-工业'!$B$100:$M$100</definedName>
    <definedName name="工业用途" localSheetId="15">'[1]比较法-工业'!$B$57:$M$57</definedName>
    <definedName name="工业用途" localSheetId="13">'[1]比较法-工业'!$B$57:$M$57</definedName>
    <definedName name="工业用途" localSheetId="14">'[1]比较法-工业'!$B$57:$M$57</definedName>
    <definedName name="工业用途">'比较法-工业'!$B$57:$M$57</definedName>
    <definedName name="公共配套设施" localSheetId="15">[1]定义!$Q$1:$Q$6</definedName>
    <definedName name="公共配套设施" localSheetId="13">[1]定义!$Q$1:$Q$6</definedName>
    <definedName name="公共配套设施" localSheetId="14">[1]定义!$Q$1:$Q$6</definedName>
    <definedName name="公共配套设施">定义!$Q$1:$Q$6</definedName>
    <definedName name="估价方法" localSheetId="15">[1]定义!$B$1:$B$50</definedName>
    <definedName name="估价方法" localSheetId="13">[1]定义!$B$1:$B$50</definedName>
    <definedName name="估价方法" localSheetId="14">[1]定义!$B$1:$B$50</definedName>
    <definedName name="估价方法">定义!$B$1:$B$50</definedName>
    <definedName name="环境" localSheetId="15">[1]定义!$S$1:$S$6</definedName>
    <definedName name="环境" localSheetId="13">[1]定义!$S$1:$S$6</definedName>
    <definedName name="环境" localSheetId="14">[1]定义!$S$1:$S$6</definedName>
    <definedName name="环境">定义!$S$1:$S$6</definedName>
    <definedName name="基础设施水平" localSheetId="15">[1]定义!$R$1:$R$6</definedName>
    <definedName name="基础设施水平" localSheetId="13">[1]定义!$R$1:$R$6</definedName>
    <definedName name="基础设施水平" localSheetId="14">[1]定义!$R$1:$R$6</definedName>
    <definedName name="基础设施水平">定义!$R$1:$R$6</definedName>
    <definedName name="季度">基准地价修正!$Q$19:$AD$19</definedName>
    <definedName name="价值类型2" localSheetId="15">[1]定义!$B$54:$B$56</definedName>
    <definedName name="价值类型2" localSheetId="13">[1]定义!$B$54:$B$56</definedName>
    <definedName name="价值类型2" localSheetId="14">[1]定义!$B$54:$B$56</definedName>
    <definedName name="价值类型2">定义!$B$54:$B$56</definedName>
    <definedName name="交通便捷度" localSheetId="15">[1]定义!$O$1:$O$6</definedName>
    <definedName name="交通便捷度" localSheetId="13">[1]定义!$O$1:$O$6</definedName>
    <definedName name="交通便捷度" localSheetId="14">[1]定义!$O$1:$O$6</definedName>
    <definedName name="交通便捷度">定义!$O$1:$O$6</definedName>
    <definedName name="九级">区片价!$P$1:$P$46</definedName>
    <definedName name="居住社区成熟度" localSheetId="15">[1]定义!$K$1:$K$6</definedName>
    <definedName name="居住社区成熟度" localSheetId="13">[1]定义!$K$1:$K$6</definedName>
    <definedName name="居住社区成熟度" localSheetId="14">[1]定义!$K$1:$K$6</definedName>
    <definedName name="居住社区成熟度">定义!$K$1:$K$6</definedName>
    <definedName name="类别" localSheetId="15">[1]定义!$J$1:$J$3</definedName>
    <definedName name="类别" localSheetId="13">[1]定义!$J$1:$J$3</definedName>
    <definedName name="类别" localSheetId="14">[1]定义!$J$1:$J$3</definedName>
    <definedName name="类别">定义!$J$1:$J$3</definedName>
    <definedName name="临街状况" localSheetId="15">[1]定义!$T$1:$T$5</definedName>
    <definedName name="临街状况" localSheetId="13">[1]定义!$T$1:$T$5</definedName>
    <definedName name="临街状况" localSheetId="14">[1]定义!$T$1:$T$5</definedName>
    <definedName name="临街状况">定义!$T$1:$T$5</definedName>
    <definedName name="六级">区片价!$M$1:$M$49</definedName>
    <definedName name="内部装修维护情况" localSheetId="15">[1]定义!$U$1:$U$6</definedName>
    <definedName name="内部装修维护情况" localSheetId="13">[1]定义!$U$1:$U$6</definedName>
    <definedName name="内部装修维护情况" localSheetId="14">[1]定义!$U$1:$U$6</definedName>
    <definedName name="内部装修维护情况">定义!$U$1:$U$6</definedName>
    <definedName name="判定" localSheetId="29">[2]定义!$D$1:$D$4</definedName>
    <definedName name="判定" localSheetId="15">[1]定义!$D$1:$D$4</definedName>
    <definedName name="判定" localSheetId="13">[1]定义!$D$1:$D$4</definedName>
    <definedName name="判定" localSheetId="14">[1]定义!$D$1:$D$4</definedName>
    <definedName name="判定">定义!$D$1:$D$4</definedName>
    <definedName name="七级">区片价!$N$1:$N$49</definedName>
    <definedName name="七通一平" localSheetId="15">[1]修正!$A$6:$A$14</definedName>
    <definedName name="七通一平" localSheetId="13">[1]修正!$A$6:$A$14</definedName>
    <definedName name="七通一平" localSheetId="14">[1]修正!$A$6:$A$14</definedName>
    <definedName name="七通一平">修正!$A$8:$A$16</definedName>
    <definedName name="区域土地利用方向" localSheetId="15">[1]定义!$P$1:$P$6</definedName>
    <definedName name="区域土地利用方向" localSheetId="13">[1]定义!$P$1:$P$6</definedName>
    <definedName name="区域土地利用方向" localSheetId="14">[1]定义!$P$1:$P$6</definedName>
    <definedName name="区域土地利用方向">定义!$P$1:$P$6</definedName>
    <definedName name="三级">区片价!$J$1:$J$21</definedName>
    <definedName name="商业层高" localSheetId="15">'[1]比较法-商业'!$B$116:$M$116</definedName>
    <definedName name="商业层高" localSheetId="13">'[1]比较法-商业'!$B$116:$M$116</definedName>
    <definedName name="商业层高" localSheetId="14">'[1]比较法-商业'!$B$116:$M$116</definedName>
    <definedName name="商业层高">'比较法-商业'!$B$116:$M$116</definedName>
    <definedName name="商业成新度">'比较法-商业'!$B$109:$M$109</definedName>
    <definedName name="商业繁华度" localSheetId="15">[1]定义!$L$1:$L$6</definedName>
    <definedName name="商业繁华度" localSheetId="13">[1]定义!$L$1:$L$6</definedName>
    <definedName name="商业繁华度" localSheetId="14">[1]定义!$L$1:$L$6</definedName>
    <definedName name="商业繁华度">定义!$L$1:$L$6</definedName>
    <definedName name="商业公共部分装修" localSheetId="15">'[1]比较法-商业'!$B$107:$M$107</definedName>
    <definedName name="商业公共部分装修" localSheetId="13">'[1]比较法-商业'!$B$107:$M$107</definedName>
    <definedName name="商业公共部分装修" localSheetId="14">'[1]比较法-商业'!$B$107:$M$107</definedName>
    <definedName name="商业公共部分装修">'比较法-商业'!$B$107:$M$107</definedName>
    <definedName name="商业基础设施水平" localSheetId="15">'[1]比较法-商业'!$B$112:$M$112</definedName>
    <definedName name="商业基础设施水平" localSheetId="13">'[1]比较法-商业'!$B$112:$M$112</definedName>
    <definedName name="商业基础设施水平" localSheetId="14">'[1]比较法-商业'!$B$112:$M$112</definedName>
    <definedName name="商业基础设施水平">'比较法-商业'!$B$112:$M$112</definedName>
    <definedName name="商业建筑结构" localSheetId="15">'[1]比较法-商业'!$B$105:$M$105</definedName>
    <definedName name="商业建筑结构" localSheetId="13">'[1]比较法-商业'!$B$105:$M$105</definedName>
    <definedName name="商业建筑结构" localSheetId="14">'[1]比较法-商业'!$B$105:$M$105</definedName>
    <definedName name="商业建筑结构">'比较法-商业'!$B$105:$M$105</definedName>
    <definedName name="商业交易情况" localSheetId="15">'[1]比较法-商业'!$A$61:$M$61</definedName>
    <definedName name="商业交易情况" localSheetId="13">'[1]比较法-商业'!$A$61:$M$61</definedName>
    <definedName name="商业交易情况" localSheetId="14">'[1]比较法-商业'!$A$61:$M$61</definedName>
    <definedName name="商业交易情况">'比较法-商业'!$A$61:$M$61</definedName>
    <definedName name="商业街名称" localSheetId="15">[1]修正!$C$59:$C$119</definedName>
    <definedName name="商业街名称" localSheetId="13">[1]修正!$C$59:$C$119</definedName>
    <definedName name="商业街名称" localSheetId="14">[1]修正!$C$59:$C$119</definedName>
    <definedName name="商业街名称">修正!$C$71:$C$138</definedName>
    <definedName name="商业进深比" localSheetId="15">'[1]比较法-商业'!$B$120:$M$120</definedName>
    <definedName name="商业进深比" localSheetId="13">'[1]比较法-商业'!$B$120:$M$120</definedName>
    <definedName name="商业进深比" localSheetId="14">'[1]比较法-商业'!$B$120:$M$120</definedName>
    <definedName name="商业进深比">'比较法-商业'!$B$120:$M$120</definedName>
    <definedName name="商业类型" localSheetId="15">'[1]比较法-商业'!$B$100:$M$100</definedName>
    <definedName name="商业类型" localSheetId="13">'[1]比较法-商业'!$B$100:$M$100</definedName>
    <definedName name="商业类型" localSheetId="14">'[1]比较法-商业'!$B$100:$M$100</definedName>
    <definedName name="商业类型">'比较法-商业'!$B$100:$M$100</definedName>
    <definedName name="商业临街状况" localSheetId="15">'[1]比较法-商业'!$B$86:$M$86</definedName>
    <definedName name="商业临街状况" localSheetId="13">'[1]比较法-商业'!$B$86:$M$86</definedName>
    <definedName name="商业临街状况" localSheetId="14">'[1]比较法-商业'!$B$86:$M$86</definedName>
    <definedName name="商业临街状况">'比较法-商业'!$B$86:$M$86</definedName>
    <definedName name="商业楼层" localSheetId="15">'[1]比较法-商业'!$B$92:$M$92</definedName>
    <definedName name="商业楼层" localSheetId="13">'[1]比较法-商业'!$B$92:$M$92</definedName>
    <definedName name="商业楼层" localSheetId="14">'[1]比较法-商业'!$B$92:$M$92</definedName>
    <definedName name="商业楼层">'比较法-商业'!$B$92:$M$92</definedName>
    <definedName name="商业内部装修" localSheetId="15">'[1]比较法-商业'!$B$122:$M$122</definedName>
    <definedName name="商业内部装修" localSheetId="13">'[1]比较法-商业'!$B$122:$M$122</definedName>
    <definedName name="商业内部装修" localSheetId="14">'[1]比较法-商业'!$B$122:$M$122</definedName>
    <definedName name="商业内部装修">'比较法-商业'!$B$122:$M$122</definedName>
    <definedName name="商业人流量" localSheetId="15">'[1]比较法-商业'!$B$90:$M$90</definedName>
    <definedName name="商业人流量" localSheetId="13">'[1]比较法-商业'!$B$90:$M$90</definedName>
    <definedName name="商业人流量" localSheetId="14">'[1]比较法-商业'!$B$90:$M$90</definedName>
    <definedName name="商业人流量">'比较法-商业'!$B$90:$M$90</definedName>
    <definedName name="商业业态" localSheetId="15">'[1]比较法-商业'!$B$114:$M$114</definedName>
    <definedName name="商业业态" localSheetId="13">'[1]比较法-商业'!$B$114:$M$114</definedName>
    <definedName name="商业业态" localSheetId="14">'[1]比较法-商业'!$B$114:$M$114</definedName>
    <definedName name="商业业态">'比较法-商业'!$B$114:$M$114</definedName>
    <definedName name="商业用途" localSheetId="15">'[1]比较法-商业'!$B$63:$M$63</definedName>
    <definedName name="商业用途" localSheetId="13">'[1]比较法-商业'!$B$63:$M$63</definedName>
    <definedName name="商业用途" localSheetId="1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5">'[1]比较法-仓储'!$B$89:$M$89</definedName>
    <definedName name="是否封闭" localSheetId="13">'[1]比较法-仓储'!$B$89:$M$89</definedName>
    <definedName name="是否封闭" localSheetId="14">'[1]比较法-仓储'!$B$89:$M$89</definedName>
    <definedName name="是否封闭">'比较法-仓储'!$B$89:$M$89</definedName>
    <definedName name="是否直接入户" localSheetId="15">'[1]比较法-车位'!$B$95:$M$95</definedName>
    <definedName name="是否直接入户" localSheetId="13">'[1]比较法-车位'!$B$95:$M$95</definedName>
    <definedName name="是否直接入户" localSheetId="14">'[1]比较法-车位'!$B$95:$M$95</definedName>
    <definedName name="是否直接入户">'比较法-车位'!$B$95:$M$95</definedName>
    <definedName name="四级">区片价!$K$1:$K$28</definedName>
    <definedName name="套工道路等级" localSheetId="15">'[1]土地比较法-工业'!$B$97:$M$97</definedName>
    <definedName name="套工道路等级" localSheetId="13">'[1]土地比较法-工业'!$B$97:$M$97</definedName>
    <definedName name="套工道路等级" localSheetId="14">'[1]土地比较法-工业'!$B$97:$M$97</definedName>
    <definedName name="套工道路等级">'土地比较法-工业'!$B$97:$M$97</definedName>
    <definedName name="套工地质条件" localSheetId="15">'[1]土地比较法-工业'!$B$114:$M$114</definedName>
    <definedName name="套工地质条件" localSheetId="13">'[1]土地比较法-工业'!$B$114:$M$114</definedName>
    <definedName name="套工地质条件" localSheetId="14">'[1]土地比较法-工业'!$B$114:$M$114</definedName>
    <definedName name="套工地质条件">'土地比较法-工业'!$B$114:$M$114</definedName>
    <definedName name="套工交易情况" localSheetId="15">'[1]土地比较法-住宅、综合'!$A$73:$M$73</definedName>
    <definedName name="套工交易情况" localSheetId="13">'[1]土地比较法-住宅、综合'!$A$73:$M$73</definedName>
    <definedName name="套工交易情况" localSheetId="14">'[1]土地比较法-住宅、综合'!$A$73:$M$73</definedName>
    <definedName name="套工交易情况">'土地比较法-住宅、综合'!$A$72:$M$72</definedName>
    <definedName name="套工土地级别" localSheetId="15">'[1]土地比较法-工业'!$B$99:$M$99</definedName>
    <definedName name="套工土地级别" localSheetId="13">'[1]土地比较法-工业'!$B$99:$M$99</definedName>
    <definedName name="套工土地级别" localSheetId="14">'[1]土地比较法-工业'!$B$99:$M$99</definedName>
    <definedName name="套工土地级别">'土地比较法-工业'!$B$99:$M$99</definedName>
    <definedName name="套工用途" localSheetId="15">'[1]土地比较法-工业'!$B$70:$M$70</definedName>
    <definedName name="套工用途" localSheetId="13">'[1]土地比较法-工业'!$B$70:$M$70</definedName>
    <definedName name="套工用途" localSheetId="14">'[1]土地比较法-工业'!$B$70:$M$70</definedName>
    <definedName name="套工用途">'土地比较法-工业'!$B$70:$M$70</definedName>
    <definedName name="套工宗地开发程度" localSheetId="15">'[1]土地比较法-工业'!$B$112:$M$112</definedName>
    <definedName name="套工宗地开发程度" localSheetId="13">'[1]土地比较法-工业'!$B$112:$M$112</definedName>
    <definedName name="套工宗地开发程度" localSheetId="14">'[1]土地比较法-工业'!$B$112:$M$112</definedName>
    <definedName name="套工宗地开发程度">'土地比较法-工业'!$B$112:$M$112</definedName>
    <definedName name="套工宗地形状" localSheetId="15">'[1]土地比较法-工业'!$B$110:$M$110</definedName>
    <definedName name="套工宗地形状" localSheetId="13">'[1]土地比较法-工业'!$B$110:$M$110</definedName>
    <definedName name="套工宗地形状" localSheetId="14">'[1]土地比较法-工业'!$B$110:$M$110</definedName>
    <definedName name="套工宗地形状">'土地比较法-工业'!$B$110:$M$110</definedName>
    <definedName name="套综道路等级" localSheetId="15">'[1]土地比较法-住宅、综合'!$B$106:$M$106</definedName>
    <definedName name="套综道路等级" localSheetId="13">'[1]土地比较法-住宅、综合'!$B$106:$M$106</definedName>
    <definedName name="套综道路等级" localSheetId="14">'[1]土地比较法-住宅、综合'!$B$106:$M$106</definedName>
    <definedName name="套综道路等级">'土地比较法-住宅、综合'!$B$105:$M$105</definedName>
    <definedName name="套综工程地质条件" localSheetId="15">'[1]土地比较法-住宅、综合'!$B$125:$M$125</definedName>
    <definedName name="套综工程地质条件" localSheetId="13">'[1]土地比较法-住宅、综合'!$B$125:$M$125</definedName>
    <definedName name="套综工程地质条件" localSheetId="14">'[1]土地比较法-住宅、综合'!$B$125:$M$125</definedName>
    <definedName name="套综工程地质条件">'土地比较法-住宅、综合'!$B$124:$M$124</definedName>
    <definedName name="套综交易情况" localSheetId="15">'[1]土地比较法-住宅、综合'!$A$73:$M$73</definedName>
    <definedName name="套综交易情况" localSheetId="13">'[1]土地比较法-住宅、综合'!$A$73:$M$73</definedName>
    <definedName name="套综交易情况" localSheetId="14">'[1]土地比较法-住宅、综合'!$A$73:$M$73</definedName>
    <definedName name="套综交易情况">'土地比较法-住宅、综合'!$A$72:$M$72</definedName>
    <definedName name="套综临街宽度及深度" localSheetId="15">'[1]土地比较法-住宅、综合'!$B$121:$M$121</definedName>
    <definedName name="套综临街宽度及深度" localSheetId="13">'[1]土地比较法-住宅、综合'!$B$121:$M$121</definedName>
    <definedName name="套综临街宽度及深度" localSheetId="14">'[1]土地比较法-住宅、综合'!$B$121:$M$121</definedName>
    <definedName name="套综临街宽度及深度">'土地比较法-住宅、综合'!$B$120:$M$120</definedName>
    <definedName name="套综土地级别" localSheetId="15">'[1]土地比较法-住宅、综合'!$B$108:$M$108</definedName>
    <definedName name="套综土地级别" localSheetId="13">'[1]土地比较法-住宅、综合'!$B$108:$M$108</definedName>
    <definedName name="套综土地级别" localSheetId="14">'[1]土地比较法-住宅、综合'!$B$108:$M$108</definedName>
    <definedName name="套综土地级别">'土地比较法-住宅、综合'!$B$107:$M$107</definedName>
    <definedName name="套综用途" localSheetId="15">'[1]土地比较法-住宅、综合'!$B$75:$M$75</definedName>
    <definedName name="套综用途" localSheetId="13">'[1]土地比较法-住宅、综合'!$B$75:$M$75</definedName>
    <definedName name="套综用途" localSheetId="14">'[1]土地比较法-住宅、综合'!$B$75:$M$75</definedName>
    <definedName name="套综用途">'土地比较法-住宅、综合'!$B$74:$M$74</definedName>
    <definedName name="套综宗地内开发程度" localSheetId="15">'[1]土地比较法-住宅、综合'!$B$123:$M$123</definedName>
    <definedName name="套综宗地内开发程度" localSheetId="13">'[1]土地比较法-住宅、综合'!$B$123:$M$123</definedName>
    <definedName name="套综宗地内开发程度" localSheetId="14">'[1]土地比较法-住宅、综合'!$B$123:$M$123</definedName>
    <definedName name="套综宗地内开发程度">'土地比较法-住宅、综合'!$B$122:$M$122</definedName>
    <definedName name="套综宗地形状" localSheetId="15">'[1]土地比较法-住宅、综合'!$B$119:$M$119</definedName>
    <definedName name="套综宗地形状" localSheetId="13">'[1]土地比较法-住宅、综合'!$B$119:$M$119</definedName>
    <definedName name="套综宗地形状" localSheetId="14">'[1]土地比较法-住宅、综合'!$B$119:$M$119</definedName>
    <definedName name="套综宗地形状">'土地比较法-住宅、综合'!$B$118:$M$118</definedName>
    <definedName name="土地估价师">估价师及机构信息!$D$3:$D$24</definedName>
    <definedName name="土地级别" localSheetId="15">[1]定义!$C$1:$C$14</definedName>
    <definedName name="土地级别" localSheetId="13">[1]定义!$C$1:$C$14</definedName>
    <definedName name="土地级别" localSheetId="14">[1]定义!$C$1:$C$14</definedName>
    <definedName name="土地级别">定义!$C$1:$C$14</definedName>
    <definedName name="土地利用方向">定义!$P$1:$P$6</definedName>
    <definedName name="土地年限区间" localSheetId="15">[1]定义!$I$1:$I$8</definedName>
    <definedName name="土地年限区间" localSheetId="13">[1]定义!$I$1:$I$8</definedName>
    <definedName name="土地年限区间" localSheetId="14">[1]定义!$I$1:$I$8</definedName>
    <definedName name="土地年限区间">定义!$I$1:$I$8</definedName>
    <definedName name="位置" localSheetId="15">[1]定义!$E$2:$E$4</definedName>
    <definedName name="位置" localSheetId="13">[1]定义!$E$2:$E$4</definedName>
    <definedName name="位置" localSheetId="14">[1]定义!$E$2:$E$4</definedName>
    <definedName name="位置">定义!$E$2:$E$4</definedName>
    <definedName name="五等判定" localSheetId="15">[1]定义!$W$1:$W$6</definedName>
    <definedName name="五等判定" localSheetId="13">[1]定义!$W$1:$W$6</definedName>
    <definedName name="五等判定" localSheetId="14">[1]定义!$W$1:$W$6</definedName>
    <definedName name="五等判定">定义!$W$1:$W$6</definedName>
    <definedName name="五级">区片价!$L$1:$L$35</definedName>
    <definedName name="项目类型" localSheetId="29">'[2]数据-汇总表'!$C$17:$C$26</definedName>
    <definedName name="项目类型" localSheetId="15">'[1]数据-汇总表'!$C$17:$C$26</definedName>
    <definedName name="项目类型" localSheetId="13">'[1]数据-汇总表'!$C$17:$C$26</definedName>
    <definedName name="项目类型" localSheetId="14">'[1]数据-汇总表'!$C$17:$C$26</definedName>
    <definedName name="项目类型">'数据-汇总表'!$C$17:$C$26</definedName>
    <definedName name="写字楼等级" localSheetId="15">'[1]比较法-办公'!$B$113:$M$113</definedName>
    <definedName name="写字楼等级" localSheetId="13">'[1]比较法-办公'!$B$113:$M$113</definedName>
    <definedName name="写字楼等级" localSheetId="14">'[1]比较法-办公'!$B$113:$M$113</definedName>
    <definedName name="写字楼等级">'比较法-办公'!$B$113:$M$113</definedName>
    <definedName name="一级">区片价!$H$1:$H$6</definedName>
    <definedName name="一修多修正项2" localSheetId="15">[1]典型户型修正!$5:$5</definedName>
    <definedName name="一修多修正项2" localSheetId="13">[1]典型户型修正!$5:$5</definedName>
    <definedName name="一修多修正项2" localSheetId="14">[1]典型户型修正!$5:$5</definedName>
    <definedName name="一修多修正项2">典型户型修正!$5:$5</definedName>
    <definedName name="一修多修正项3" localSheetId="15">[1]典型户型修正!$7:$7</definedName>
    <definedName name="一修多修正项3" localSheetId="13">[1]典型户型修正!$7:$7</definedName>
    <definedName name="一修多修正项3" localSheetId="14">[1]典型户型修正!$7:$7</definedName>
    <definedName name="一修多修正项3">典型户型修正!$7:$7</definedName>
    <definedName name="一修多修正项4" localSheetId="15">[1]典型户型修正!$9:$9</definedName>
    <definedName name="一修多修正项4" localSheetId="13">[1]典型户型修正!$9:$9</definedName>
    <definedName name="一修多修正项4" localSheetId="14">[1]典型户型修正!$9:$9</definedName>
    <definedName name="一修多修正项4">典型户型修正!$9:$9</definedName>
    <definedName name="一修多修正项5" localSheetId="15">[1]典型户型修正!$11:$11</definedName>
    <definedName name="一修多修正项5" localSheetId="13">[1]典型户型修正!$11:$11</definedName>
    <definedName name="一修多修正项5" localSheetId="14">[1]典型户型修正!$11:$11</definedName>
    <definedName name="一修多修正项5">典型户型修正!$11:$11</definedName>
    <definedName name="一修多修正项6" localSheetId="15">[1]典型户型修正!$13:$13</definedName>
    <definedName name="一修多修正项6" localSheetId="13">[1]典型户型修正!$13:$13</definedName>
    <definedName name="一修多修正项6" localSheetId="14">[1]典型户型修正!$13:$13</definedName>
    <definedName name="一修多修正项6">典型户型修正!$13:$13</definedName>
    <definedName name="一修多修正项7" localSheetId="15">[1]典型户型修正!$15:$15</definedName>
    <definedName name="一修多修正项7" localSheetId="13">[1]典型户型修正!$15:$15</definedName>
    <definedName name="一修多修正项7" localSheetId="14">[1]典型户型修正!$15:$15</definedName>
    <definedName name="一修多修正项7">典型户型修正!$15:$15</definedName>
    <definedName name="一修多修正项8" localSheetId="15">[1]典型户型修正!$17:$17</definedName>
    <definedName name="一修多修正项8" localSheetId="13">[1]典型户型修正!$17:$17</definedName>
    <definedName name="一修多修正项8" localSheetId="14">[1]典型户型修正!$17:$17</definedName>
    <definedName name="一修多修正项8">典型户型修正!$17:$17</definedName>
    <definedName name="用途明细" localSheetId="15">[1]定义!$A$1:$A$50</definedName>
    <definedName name="用途明细" localSheetId="13">[1]定义!$A$1:$A$50</definedName>
    <definedName name="用途明细" localSheetId="14">[1]定义!$A$1:$A$50</definedName>
    <definedName name="用途明细">定义!$A$1:$A$50</definedName>
    <definedName name="有无电梯" localSheetId="15">'[1]比较法-仓储'!$B$84:$M$84</definedName>
    <definedName name="有无电梯" localSheetId="13">'[1]比较法-仓储'!$B$84:$M$84</definedName>
    <definedName name="有无电梯" localSheetId="14">'[1]比较法-仓储'!$B$84:$M$84</definedName>
    <definedName name="有无电梯">'比较法-仓储'!$B$84:$M$84</definedName>
    <definedName name="主用途" localSheetId="15">[1]定义!$F$1:$F$10</definedName>
    <definedName name="主用途" localSheetId="13">[1]定义!$F$1:$F$10</definedName>
    <definedName name="主用途" localSheetId="14">[1]定义!$F$1:$F$10</definedName>
    <definedName name="主用途">定义!$F$1:$F$10</definedName>
    <definedName name="住宅朝向" localSheetId="15">'[1]比较法-住宅'!$B$88:$M$88</definedName>
    <definedName name="住宅朝向" localSheetId="13">'[1]比较法-住宅'!$B$88:$M$88</definedName>
    <definedName name="住宅朝向" localSheetId="14">'[1]比较法-住宅'!$B$88:$M$88</definedName>
    <definedName name="住宅朝向">'比较法-住宅'!$B$88:$M$88</definedName>
    <definedName name="住宅房型" localSheetId="15">'[1]比较法-住宅'!$B$118:$M$118</definedName>
    <definedName name="住宅房型" localSheetId="13">'[1]比较法-住宅'!$B$118:$M$118</definedName>
    <definedName name="住宅房型" localSheetId="14">'[1]比较法-住宅'!$B$118:$M$118</definedName>
    <definedName name="住宅房型">'比较法-住宅'!$B$118:$M$118</definedName>
    <definedName name="住宅公共部分装修" localSheetId="15">'[1]比较法-住宅'!$B$109:$M$109</definedName>
    <definedName name="住宅公共部分装修" localSheetId="13">'[1]比较法-住宅'!$B$109:$M$109</definedName>
    <definedName name="住宅公共部分装修" localSheetId="14">'[1]比较法-住宅'!$B$109:$M$109</definedName>
    <definedName name="住宅公共部分装修">'比较法-住宅'!$B$109:$M$109</definedName>
    <definedName name="住宅基础设施水平" localSheetId="15">'[1]比较法-住宅'!$B$116:$M$116</definedName>
    <definedName name="住宅基础设施水平" localSheetId="13">'[1]比较法-住宅'!$B$116:$M$116</definedName>
    <definedName name="住宅基础设施水平" localSheetId="14">'[1]比较法-住宅'!$B$116:$M$116</definedName>
    <definedName name="住宅基础设施水平">'比较法-住宅'!$B$116:$M$116</definedName>
    <definedName name="住宅建筑结构" localSheetId="15">'[1]比较法-住宅'!$B$105:$M$105</definedName>
    <definedName name="住宅建筑结构" localSheetId="13">'[1]比较法-住宅'!$B$105:$M$105</definedName>
    <definedName name="住宅建筑结构" localSheetId="14">'[1]比较法-住宅'!$B$105:$M$105</definedName>
    <definedName name="住宅建筑结构">'比较法-住宅'!$B$105:$M$105</definedName>
    <definedName name="住宅建筑类型" localSheetId="15">'[1]比较法-住宅'!$B$100:$M$100</definedName>
    <definedName name="住宅建筑类型" localSheetId="13">'[1]比较法-住宅'!$B$100:$M$100</definedName>
    <definedName name="住宅建筑类型" localSheetId="14">'[1]比较法-住宅'!$B$100:$M$100</definedName>
    <definedName name="住宅建筑类型">'比较法-住宅'!$B$100:$M$100</definedName>
    <definedName name="住宅建筑品质" localSheetId="15">'[1]比较法-住宅'!$B$107:$M$107</definedName>
    <definedName name="住宅建筑品质" localSheetId="13">'[1]比较法-住宅'!$B$107:$M$107</definedName>
    <definedName name="住宅建筑品质" localSheetId="14">'[1]比较法-住宅'!$B$107:$M$107</definedName>
    <definedName name="住宅建筑品质">'比较法-住宅'!$B$107:$M$107</definedName>
    <definedName name="住宅交易情况" localSheetId="15">'[1]比较法-住宅'!$A$61:$M$61</definedName>
    <definedName name="住宅交易情况" localSheetId="13">'[1]比较法-住宅'!$A$61:$M$61</definedName>
    <definedName name="住宅交易情况" localSheetId="14">'[1]比较法-住宅'!$A$61:$M$61</definedName>
    <definedName name="住宅交易情况">'比较法-住宅'!$A$61:$M$61</definedName>
    <definedName name="住宅楼层" localSheetId="15">'[1]比较法-住宅'!$B$86:$M$86</definedName>
    <definedName name="住宅楼层" localSheetId="13">'[1]比较法-住宅'!$B$86:$M$86</definedName>
    <definedName name="住宅楼层" localSheetId="14">'[1]比较法-住宅'!$B$86:$M$86</definedName>
    <definedName name="住宅楼层">'比较法-住宅'!$B$86:$M$86</definedName>
    <definedName name="住宅内部装修" localSheetId="15">'[1]比较法-住宅'!$B$122:$M$122</definedName>
    <definedName name="住宅内部装修" localSheetId="13">'[1]比较法-住宅'!$B$122:$M$122</definedName>
    <definedName name="住宅内部装修" localSheetId="14">'[1]比较法-住宅'!$B$122:$M$122</definedName>
    <definedName name="住宅内部装修">'比较法-住宅'!$B$122:$M$122</definedName>
    <definedName name="住宅物业管理" localSheetId="15">'[1]比较法-住宅'!$B$114:$M$114</definedName>
    <definedName name="住宅物业管理" localSheetId="13">'[1]比较法-住宅'!$B$114:$M$114</definedName>
    <definedName name="住宅物业管理" localSheetId="14">'[1]比较法-住宅'!$B$114:$M$114</definedName>
    <definedName name="住宅物业管理">'比较法-住宅'!$B$114:$M$114</definedName>
    <definedName name="住宅用途" localSheetId="15">'[1]比较法-住宅'!$B$63:$M$63</definedName>
    <definedName name="住宅用途" localSheetId="13">'[1]比较法-住宅'!$B$63:$M$63</definedName>
    <definedName name="住宅用途" localSheetId="14">'[1]比较法-住宅'!$B$63:$M$63</definedName>
    <definedName name="住宅用途">'比较法-住宅'!$B$63:$M$63</definedName>
    <definedName name="住宅主力户型面积">'比较法-住宅'!$B$120:$M$120</definedName>
    <definedName name="注册房地产估价师" localSheetId="15">[1]估价师及机构信息!$A$3:$A$24</definedName>
    <definedName name="注册房地产估价师" localSheetId="13">[1]估价师及机构信息!$A$3:$A$24</definedName>
    <definedName name="注册房地产估价师" localSheetId="14">[1]估价师及机构信息!$A$3:$A$24</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7" i="1" l="1"/>
  <c r="G46" i="39" l="1"/>
  <c r="M168" i="79"/>
  <c r="N168" i="79"/>
  <c r="V26" i="1"/>
  <c r="AB19" i="1"/>
  <c r="X19" i="1"/>
  <c r="W19" i="1"/>
  <c r="I46" i="39"/>
  <c r="I38" i="39"/>
  <c r="I7" i="39"/>
  <c r="I5" i="39"/>
  <c r="G38" i="39"/>
  <c r="G7" i="39"/>
  <c r="G5" i="39"/>
  <c r="E46" i="39"/>
  <c r="E38" i="39"/>
  <c r="E7" i="39"/>
  <c r="E5" i="39"/>
  <c r="D70" i="39"/>
  <c r="E70" i="39" s="1"/>
  <c r="F70" i="39" s="1"/>
  <c r="G70" i="39" s="1"/>
  <c r="H70" i="39" s="1"/>
  <c r="I70" i="39" s="1"/>
  <c r="J70" i="39" s="1"/>
  <c r="K70" i="39" s="1"/>
  <c r="L70" i="39" s="1"/>
  <c r="M70" i="39" s="1"/>
  <c r="Q72" i="83"/>
  <c r="Q59" i="83"/>
  <c r="K59" i="83"/>
  <c r="P74" i="83" s="1"/>
  <c r="F59" i="83"/>
  <c r="Q58" i="83"/>
  <c r="Q51" i="83"/>
  <c r="J50" i="83"/>
  <c r="M47" i="83"/>
  <c r="D46" i="83"/>
  <c r="F33" i="83"/>
  <c r="F61" i="83" s="1"/>
  <c r="F31" i="83"/>
  <c r="D24" i="83"/>
  <c r="F23" i="83"/>
  <c r="D22" i="83" s="1"/>
  <c r="D23" i="83"/>
  <c r="F21" i="83"/>
  <c r="F20" i="83"/>
  <c r="M19" i="83"/>
  <c r="F18" i="83"/>
  <c r="M17" i="83"/>
  <c r="F17" i="83"/>
  <c r="F15" i="83"/>
  <c r="Y6" i="1"/>
  <c r="N6" i="1"/>
  <c r="N7" i="1" s="1"/>
  <c r="Y7" i="1" s="1"/>
  <c r="G20" i="6"/>
  <c r="K25" i="3"/>
  <c r="I14" i="3"/>
  <c r="I15" i="3"/>
  <c r="I16" i="3"/>
  <c r="I17" i="3"/>
  <c r="I18" i="3"/>
  <c r="I19" i="3"/>
  <c r="I20" i="3"/>
  <c r="I21" i="3"/>
  <c r="I22" i="3"/>
  <c r="I23" i="3"/>
  <c r="I24" i="3"/>
  <c r="I13" i="3"/>
  <c r="C23" i="3"/>
  <c r="C24" i="3"/>
  <c r="C25" i="3"/>
  <c r="C14" i="3"/>
  <c r="C15" i="3"/>
  <c r="C16" i="3"/>
  <c r="C17" i="3"/>
  <c r="C18" i="3"/>
  <c r="C19" i="3"/>
  <c r="C20" i="3"/>
  <c r="C21" i="3"/>
  <c r="C22" i="3"/>
  <c r="C13" i="3"/>
  <c r="A3" i="3"/>
  <c r="D3" i="4"/>
  <c r="G230" i="80"/>
  <c r="F230" i="80"/>
  <c r="L229" i="80"/>
  <c r="L228" i="80"/>
  <c r="L227" i="80"/>
  <c r="L226" i="80"/>
  <c r="L225" i="80"/>
  <c r="L224" i="80"/>
  <c r="L223" i="80"/>
  <c r="L222" i="80"/>
  <c r="L221" i="80"/>
  <c r="L220" i="80"/>
  <c r="L219" i="80"/>
  <c r="L218" i="80"/>
  <c r="L217" i="80"/>
  <c r="L216" i="80"/>
  <c r="L215" i="80"/>
  <c r="L214" i="80"/>
  <c r="L213" i="80"/>
  <c r="L212" i="80"/>
  <c r="L211" i="80"/>
  <c r="L210" i="80"/>
  <c r="L209" i="80"/>
  <c r="L208" i="80"/>
  <c r="L207" i="80"/>
  <c r="L206" i="80"/>
  <c r="L205" i="80"/>
  <c r="L204" i="80"/>
  <c r="L203" i="80"/>
  <c r="L202" i="80"/>
  <c r="L201" i="80"/>
  <c r="L200" i="80"/>
  <c r="L199" i="80"/>
  <c r="L198" i="80"/>
  <c r="L197" i="80"/>
  <c r="L196" i="80"/>
  <c r="L195" i="80"/>
  <c r="L194" i="80"/>
  <c r="L193" i="80"/>
  <c r="L192" i="80"/>
  <c r="L191" i="80"/>
  <c r="L190" i="80"/>
  <c r="L189" i="80"/>
  <c r="L188" i="80"/>
  <c r="L187" i="80"/>
  <c r="L186" i="80"/>
  <c r="L185" i="80"/>
  <c r="L184" i="80"/>
  <c r="L183" i="80"/>
  <c r="L182" i="80"/>
  <c r="L181" i="80"/>
  <c r="L180" i="80"/>
  <c r="L179" i="80"/>
  <c r="L178" i="80"/>
  <c r="L177" i="80"/>
  <c r="L176" i="80"/>
  <c r="L175" i="80"/>
  <c r="L174" i="80"/>
  <c r="S173" i="80"/>
  <c r="L173" i="80"/>
  <c r="S172" i="80"/>
  <c r="L172" i="80"/>
  <c r="S171" i="80"/>
  <c r="L171" i="80"/>
  <c r="S170" i="80"/>
  <c r="L170" i="80"/>
  <c r="S169" i="80"/>
  <c r="L169" i="80"/>
  <c r="S168" i="80"/>
  <c r="L168" i="80"/>
  <c r="S167" i="80"/>
  <c r="L167" i="80"/>
  <c r="S166" i="80"/>
  <c r="L166" i="80"/>
  <c r="S165" i="80"/>
  <c r="L165" i="80"/>
  <c r="S164" i="80"/>
  <c r="L164" i="80"/>
  <c r="S163" i="80"/>
  <c r="L163" i="80"/>
  <c r="S162" i="80"/>
  <c r="L162" i="80"/>
  <c r="S161" i="80"/>
  <c r="L161" i="80"/>
  <c r="S160" i="80"/>
  <c r="L160" i="80"/>
  <c r="S159" i="80"/>
  <c r="L159" i="80"/>
  <c r="S158" i="80"/>
  <c r="L158" i="80"/>
  <c r="S157" i="80"/>
  <c r="L157" i="80"/>
  <c r="S156" i="80"/>
  <c r="L156" i="80"/>
  <c r="S155" i="80"/>
  <c r="L155" i="80"/>
  <c r="S154" i="80"/>
  <c r="L154" i="80"/>
  <c r="S153" i="80"/>
  <c r="L153" i="80"/>
  <c r="S152" i="80"/>
  <c r="L152" i="80"/>
  <c r="S151" i="80"/>
  <c r="L151" i="80"/>
  <c r="S150" i="80"/>
  <c r="L150" i="80"/>
  <c r="S149" i="80"/>
  <c r="L149" i="80"/>
  <c r="S148" i="80"/>
  <c r="L148" i="80"/>
  <c r="S147" i="80"/>
  <c r="L147" i="80"/>
  <c r="S146" i="80"/>
  <c r="L146" i="80"/>
  <c r="S145" i="80"/>
  <c r="L145" i="80"/>
  <c r="S144" i="80"/>
  <c r="L144" i="80"/>
  <c r="S143" i="80"/>
  <c r="L143" i="80"/>
  <c r="S142" i="80"/>
  <c r="L142" i="80"/>
  <c r="S141" i="80"/>
  <c r="L141" i="80"/>
  <c r="S140" i="80"/>
  <c r="L140" i="80"/>
  <c r="S139" i="80"/>
  <c r="L139" i="80"/>
  <c r="S138" i="80"/>
  <c r="L138" i="80"/>
  <c r="S137" i="80"/>
  <c r="L137" i="80"/>
  <c r="S136" i="80"/>
  <c r="L136" i="80"/>
  <c r="S135" i="80"/>
  <c r="L135" i="80"/>
  <c r="S134" i="80"/>
  <c r="L134" i="80"/>
  <c r="S133" i="80"/>
  <c r="L133" i="80"/>
  <c r="S132" i="80"/>
  <c r="L132" i="80"/>
  <c r="S131" i="80"/>
  <c r="L131" i="80"/>
  <c r="S130" i="80"/>
  <c r="L130" i="80"/>
  <c r="S129" i="80"/>
  <c r="L129" i="80"/>
  <c r="S128" i="80"/>
  <c r="L128" i="80"/>
  <c r="S127" i="80"/>
  <c r="L127" i="80"/>
  <c r="S126" i="80"/>
  <c r="L126" i="80"/>
  <c r="S125" i="80"/>
  <c r="L125" i="80"/>
  <c r="S124" i="80"/>
  <c r="L124" i="80"/>
  <c r="S123" i="80"/>
  <c r="L123" i="80"/>
  <c r="S122" i="80"/>
  <c r="L122" i="80"/>
  <c r="S121" i="80"/>
  <c r="L121" i="80"/>
  <c r="S120" i="80"/>
  <c r="L120" i="80"/>
  <c r="S119" i="80"/>
  <c r="L119" i="80"/>
  <c r="S118" i="80"/>
  <c r="L118" i="80"/>
  <c r="S117" i="80"/>
  <c r="L117" i="80"/>
  <c r="S116" i="80"/>
  <c r="L116" i="80"/>
  <c r="S115" i="80"/>
  <c r="L115" i="80"/>
  <c r="S114" i="80"/>
  <c r="L114" i="80"/>
  <c r="S113" i="80"/>
  <c r="L113" i="80"/>
  <c r="S112" i="80"/>
  <c r="L112" i="80"/>
  <c r="S111" i="80"/>
  <c r="L111" i="80"/>
  <c r="S110" i="80"/>
  <c r="L110" i="80"/>
  <c r="S109" i="80"/>
  <c r="L109" i="80"/>
  <c r="S108" i="80"/>
  <c r="L108" i="80"/>
  <c r="S107" i="80"/>
  <c r="L107" i="80"/>
  <c r="S106" i="80"/>
  <c r="L106" i="80"/>
  <c r="S105" i="80"/>
  <c r="L105" i="80"/>
  <c r="S104" i="80"/>
  <c r="L104" i="80"/>
  <c r="S103" i="80"/>
  <c r="L103" i="80"/>
  <c r="S102" i="80"/>
  <c r="L102" i="80"/>
  <c r="S101" i="80"/>
  <c r="L101" i="80"/>
  <c r="S100" i="80"/>
  <c r="L100" i="80"/>
  <c r="S99" i="80"/>
  <c r="L99" i="80"/>
  <c r="S98" i="80"/>
  <c r="L98" i="80"/>
  <c r="S97" i="80"/>
  <c r="L97" i="80"/>
  <c r="S96" i="80"/>
  <c r="L96" i="80"/>
  <c r="S95" i="80"/>
  <c r="L95" i="80"/>
  <c r="S94" i="80"/>
  <c r="L94" i="80"/>
  <c r="S93" i="80"/>
  <c r="L93" i="80"/>
  <c r="S92" i="80"/>
  <c r="L92" i="80"/>
  <c r="S91" i="80"/>
  <c r="L91" i="80"/>
  <c r="S90" i="80"/>
  <c r="L90" i="80"/>
  <c r="S89" i="80"/>
  <c r="L89" i="80"/>
  <c r="S88" i="80"/>
  <c r="L88" i="80"/>
  <c r="S87" i="80"/>
  <c r="L87" i="80"/>
  <c r="S86" i="80"/>
  <c r="L86" i="80"/>
  <c r="S85" i="80"/>
  <c r="L85" i="80"/>
  <c r="S84" i="80"/>
  <c r="L84" i="80"/>
  <c r="S83" i="80"/>
  <c r="L83" i="80"/>
  <c r="S82" i="80"/>
  <c r="L82" i="80"/>
  <c r="S81" i="80"/>
  <c r="L81" i="80"/>
  <c r="S80" i="80"/>
  <c r="L80" i="80"/>
  <c r="S79" i="80"/>
  <c r="L79" i="80"/>
  <c r="S78" i="80"/>
  <c r="L78" i="80"/>
  <c r="S77" i="80"/>
  <c r="L77" i="80"/>
  <c r="S76" i="80"/>
  <c r="L76" i="80"/>
  <c r="S75" i="80"/>
  <c r="L75" i="80"/>
  <c r="S74" i="80"/>
  <c r="L74" i="80"/>
  <c r="S73" i="80"/>
  <c r="L73" i="80"/>
  <c r="S72" i="80"/>
  <c r="L72" i="80"/>
  <c r="S71" i="80"/>
  <c r="L71" i="80"/>
  <c r="S70" i="80"/>
  <c r="L70" i="80"/>
  <c r="S69" i="80"/>
  <c r="L69" i="80"/>
  <c r="S68" i="80"/>
  <c r="L68" i="80"/>
  <c r="S67" i="80"/>
  <c r="L67" i="80"/>
  <c r="S66" i="80"/>
  <c r="L66" i="80"/>
  <c r="S65" i="80"/>
  <c r="L65" i="80"/>
  <c r="S64" i="80"/>
  <c r="L64" i="80"/>
  <c r="S63" i="80"/>
  <c r="L63" i="80"/>
  <c r="S62" i="80"/>
  <c r="L62" i="80"/>
  <c r="S61" i="80"/>
  <c r="L61" i="80"/>
  <c r="S60" i="80"/>
  <c r="L60" i="80"/>
  <c r="S59" i="80"/>
  <c r="L59" i="80"/>
  <c r="S58" i="80"/>
  <c r="L58" i="80"/>
  <c r="S57" i="80"/>
  <c r="L57" i="80"/>
  <c r="S56" i="80"/>
  <c r="L56" i="80"/>
  <c r="S55" i="80"/>
  <c r="L55" i="80"/>
  <c r="S54" i="80"/>
  <c r="L54" i="80"/>
  <c r="S53" i="80"/>
  <c r="L53" i="80"/>
  <c r="S52" i="80"/>
  <c r="L52" i="80"/>
  <c r="S51" i="80"/>
  <c r="L51" i="80"/>
  <c r="S50" i="80"/>
  <c r="L50" i="80"/>
  <c r="S49" i="80"/>
  <c r="L49" i="80"/>
  <c r="S48" i="80"/>
  <c r="L48" i="80"/>
  <c r="S47" i="80"/>
  <c r="L47" i="80"/>
  <c r="S46" i="80"/>
  <c r="L46" i="80"/>
  <c r="S45" i="80"/>
  <c r="L45" i="80"/>
  <c r="S44" i="80"/>
  <c r="L44" i="80"/>
  <c r="S43" i="80"/>
  <c r="L43" i="80"/>
  <c r="S42" i="80"/>
  <c r="L42" i="80"/>
  <c r="S41" i="80"/>
  <c r="L41" i="80"/>
  <c r="S40" i="80"/>
  <c r="L40" i="80"/>
  <c r="S39" i="80"/>
  <c r="L39" i="80"/>
  <c r="S38" i="80"/>
  <c r="L38" i="80"/>
  <c r="S37" i="80"/>
  <c r="L37" i="80"/>
  <c r="S36" i="80"/>
  <c r="L36" i="80"/>
  <c r="S35" i="80"/>
  <c r="L35" i="80"/>
  <c r="L34" i="80"/>
  <c r="S33" i="80"/>
  <c r="L33" i="80"/>
  <c r="S32" i="80"/>
  <c r="L32" i="80"/>
  <c r="S31" i="80"/>
  <c r="L31" i="80"/>
  <c r="S30" i="80"/>
  <c r="L30" i="80"/>
  <c r="S29" i="80"/>
  <c r="L29" i="80"/>
  <c r="S28" i="80"/>
  <c r="L28" i="80"/>
  <c r="S27" i="80"/>
  <c r="L27" i="80"/>
  <c r="S26" i="80"/>
  <c r="L26" i="80"/>
  <c r="S25" i="80"/>
  <c r="L25" i="80"/>
  <c r="S24" i="80"/>
  <c r="L24" i="80"/>
  <c r="S23" i="80"/>
  <c r="L23" i="80"/>
  <c r="S22" i="80"/>
  <c r="L22" i="80"/>
  <c r="S21" i="80"/>
  <c r="L21" i="80"/>
  <c r="S20" i="80"/>
  <c r="L20" i="80"/>
  <c r="S19" i="80"/>
  <c r="L19" i="80"/>
  <c r="S18" i="80"/>
  <c r="L18" i="80"/>
  <c r="S17" i="80"/>
  <c r="L17" i="80"/>
  <c r="S16" i="80"/>
  <c r="L16" i="80"/>
  <c r="S15" i="80"/>
  <c r="L15" i="80"/>
  <c r="S14" i="80"/>
  <c r="L14" i="80"/>
  <c r="S13" i="80"/>
  <c r="L13" i="80"/>
  <c r="S12" i="80"/>
  <c r="L12" i="80"/>
  <c r="S11" i="80"/>
  <c r="L11" i="80"/>
  <c r="S10" i="80"/>
  <c r="L10" i="80"/>
  <c r="S9" i="80"/>
  <c r="L9" i="80"/>
  <c r="S8" i="80"/>
  <c r="L8" i="80"/>
  <c r="S7" i="80"/>
  <c r="L7" i="80"/>
  <c r="S6" i="80"/>
  <c r="L6" i="80"/>
  <c r="S5" i="80"/>
  <c r="L5" i="80"/>
  <c r="S4" i="80"/>
  <c r="L4" i="80"/>
  <c r="S3" i="80"/>
  <c r="L3" i="80"/>
  <c r="S2" i="80"/>
  <c r="L2" i="80"/>
  <c r="T1" i="80"/>
  <c r="C216" i="79"/>
  <c r="E216" i="79" s="1"/>
  <c r="N169" i="79"/>
  <c r="F167" i="79"/>
  <c r="D165" i="79"/>
  <c r="C165" i="79"/>
  <c r="K164" i="79"/>
  <c r="H164" i="79"/>
  <c r="K163" i="79"/>
  <c r="H163" i="79"/>
  <c r="K162" i="79"/>
  <c r="H162" i="79"/>
  <c r="K161" i="79"/>
  <c r="H161" i="79"/>
  <c r="H160" i="79"/>
  <c r="K159" i="79"/>
  <c r="H159" i="79"/>
  <c r="H158" i="79"/>
  <c r="K157" i="79"/>
  <c r="H157" i="79"/>
  <c r="H156" i="79"/>
  <c r="K155" i="79"/>
  <c r="H155" i="79"/>
  <c r="H154" i="79"/>
  <c r="D153" i="79"/>
  <c r="C153" i="79"/>
  <c r="K152" i="79"/>
  <c r="H152" i="79"/>
  <c r="K151" i="79"/>
  <c r="H151" i="79"/>
  <c r="K150" i="79"/>
  <c r="H150" i="79"/>
  <c r="K149" i="79"/>
  <c r="H149" i="79"/>
  <c r="H148" i="79"/>
  <c r="K147" i="79"/>
  <c r="H147" i="79"/>
  <c r="H146" i="79"/>
  <c r="K145" i="79"/>
  <c r="K153" i="79" s="1"/>
  <c r="H145" i="79"/>
  <c r="H144" i="79"/>
  <c r="K143" i="79"/>
  <c r="H143" i="79"/>
  <c r="H142" i="79"/>
  <c r="D141" i="79"/>
  <c r="C141" i="79"/>
  <c r="K140" i="79"/>
  <c r="H140" i="79"/>
  <c r="K139" i="79"/>
  <c r="H139" i="79"/>
  <c r="K138" i="79"/>
  <c r="H138" i="79"/>
  <c r="K137" i="79"/>
  <c r="H137" i="79"/>
  <c r="H136" i="79"/>
  <c r="K135" i="79"/>
  <c r="H135" i="79"/>
  <c r="H134" i="79"/>
  <c r="K133" i="79"/>
  <c r="H133" i="79"/>
  <c r="H132" i="79"/>
  <c r="K131" i="79"/>
  <c r="H131" i="79"/>
  <c r="H130" i="79"/>
  <c r="E129" i="79"/>
  <c r="D129" i="79"/>
  <c r="C129" i="79"/>
  <c r="K128" i="79"/>
  <c r="H128" i="79"/>
  <c r="K127" i="79"/>
  <c r="H127" i="79"/>
  <c r="K126" i="79"/>
  <c r="H126" i="79"/>
  <c r="K125" i="79"/>
  <c r="H125" i="79"/>
  <c r="H124" i="79"/>
  <c r="K123" i="79"/>
  <c r="H123" i="79"/>
  <c r="H122" i="79"/>
  <c r="K121" i="79"/>
  <c r="H121" i="79"/>
  <c r="H120" i="79"/>
  <c r="K119" i="79"/>
  <c r="K129" i="79" s="1"/>
  <c r="H119" i="79"/>
  <c r="H118" i="79"/>
  <c r="E117" i="79"/>
  <c r="D117" i="79"/>
  <c r="K116" i="79"/>
  <c r="H116" i="79"/>
  <c r="K115" i="79"/>
  <c r="C115" i="79"/>
  <c r="H115" i="79" s="1"/>
  <c r="K114" i="79"/>
  <c r="C114" i="79"/>
  <c r="H114" i="79" s="1"/>
  <c r="K113" i="79"/>
  <c r="H113" i="79"/>
  <c r="C112" i="79"/>
  <c r="H112" i="79" s="1"/>
  <c r="K111" i="79"/>
  <c r="H111" i="79"/>
  <c r="H110" i="79"/>
  <c r="K109" i="79"/>
  <c r="H109" i="79"/>
  <c r="H108" i="79"/>
  <c r="K107" i="79"/>
  <c r="K117" i="79" s="1"/>
  <c r="C107" i="79"/>
  <c r="H107" i="79" s="1"/>
  <c r="H106" i="79"/>
  <c r="C106" i="79"/>
  <c r="E105" i="79"/>
  <c r="D105" i="79"/>
  <c r="C105" i="79"/>
  <c r="K104" i="79"/>
  <c r="H104" i="79"/>
  <c r="K103" i="79"/>
  <c r="H103" i="79"/>
  <c r="K102" i="79"/>
  <c r="H102" i="79"/>
  <c r="K101" i="79"/>
  <c r="H101" i="79"/>
  <c r="H100" i="79"/>
  <c r="K99" i="79"/>
  <c r="H99" i="79"/>
  <c r="H98" i="79"/>
  <c r="K97" i="79"/>
  <c r="H97" i="79"/>
  <c r="H96" i="79"/>
  <c r="K95" i="79"/>
  <c r="H95" i="79"/>
  <c r="H94" i="79"/>
  <c r="E93" i="79"/>
  <c r="D93" i="79"/>
  <c r="K92" i="79"/>
  <c r="H92" i="79"/>
  <c r="K91" i="79"/>
  <c r="H91" i="79"/>
  <c r="K90" i="79"/>
  <c r="H90" i="79"/>
  <c r="K89" i="79"/>
  <c r="H89" i="79"/>
  <c r="H88" i="79"/>
  <c r="K87" i="79"/>
  <c r="K85" i="79"/>
  <c r="K83" i="79"/>
  <c r="E81" i="79"/>
  <c r="D81" i="79"/>
  <c r="K80" i="79"/>
  <c r="K79" i="79"/>
  <c r="K78" i="79"/>
  <c r="K77" i="79"/>
  <c r="K75" i="79"/>
  <c r="K73" i="79"/>
  <c r="K71" i="79"/>
  <c r="C70" i="79"/>
  <c r="C82" i="79" s="1"/>
  <c r="E69" i="79"/>
  <c r="D69" i="79"/>
  <c r="C69" i="79"/>
  <c r="K68" i="79"/>
  <c r="H68" i="79"/>
  <c r="K67" i="79"/>
  <c r="H67" i="79"/>
  <c r="K66" i="79"/>
  <c r="H66" i="79"/>
  <c r="K65" i="79"/>
  <c r="H65" i="79"/>
  <c r="H64" i="79"/>
  <c r="K63" i="79"/>
  <c r="H63" i="79"/>
  <c r="H62" i="79"/>
  <c r="K61" i="79"/>
  <c r="H61" i="79"/>
  <c r="H60" i="79"/>
  <c r="K59" i="79"/>
  <c r="H59" i="79"/>
  <c r="H58" i="79"/>
  <c r="E57" i="79"/>
  <c r="D57" i="79"/>
  <c r="C57" i="79"/>
  <c r="K56" i="79"/>
  <c r="H56" i="79"/>
  <c r="K55" i="79"/>
  <c r="H55" i="79"/>
  <c r="K54" i="79"/>
  <c r="H54" i="79"/>
  <c r="K53" i="79"/>
  <c r="H53" i="79"/>
  <c r="H52" i="79"/>
  <c r="K51" i="79"/>
  <c r="H51" i="79"/>
  <c r="H50" i="79"/>
  <c r="K49" i="79"/>
  <c r="H49" i="79"/>
  <c r="H48" i="79"/>
  <c r="K47" i="79"/>
  <c r="K57" i="79" s="1"/>
  <c r="H47" i="79"/>
  <c r="H46" i="79"/>
  <c r="E45" i="79"/>
  <c r="D45" i="79"/>
  <c r="C45" i="79"/>
  <c r="K44" i="79"/>
  <c r="H44" i="79"/>
  <c r="K43" i="79"/>
  <c r="H43" i="79"/>
  <c r="K42" i="79"/>
  <c r="H42" i="79"/>
  <c r="K41" i="79"/>
  <c r="H41" i="79"/>
  <c r="H40" i="79"/>
  <c r="K39" i="79"/>
  <c r="H39" i="79"/>
  <c r="H38" i="79"/>
  <c r="K37" i="79"/>
  <c r="H37" i="79"/>
  <c r="H36" i="79"/>
  <c r="K35" i="79"/>
  <c r="H35" i="79"/>
  <c r="H34" i="79"/>
  <c r="E33" i="79"/>
  <c r="D33" i="79"/>
  <c r="C33" i="79"/>
  <c r="K32" i="79"/>
  <c r="H32" i="79"/>
  <c r="K31" i="79"/>
  <c r="H31" i="79"/>
  <c r="K30" i="79"/>
  <c r="H30" i="79"/>
  <c r="K29" i="79"/>
  <c r="H29" i="79"/>
  <c r="H28" i="79"/>
  <c r="K27" i="79"/>
  <c r="H27" i="79"/>
  <c r="H26" i="79"/>
  <c r="K25" i="79"/>
  <c r="H25" i="79"/>
  <c r="H24" i="79"/>
  <c r="K23" i="79"/>
  <c r="H23" i="79"/>
  <c r="H22" i="79"/>
  <c r="H33" i="79" s="1"/>
  <c r="J17" i="79"/>
  <c r="H17" i="79"/>
  <c r="F17" i="79"/>
  <c r="E17" i="79"/>
  <c r="D17" i="79"/>
  <c r="C17" i="79"/>
  <c r="B16" i="79"/>
  <c r="B15" i="79"/>
  <c r="B14" i="79"/>
  <c r="B13" i="79"/>
  <c r="B12" i="79"/>
  <c r="G11" i="79"/>
  <c r="B11" i="79"/>
  <c r="G10" i="79"/>
  <c r="B10" i="79"/>
  <c r="G9" i="79"/>
  <c r="B9" i="79"/>
  <c r="I8" i="79"/>
  <c r="G8" i="79"/>
  <c r="B8" i="79"/>
  <c r="B7" i="79"/>
  <c r="G6" i="79"/>
  <c r="B6" i="79"/>
  <c r="I5" i="79"/>
  <c r="G5" i="79"/>
  <c r="B5" i="79"/>
  <c r="K15" i="78"/>
  <c r="I15" i="78"/>
  <c r="G15" i="78"/>
  <c r="F15" i="78"/>
  <c r="J14" i="78"/>
  <c r="M14" i="78" s="1"/>
  <c r="H14" i="78"/>
  <c r="J13" i="78"/>
  <c r="M13" i="78" s="1"/>
  <c r="H13" i="78"/>
  <c r="H12" i="78"/>
  <c r="J12" i="78" s="1"/>
  <c r="M12" i="78" s="1"/>
  <c r="H11" i="78"/>
  <c r="J11" i="78" s="1"/>
  <c r="M11" i="78" s="1"/>
  <c r="H10" i="78"/>
  <c r="J10" i="78" s="1"/>
  <c r="M10" i="78" s="1"/>
  <c r="H9" i="78"/>
  <c r="J9" i="78" s="1"/>
  <c r="M9" i="78" s="1"/>
  <c r="H8" i="78"/>
  <c r="J8" i="78" s="1"/>
  <c r="M8" i="78" s="1"/>
  <c r="H7" i="78"/>
  <c r="J7" i="78" s="1"/>
  <c r="M7" i="78" s="1"/>
  <c r="J6" i="78"/>
  <c r="M6" i="78" s="1"/>
  <c r="H6" i="78"/>
  <c r="J5" i="78"/>
  <c r="M5" i="78" s="1"/>
  <c r="H5" i="78"/>
  <c r="H4" i="78"/>
  <c r="J4" i="78" s="1"/>
  <c r="M4" i="78" s="1"/>
  <c r="H3" i="78"/>
  <c r="J3" i="78" s="1"/>
  <c r="M3" i="78" s="1"/>
  <c r="H2" i="78"/>
  <c r="K69" i="79" l="1"/>
  <c r="K81" i="79"/>
  <c r="H105" i="79"/>
  <c r="C117" i="79"/>
  <c r="K141" i="79"/>
  <c r="K165" i="79"/>
  <c r="S1" i="80"/>
  <c r="U1" i="80" s="1"/>
  <c r="I17" i="79"/>
  <c r="K105" i="79"/>
  <c r="H15" i="78"/>
  <c r="B17" i="79"/>
  <c r="K33" i="79"/>
  <c r="H45" i="79"/>
  <c r="K93" i="79"/>
  <c r="H129" i="79"/>
  <c r="J2" i="78"/>
  <c r="M2" i="78" s="1"/>
  <c r="G17" i="79"/>
  <c r="D167" i="79"/>
  <c r="K45" i="79"/>
  <c r="H57" i="79"/>
  <c r="H69" i="79"/>
  <c r="H141" i="79"/>
  <c r="H153" i="79"/>
  <c r="H165" i="79"/>
  <c r="L230" i="80"/>
  <c r="P61" i="83"/>
  <c r="K166" i="79"/>
  <c r="H82" i="79"/>
  <c r="C83" i="79"/>
  <c r="H117" i="79"/>
  <c r="H70" i="79"/>
  <c r="C71" i="79"/>
  <c r="J15" i="78"/>
  <c r="M15" i="78"/>
  <c r="B167" i="79" l="1"/>
  <c r="L166" i="79" s="1"/>
  <c r="A18" i="79"/>
  <c r="I19" i="79" s="1"/>
  <c r="H71" i="79"/>
  <c r="C72" i="79"/>
  <c r="C84" i="79"/>
  <c r="H83" i="79"/>
  <c r="B18" i="79" l="1"/>
  <c r="H84" i="79"/>
  <c r="C85" i="79"/>
  <c r="C73" i="79"/>
  <c r="H72" i="79"/>
  <c r="H85" i="79" l="1"/>
  <c r="C86" i="79"/>
  <c r="C74" i="79"/>
  <c r="H73" i="79"/>
  <c r="C87" i="79" l="1"/>
  <c r="H87" i="79" s="1"/>
  <c r="H86" i="79"/>
  <c r="H74" i="79"/>
  <c r="C75" i="79"/>
  <c r="H93" i="79" l="1"/>
  <c r="C93" i="79"/>
  <c r="C76" i="79"/>
  <c r="H75" i="79"/>
  <c r="H76" i="79" l="1"/>
  <c r="C77" i="79"/>
  <c r="H77" i="79" l="1"/>
  <c r="C78" i="79"/>
  <c r="C79" i="79" l="1"/>
  <c r="H78" i="79"/>
  <c r="C80" i="79" l="1"/>
  <c r="H79" i="79"/>
  <c r="H80" i="79" l="1"/>
  <c r="H81" i="79" s="1"/>
  <c r="H166" i="79" s="1"/>
  <c r="C81" i="79"/>
  <c r="C167" i="79" s="1"/>
  <c r="O166" i="79" l="1"/>
  <c r="H172" i="79"/>
  <c r="F172" i="79"/>
  <c r="C168" i="79"/>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C21" i="71" s="1"/>
  <c r="C20" i="71" s="1"/>
  <c r="Q22" i="71"/>
  <c r="F21" i="71"/>
  <c r="F20" i="71" s="1"/>
  <c r="F19" i="71" s="1"/>
  <c r="P22" i="71"/>
  <c r="O22" i="71"/>
  <c r="N22" i="71"/>
  <c r="A2" i="53"/>
  <c r="B19" i="72" s="1"/>
  <c r="K59" i="67"/>
  <c r="P61" i="67" s="1"/>
  <c r="K59" i="15"/>
  <c r="P74" i="15" s="1"/>
  <c r="P74" i="67"/>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G9" i="43"/>
  <c r="AG10" i="43" s="1"/>
  <c r="AG12" i="43"/>
  <c r="AF9" i="43"/>
  <c r="AE9" i="43"/>
  <c r="AE12" i="43"/>
  <c r="AD9" i="43"/>
  <c r="AC9" i="43"/>
  <c r="AC12" i="43" s="1"/>
  <c r="AB9" i="43"/>
  <c r="AA9" i="43"/>
  <c r="AA12" i="43" s="1"/>
  <c r="Z9" i="43"/>
  <c r="AC10" i="43"/>
  <c r="AE10" i="43"/>
  <c r="K49" i="9"/>
  <c r="E107" i="9"/>
  <c r="A122" i="9" s="1"/>
  <c r="A8" i="52" s="1"/>
  <c r="B54" i="72" s="1"/>
  <c r="E111" i="9"/>
  <c r="A126" i="9" s="1"/>
  <c r="E109" i="9"/>
  <c r="A124" i="9" s="1"/>
  <c r="A10" i="52" s="1"/>
  <c r="B55" i="72" s="1"/>
  <c r="B44" i="72"/>
  <c r="B42" i="72"/>
  <c r="B69" i="72"/>
  <c r="B68" i="72"/>
  <c r="B63" i="72"/>
  <c r="B62" i="72"/>
  <c r="B60" i="72"/>
  <c r="B66" i="72"/>
  <c r="B10" i="72"/>
  <c r="C53" i="10"/>
  <c r="B51" i="10"/>
  <c r="A18" i="51"/>
  <c r="B13" i="72" s="1"/>
  <c r="B49" i="48"/>
  <c r="B5" i="72" s="1"/>
  <c r="I19" i="43"/>
  <c r="D86" i="71"/>
  <c r="F85" i="71"/>
  <c r="E85" i="71"/>
  <c r="E84" i="71" s="1"/>
  <c r="E83" i="71" s="1"/>
  <c r="C85" i="71"/>
  <c r="D85" i="71" s="1"/>
  <c r="B85" i="71"/>
  <c r="B84" i="71" s="1"/>
  <c r="B83" i="71" s="1"/>
  <c r="F84" i="71"/>
  <c r="F83" i="71" s="1"/>
  <c r="D82" i="71"/>
  <c r="F81" i="71"/>
  <c r="E81" i="71"/>
  <c r="E80" i="71"/>
  <c r="E79" i="71" s="1"/>
  <c r="C81" i="71"/>
  <c r="D81" i="71" s="1"/>
  <c r="B81" i="71"/>
  <c r="B80" i="71" s="1"/>
  <c r="B79" i="71" s="1"/>
  <c r="F80" i="71"/>
  <c r="F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E73" i="71"/>
  <c r="U73" i="71" s="1"/>
  <c r="C73" i="71"/>
  <c r="C72" i="71" s="1"/>
  <c r="C71" i="71" s="1"/>
  <c r="D71" i="71" s="1"/>
  <c r="T73" i="71"/>
  <c r="B73" i="71"/>
  <c r="S73" i="71" s="1"/>
  <c r="Q72" i="71"/>
  <c r="P72" i="71"/>
  <c r="O72" i="71"/>
  <c r="N72" i="71"/>
  <c r="Q71" i="71"/>
  <c r="P71" i="71"/>
  <c r="O71" i="71"/>
  <c r="N71" i="71"/>
  <c r="Q70" i="71"/>
  <c r="P70" i="71"/>
  <c r="O70" i="71"/>
  <c r="N70" i="71"/>
  <c r="D70" i="71"/>
  <c r="Q69" i="71"/>
  <c r="P69" i="71"/>
  <c r="O69" i="71"/>
  <c r="N69" i="71"/>
  <c r="F69" i="71"/>
  <c r="V69" i="71" s="1"/>
  <c r="E69" i="71"/>
  <c r="U69" i="71" s="1"/>
  <c r="C69" i="71"/>
  <c r="C68" i="71" s="1"/>
  <c r="D68" i="71" s="1"/>
  <c r="B69" i="71"/>
  <c r="S69" i="71" s="1"/>
  <c r="Q68" i="71"/>
  <c r="P68" i="71"/>
  <c r="O68" i="71"/>
  <c r="N68" i="71"/>
  <c r="F68" i="71"/>
  <c r="F67" i="71" s="1"/>
  <c r="B68" i="71"/>
  <c r="B67" i="71" s="1"/>
  <c r="Q67" i="71"/>
  <c r="P67" i="71"/>
  <c r="O67" i="71"/>
  <c r="N67" i="71"/>
  <c r="Q66" i="71"/>
  <c r="P66" i="71"/>
  <c r="O66" i="71"/>
  <c r="N66" i="71"/>
  <c r="D66" i="71"/>
  <c r="F65" i="71"/>
  <c r="Q65" i="71" s="1"/>
  <c r="E65" i="7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D58" i="71"/>
  <c r="Q57" i="71"/>
  <c r="P57" i="71"/>
  <c r="O57" i="71"/>
  <c r="N57" i="71"/>
  <c r="Q56" i="71"/>
  <c r="P56" i="71"/>
  <c r="O56" i="71"/>
  <c r="N56" i="71"/>
  <c r="Q55" i="71"/>
  <c r="P55" i="71"/>
  <c r="O55" i="71"/>
  <c r="N55" i="71"/>
  <c r="Q54" i="71"/>
  <c r="F55" i="71"/>
  <c r="F56" i="71" s="1"/>
  <c r="F57" i="71" s="1"/>
  <c r="V57" i="71" s="1"/>
  <c r="P54" i="71"/>
  <c r="E55" i="71" s="1"/>
  <c r="O54" i="71"/>
  <c r="C55" i="7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D51" i="71" s="1"/>
  <c r="N50" i="71"/>
  <c r="B51" i="71" s="1"/>
  <c r="B52" i="71" s="1"/>
  <c r="B53" i="71" s="1"/>
  <c r="S53" i="71" s="1"/>
  <c r="D50" i="71"/>
  <c r="Q49" i="71"/>
  <c r="P49" i="71"/>
  <c r="O49" i="71"/>
  <c r="N49" i="71"/>
  <c r="Q48" i="71"/>
  <c r="P48" i="71"/>
  <c r="O48" i="71"/>
  <c r="N48" i="71"/>
  <c r="Q47" i="71"/>
  <c r="P47" i="71"/>
  <c r="O47" i="71"/>
  <c r="C48" i="71" s="1"/>
  <c r="N47" i="71"/>
  <c r="Q46" i="71"/>
  <c r="F47" i="71"/>
  <c r="F48" i="71" s="1"/>
  <c r="F49" i="71" s="1"/>
  <c r="V49" i="71" s="1"/>
  <c r="P46" i="71"/>
  <c r="E47"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X36" i="71" s="1"/>
  <c r="Q35" i="71"/>
  <c r="AB35" i="71"/>
  <c r="P35" i="71"/>
  <c r="AA35" i="71" s="1"/>
  <c r="O35" i="71"/>
  <c r="N35" i="71"/>
  <c r="Q34" i="71"/>
  <c r="AB34" i="71" s="1"/>
  <c r="P34" i="71"/>
  <c r="O34" i="71"/>
  <c r="C35" i="71" s="1"/>
  <c r="N34" i="71"/>
  <c r="D34" i="71"/>
  <c r="Q33" i="71"/>
  <c r="P33" i="71"/>
  <c r="O33" i="71"/>
  <c r="N33" i="71"/>
  <c r="X33" i="71" s="1"/>
  <c r="Q32" i="71"/>
  <c r="P32" i="71"/>
  <c r="O32" i="71"/>
  <c r="N32" i="71"/>
  <c r="X32" i="71" s="1"/>
  <c r="Q31" i="71"/>
  <c r="P31" i="71"/>
  <c r="O31" i="71"/>
  <c r="N31" i="71"/>
  <c r="Q30" i="71"/>
  <c r="P30" i="71"/>
  <c r="O30" i="71"/>
  <c r="N30" i="71"/>
  <c r="X27" i="71" s="1"/>
  <c r="D30" i="71"/>
  <c r="Q29" i="71"/>
  <c r="P29" i="71"/>
  <c r="O29" i="71"/>
  <c r="N29" i="71"/>
  <c r="Q28" i="71"/>
  <c r="P28" i="71"/>
  <c r="O28" i="71"/>
  <c r="N28" i="71"/>
  <c r="Q27" i="71"/>
  <c r="P27" i="71"/>
  <c r="O27" i="71"/>
  <c r="N27" i="71"/>
  <c r="F27" i="71"/>
  <c r="Q26" i="71"/>
  <c r="P26" i="71"/>
  <c r="E27" i="71" s="1"/>
  <c r="E28" i="71" s="1"/>
  <c r="E29" i="71" s="1"/>
  <c r="U29" i="71" s="1"/>
  <c r="O26" i="71"/>
  <c r="N26" i="71"/>
  <c r="D26" i="71"/>
  <c r="O25" i="71"/>
  <c r="N25" i="71"/>
  <c r="B27" i="71"/>
  <c r="B28" i="71" s="1"/>
  <c r="B29" i="71" s="1"/>
  <c r="S29" i="71" s="1"/>
  <c r="X30" i="71"/>
  <c r="B35" i="71"/>
  <c r="B36" i="71" s="1"/>
  <c r="B37" i="71" s="1"/>
  <c r="S37" i="71" s="1"/>
  <c r="E31" i="71"/>
  <c r="C31" i="71"/>
  <c r="D31" i="71" s="1"/>
  <c r="X31" i="71"/>
  <c r="C25" i="71"/>
  <c r="D25" i="71" s="1"/>
  <c r="U25" i="71" s="1"/>
  <c r="D35" i="71"/>
  <c r="P25" i="71"/>
  <c r="E25" i="71" s="1"/>
  <c r="Q25" i="71"/>
  <c r="F25" i="71" s="1"/>
  <c r="F24" i="71" s="1"/>
  <c r="F23" i="71" s="1"/>
  <c r="T65" i="71"/>
  <c r="D65" i="71"/>
  <c r="C64" i="71"/>
  <c r="D64" i="71" s="1"/>
  <c r="E68" i="71"/>
  <c r="E67" i="71" s="1"/>
  <c r="C76" i="71"/>
  <c r="D76" i="71" s="1"/>
  <c r="E76" i="71"/>
  <c r="E75" i="71" s="1"/>
  <c r="D77" i="71"/>
  <c r="C80" i="71"/>
  <c r="D80" i="71" s="1"/>
  <c r="AA24" i="71"/>
  <c r="O64" i="71"/>
  <c r="D72" i="71"/>
  <c r="C75" i="71"/>
  <c r="D75" i="71" s="1"/>
  <c r="C67" i="71"/>
  <c r="D67"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c r="A11" i="70"/>
  <c r="E11" i="70" s="1"/>
  <c r="A12" i="70"/>
  <c r="E12" i="70" s="1"/>
  <c r="A13" i="70"/>
  <c r="E13" i="70" s="1"/>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AB18" i="36" s="1"/>
  <c r="F18" i="36"/>
  <c r="AA18" i="36"/>
  <c r="C18" i="36"/>
  <c r="Q18" i="35"/>
  <c r="Z18" i="35" s="1"/>
  <c r="D68" i="35"/>
  <c r="E68" i="35" s="1"/>
  <c r="F68" i="35" s="1"/>
  <c r="G68" i="35" s="1"/>
  <c r="F18" i="35"/>
  <c r="AA18" i="35"/>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B86" i="43"/>
  <c r="C22" i="20"/>
  <c r="C25" i="40"/>
  <c r="S18" i="36"/>
  <c r="U18" i="36"/>
  <c r="F94" i="40"/>
  <c r="G94" i="40" s="1"/>
  <c r="H25" i="40"/>
  <c r="U25" i="40" s="1"/>
  <c r="J25" i="40"/>
  <c r="AC25" i="40" s="1"/>
  <c r="H29" i="39"/>
  <c r="AB29" i="39" s="1"/>
  <c r="J29" i="39"/>
  <c r="AC29" i="39" s="1"/>
  <c r="J18" i="36"/>
  <c r="H18" i="35"/>
  <c r="U18" i="35" s="1"/>
  <c r="S18" i="35"/>
  <c r="J18" i="35"/>
  <c r="AC18" i="35" s="1"/>
  <c r="H21" i="37"/>
  <c r="AB21" i="37" s="1"/>
  <c r="F21" i="37"/>
  <c r="AA21" i="37" s="1"/>
  <c r="H21" i="34"/>
  <c r="AB21" i="34" s="1"/>
  <c r="H21" i="33"/>
  <c r="AB21" i="33" s="1"/>
  <c r="F21" i="33"/>
  <c r="E83" i="21"/>
  <c r="F83" i="21" s="1"/>
  <c r="G83" i="21" s="1"/>
  <c r="S21" i="21"/>
  <c r="H1" i="69"/>
  <c r="W25" i="40"/>
  <c r="AB25" i="40"/>
  <c r="AC18" i="36"/>
  <c r="W18" i="36"/>
  <c r="U21" i="37"/>
  <c r="U21" i="33"/>
  <c r="AA21" i="33"/>
  <c r="S21" i="33"/>
  <c r="AB18" i="35"/>
  <c r="W18" i="35"/>
  <c r="J21" i="37"/>
  <c r="J21" i="34"/>
  <c r="W21" i="34" s="1"/>
  <c r="J21" i="33"/>
  <c r="H21" i="21"/>
  <c r="U21" i="21" s="1"/>
  <c r="F38" i="69"/>
  <c r="E37" i="69"/>
  <c r="F36" i="69"/>
  <c r="F35" i="69"/>
  <c r="F21" i="69"/>
  <c r="C40" i="69" s="1"/>
  <c r="F20" i="69"/>
  <c r="F39" i="69" s="1"/>
  <c r="E10" i="69"/>
  <c r="E9" i="69"/>
  <c r="AC21" i="37"/>
  <c r="W21" i="37"/>
  <c r="AC21" i="33"/>
  <c r="W21" i="33"/>
  <c r="J21" i="21"/>
  <c r="AC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D100" i="43" s="1"/>
  <c r="E99" i="43"/>
  <c r="E100" i="43" s="1"/>
  <c r="F99" i="43"/>
  <c r="F108" i="43" s="1"/>
  <c r="G99" i="43"/>
  <c r="G108" i="43" s="1"/>
  <c r="H99" i="43"/>
  <c r="H108" i="43" s="1"/>
  <c r="I99" i="43"/>
  <c r="I108" i="43" s="1"/>
  <c r="J99" i="43"/>
  <c r="J108" i="43" s="1"/>
  <c r="K99" i="43"/>
  <c r="K100" i="43" s="1"/>
  <c r="L99" i="43"/>
  <c r="L108" i="43" s="1"/>
  <c r="M99" i="43"/>
  <c r="M100" i="43" s="1"/>
  <c r="C99" i="43"/>
  <c r="C108" i="43" s="1"/>
  <c r="N100" i="43"/>
  <c r="L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3" s="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K13" i="1" s="1"/>
  <c r="M13" i="1" s="1"/>
  <c r="O13" i="1" s="1"/>
  <c r="P13" i="1" s="1"/>
  <c r="A6" i="1"/>
  <c r="G1" i="83"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L67" i="3" s="1"/>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A24" i="3" s="1"/>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L242" i="3" s="1"/>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A438" i="3" s="1"/>
  <c r="AZ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A401" i="3" s="1"/>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I15" i="4"/>
  <c r="H15" i="4"/>
  <c r="G15" i="4"/>
  <c r="F7" i="1" s="1"/>
  <c r="E15" i="4"/>
  <c r="D15" i="4"/>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AC30" i="36" s="1"/>
  <c r="H30" i="36"/>
  <c r="F30" i="36"/>
  <c r="AA30" i="36" s="1"/>
  <c r="C26" i="35"/>
  <c r="J31" i="35"/>
  <c r="H31" i="35"/>
  <c r="F31" i="35"/>
  <c r="D87" i="35"/>
  <c r="E87" i="35" s="1"/>
  <c r="F87" i="35" s="1"/>
  <c r="G87" i="35" s="1"/>
  <c r="H87" i="35" s="1"/>
  <c r="I87" i="35" s="1"/>
  <c r="J87" i="35" s="1"/>
  <c r="K87" i="35" s="1"/>
  <c r="L87" i="35" s="1"/>
  <c r="M87" i="35" s="1"/>
  <c r="H34" i="37"/>
  <c r="U34" i="37" s="1"/>
  <c r="D101" i="37"/>
  <c r="F34" i="37"/>
  <c r="D99" i="37"/>
  <c r="E99" i="37" s="1"/>
  <c r="F99" i="37" s="1"/>
  <c r="G99" i="37"/>
  <c r="H99" i="37" s="1"/>
  <c r="I99" i="37" s="1"/>
  <c r="J99" i="37" s="1"/>
  <c r="K99" i="37" s="1"/>
  <c r="L99" i="37"/>
  <c r="M99" i="37" s="1"/>
  <c r="H42" i="34"/>
  <c r="J42" i="34"/>
  <c r="W42" i="34"/>
  <c r="F42" i="34"/>
  <c r="J38" i="34"/>
  <c r="W38" i="34" s="1"/>
  <c r="D114" i="34"/>
  <c r="E114" i="34" s="1"/>
  <c r="F38" i="34"/>
  <c r="D112" i="34"/>
  <c r="E112" i="34" s="1"/>
  <c r="F112" i="34" s="1"/>
  <c r="G112" i="34" s="1"/>
  <c r="H112" i="34" s="1"/>
  <c r="I112" i="34" s="1"/>
  <c r="J112" i="34" s="1"/>
  <c r="K112" i="34" s="1"/>
  <c r="L112" i="34" s="1"/>
  <c r="M112" i="34" s="1"/>
  <c r="F40" i="33"/>
  <c r="AA40" i="33" s="1"/>
  <c r="J41" i="33"/>
  <c r="AC41" i="33" s="1"/>
  <c r="D113" i="33"/>
  <c r="E113" i="33" s="1"/>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AC32" i="40" s="1"/>
  <c r="B101" i="40"/>
  <c r="J31" i="40" s="1"/>
  <c r="W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c r="D88" i="40"/>
  <c r="E88" i="40" s="1"/>
  <c r="D86" i="40"/>
  <c r="E86" i="40"/>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B128" i="39"/>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U8" i="39" s="1"/>
  <c r="F8" i="39"/>
  <c r="AA8" i="39" s="1"/>
  <c r="C20" i="36"/>
  <c r="C20" i="35"/>
  <c r="C16" i="36"/>
  <c r="C16" i="35"/>
  <c r="C14" i="36"/>
  <c r="C14" i="35"/>
  <c r="B80" i="37"/>
  <c r="F25" i="37" s="1"/>
  <c r="H25" i="37"/>
  <c r="B110" i="37"/>
  <c r="B108" i="37"/>
  <c r="C23" i="37"/>
  <c r="C19" i="37"/>
  <c r="C17" i="37"/>
  <c r="C15" i="37"/>
  <c r="B112" i="37"/>
  <c r="D107" i="37"/>
  <c r="E107" i="37"/>
  <c r="F107" i="37" s="1"/>
  <c r="D105" i="37"/>
  <c r="E105" i="37" s="1"/>
  <c r="F105" i="37" s="1"/>
  <c r="G105" i="37" s="1"/>
  <c r="D103" i="37"/>
  <c r="J35" i="37"/>
  <c r="F97" i="37"/>
  <c r="E97" i="37"/>
  <c r="D97" i="37"/>
  <c r="C97" i="37"/>
  <c r="D96" i="37"/>
  <c r="E96" i="37" s="1"/>
  <c r="D94" i="37"/>
  <c r="E94" i="37" s="1"/>
  <c r="F94" i="37" s="1"/>
  <c r="M90" i="37"/>
  <c r="L90" i="37"/>
  <c r="K90" i="37"/>
  <c r="J90" i="37"/>
  <c r="I90" i="37"/>
  <c r="H90" i="37"/>
  <c r="G90" i="37"/>
  <c r="F90" i="37"/>
  <c r="E90" i="37"/>
  <c r="D90" i="37"/>
  <c r="C90" i="37"/>
  <c r="D89" i="37"/>
  <c r="B86" i="37"/>
  <c r="B84" i="37"/>
  <c r="B82" i="37"/>
  <c r="H26" i="37" s="1"/>
  <c r="AB26" i="37" s="1"/>
  <c r="D79" i="37"/>
  <c r="E79" i="37" s="1"/>
  <c r="D75" i="37"/>
  <c r="E75" i="37" s="1"/>
  <c r="F75" i="37" s="1"/>
  <c r="D73" i="37"/>
  <c r="E73" i="37" s="1"/>
  <c r="F73" i="37"/>
  <c r="G73" i="37" s="1"/>
  <c r="D71" i="37"/>
  <c r="H15" i="37"/>
  <c r="B68" i="37"/>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U30" i="37" s="1"/>
  <c r="AB30" i="37"/>
  <c r="F30" i="37"/>
  <c r="AA30" i="37" s="1"/>
  <c r="Q29" i="37"/>
  <c r="Z29" i="37"/>
  <c r="H29" i="37"/>
  <c r="AB29" i="37" s="1"/>
  <c r="Q28" i="37"/>
  <c r="Z28" i="37"/>
  <c r="Q27" i="37"/>
  <c r="Z27" i="37" s="1"/>
  <c r="Q26" i="37"/>
  <c r="Z26" i="37"/>
  <c r="F26" i="37"/>
  <c r="AA26" i="37" s="1"/>
  <c r="Q25" i="37"/>
  <c r="Z25" i="37"/>
  <c r="J25" i="37"/>
  <c r="AC25" i="37" s="1"/>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c r="D68" i="36"/>
  <c r="E68" i="36"/>
  <c r="F68" i="36" s="1"/>
  <c r="G68" i="36"/>
  <c r="D64" i="36"/>
  <c r="E64" i="36" s="1"/>
  <c r="F64" i="36" s="1"/>
  <c r="G64" i="36" s="1"/>
  <c r="J16" i="36"/>
  <c r="W16" i="36"/>
  <c r="D62" i="36"/>
  <c r="E62" i="36" s="1"/>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Q29" i="36"/>
  <c r="Z29" i="36"/>
  <c r="Q28" i="36"/>
  <c r="Z28" i="36" s="1"/>
  <c r="J28" i="36"/>
  <c r="W28" i="36" s="1"/>
  <c r="Q27" i="36"/>
  <c r="Z27" i="36" s="1"/>
  <c r="Q26" i="36"/>
  <c r="Z26" i="36"/>
  <c r="H26" i="36"/>
  <c r="AB26" i="36" s="1"/>
  <c r="Q25" i="36"/>
  <c r="Z25" i="36"/>
  <c r="Q24" i="36"/>
  <c r="Z24" i="36" s="1"/>
  <c r="Q23" i="36"/>
  <c r="Z23" i="36"/>
  <c r="J23" i="36"/>
  <c r="AC23" i="36" s="1"/>
  <c r="F23" i="36"/>
  <c r="AA23" i="36" s="1"/>
  <c r="Q22" i="36"/>
  <c r="Z22" i="36" s="1"/>
  <c r="J22" i="36"/>
  <c r="AC22" i="36"/>
  <c r="Q20" i="36"/>
  <c r="Z20" i="36" s="1"/>
  <c r="Q16" i="36"/>
  <c r="Z16" i="36"/>
  <c r="Q14" i="36"/>
  <c r="Z14" i="36" s="1"/>
  <c r="Q13" i="36"/>
  <c r="Z13" i="36"/>
  <c r="Q12" i="36"/>
  <c r="Z12" i="36" s="1"/>
  <c r="Q11" i="36"/>
  <c r="Z11" i="36" s="1"/>
  <c r="Q10" i="36"/>
  <c r="Z10" i="36" s="1"/>
  <c r="F10" i="36"/>
  <c r="S10" i="36" s="1"/>
  <c r="AA10" i="36"/>
  <c r="Q9" i="36"/>
  <c r="Z9" i="36" s="1"/>
  <c r="J9" i="36"/>
  <c r="AC9" i="36"/>
  <c r="H9" i="36"/>
  <c r="AB9" i="36" s="1"/>
  <c r="F9" i="36"/>
  <c r="AA9" i="36"/>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F35" i="35" s="1"/>
  <c r="AA35" i="35" s="1"/>
  <c r="B97" i="35"/>
  <c r="B77" i="35"/>
  <c r="F25" i="35" s="1"/>
  <c r="S25" i="35" s="1"/>
  <c r="B75" i="35"/>
  <c r="J24" i="35"/>
  <c r="AC24" i="35" s="1"/>
  <c r="B73" i="35"/>
  <c r="B57" i="35"/>
  <c r="B61" i="35"/>
  <c r="J13" i="35" s="1"/>
  <c r="B59" i="35"/>
  <c r="H12" i="35" s="1"/>
  <c r="B131" i="34"/>
  <c r="B129" i="34"/>
  <c r="H46" i="34" s="1"/>
  <c r="AB46" i="34" s="1"/>
  <c r="B127" i="34"/>
  <c r="B99" i="34"/>
  <c r="H32" i="34" s="1"/>
  <c r="B97" i="34"/>
  <c r="B95" i="34"/>
  <c r="F30" i="34" s="1"/>
  <c r="B93" i="34"/>
  <c r="J29" i="34" s="1"/>
  <c r="B75" i="34"/>
  <c r="F14" i="34" s="1"/>
  <c r="B73" i="34"/>
  <c r="B71" i="34"/>
  <c r="B130" i="33"/>
  <c r="F46" i="33" s="1"/>
  <c r="AA46" i="33" s="1"/>
  <c r="B128" i="33"/>
  <c r="B126" i="33"/>
  <c r="F44" i="33" s="1"/>
  <c r="B98" i="33"/>
  <c r="J31" i="33" s="1"/>
  <c r="B96" i="33"/>
  <c r="B94" i="33"/>
  <c r="H29" i="33" s="1"/>
  <c r="B74" i="33"/>
  <c r="B72" i="33"/>
  <c r="F13" i="33" s="1"/>
  <c r="B70" i="33"/>
  <c r="J12" i="33" s="1"/>
  <c r="D96" i="35"/>
  <c r="E96" i="35" s="1"/>
  <c r="F96" i="35" s="1"/>
  <c r="G96" i="35" s="1"/>
  <c r="D94" i="35"/>
  <c r="E94" i="35" s="1"/>
  <c r="F94" i="35" s="1"/>
  <c r="G94" i="35" s="1"/>
  <c r="H94" i="35"/>
  <c r="I94" i="35" s="1"/>
  <c r="J94" i="35" s="1"/>
  <c r="K94" i="35" s="1"/>
  <c r="L94" i="35"/>
  <c r="M94" i="35" s="1"/>
  <c r="D84" i="35"/>
  <c r="E84" i="35" s="1"/>
  <c r="F84" i="35" s="1"/>
  <c r="G84" i="35" s="1"/>
  <c r="H84" i="35" s="1"/>
  <c r="I84" i="35" s="1"/>
  <c r="J84" i="35"/>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c r="G64" i="35" s="1"/>
  <c r="J14" i="35"/>
  <c r="W14" i="35" s="1"/>
  <c r="F56" i="35"/>
  <c r="G56" i="35" s="1"/>
  <c r="H56" i="35" s="1"/>
  <c r="I56" i="35" s="1"/>
  <c r="C53" i="35"/>
  <c r="P39" i="35"/>
  <c r="P38" i="35"/>
  <c r="V37" i="35"/>
  <c r="T37" i="35"/>
  <c r="R37" i="35"/>
  <c r="P37" i="35"/>
  <c r="Q36" i="35"/>
  <c r="Z36" i="35" s="1"/>
  <c r="J36" i="35"/>
  <c r="Q35" i="35"/>
  <c r="Z35" i="35" s="1"/>
  <c r="Q34" i="35"/>
  <c r="Z34" i="35" s="1"/>
  <c r="J34" i="35"/>
  <c r="H34" i="35"/>
  <c r="F34" i="35"/>
  <c r="Q33" i="35"/>
  <c r="Z33" i="35" s="1"/>
  <c r="Q32" i="35"/>
  <c r="Z32" i="35" s="1"/>
  <c r="H32" i="35"/>
  <c r="AB32" i="35" s="1"/>
  <c r="F32" i="35"/>
  <c r="AA32" i="35" s="1"/>
  <c r="Q31" i="35"/>
  <c r="Z31" i="35" s="1"/>
  <c r="AB31" i="35"/>
  <c r="AA31" i="35"/>
  <c r="Q30" i="35"/>
  <c r="Z30" i="35" s="1"/>
  <c r="Q29" i="35"/>
  <c r="Z29" i="35" s="1"/>
  <c r="Q28" i="35"/>
  <c r="Z28" i="35" s="1"/>
  <c r="J28" i="35"/>
  <c r="AC28" i="35"/>
  <c r="H28" i="35"/>
  <c r="AB28" i="35" s="1"/>
  <c r="F28" i="35"/>
  <c r="AA28" i="35"/>
  <c r="Q27" i="35"/>
  <c r="Z27" i="35" s="1"/>
  <c r="Q26" i="35"/>
  <c r="Z26" i="35"/>
  <c r="Q25" i="35"/>
  <c r="Z25" i="35" s="1"/>
  <c r="Q24" i="35"/>
  <c r="Z24" i="35" s="1"/>
  <c r="Q23" i="35"/>
  <c r="Z23" i="35" s="1"/>
  <c r="Q22" i="35"/>
  <c r="Z22" i="35"/>
  <c r="Q20" i="35"/>
  <c r="Z20" i="35" s="1"/>
  <c r="Q16" i="35"/>
  <c r="Z16" i="35"/>
  <c r="Q14" i="35"/>
  <c r="Z14" i="35" s="1"/>
  <c r="Q13" i="35"/>
  <c r="Z13" i="35"/>
  <c r="Q12" i="35"/>
  <c r="Z12" i="35" s="1"/>
  <c r="J12" i="35"/>
  <c r="W12" i="35" s="1"/>
  <c r="Q11" i="35"/>
  <c r="Z11" i="35"/>
  <c r="Q10" i="35"/>
  <c r="Z10" i="35" s="1"/>
  <c r="Q9" i="35"/>
  <c r="Z9" i="35"/>
  <c r="J8" i="35"/>
  <c r="W8" i="35" s="1"/>
  <c r="H8" i="35"/>
  <c r="AB8" i="35"/>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W28" i="34" s="1"/>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J12" i="34"/>
  <c r="H12" i="34"/>
  <c r="F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s="1"/>
  <c r="Q44" i="33"/>
  <c r="Z44" i="33"/>
  <c r="Q43" i="33"/>
  <c r="Z43" i="33" s="1"/>
  <c r="Q42" i="33"/>
  <c r="Z42" i="33"/>
  <c r="J42" i="33"/>
  <c r="AC42" i="33" s="1"/>
  <c r="W41" i="33"/>
  <c r="Q41" i="33"/>
  <c r="Z41" i="33"/>
  <c r="Q40" i="33"/>
  <c r="Z40" i="33"/>
  <c r="J40" i="33"/>
  <c r="W40" i="33" s="1"/>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F9" i="33"/>
  <c r="J8" i="33"/>
  <c r="AC8" i="33" s="1"/>
  <c r="H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s="1"/>
  <c r="F123" i="21" s="1"/>
  <c r="G123" i="21" s="1"/>
  <c r="H123" i="21" s="1"/>
  <c r="F42" i="21"/>
  <c r="AA42" i="21" s="1"/>
  <c r="D119" i="21"/>
  <c r="E119" i="21" s="1"/>
  <c r="F119" i="21" s="1"/>
  <c r="F40" i="21"/>
  <c r="AA40" i="21" s="1"/>
  <c r="D117" i="21"/>
  <c r="E117" i="21" s="1"/>
  <c r="F117" i="21" s="1"/>
  <c r="G117" i="21" s="1"/>
  <c r="D115" i="21"/>
  <c r="E115" i="21" s="1"/>
  <c r="F115" i="21" s="1"/>
  <c r="G115" i="21"/>
  <c r="H115" i="21" s="1"/>
  <c r="I115" i="21" s="1"/>
  <c r="J115" i="21" s="1"/>
  <c r="K115" i="2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c r="I66" i="21" s="1"/>
  <c r="D111" i="21"/>
  <c r="E111" i="21"/>
  <c r="F111" i="21"/>
  <c r="C111" i="21"/>
  <c r="D79" i="21"/>
  <c r="E79" i="21" s="1"/>
  <c r="F79" i="21"/>
  <c r="G79" i="21" s="1"/>
  <c r="D85" i="21"/>
  <c r="F19" i="21"/>
  <c r="AA19" i="21" s="1"/>
  <c r="E81" i="21"/>
  <c r="F81" i="21"/>
  <c r="G81" i="21" s="1"/>
  <c r="D77" i="21"/>
  <c r="E77" i="21" s="1"/>
  <c r="B130" i="21"/>
  <c r="B128" i="21"/>
  <c r="J45" i="21"/>
  <c r="W45" i="21" s="1"/>
  <c r="B126" i="21"/>
  <c r="B98" i="21"/>
  <c r="H31" i="21"/>
  <c r="B96" i="21"/>
  <c r="F30" i="21" s="1"/>
  <c r="S30" i="21" s="1"/>
  <c r="B94" i="21"/>
  <c r="J29" i="21" s="1"/>
  <c r="AC29" i="21" s="1"/>
  <c r="B92" i="21"/>
  <c r="B90" i="21"/>
  <c r="B74" i="21"/>
  <c r="F14" i="21" s="1"/>
  <c r="S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H38" i="21"/>
  <c r="U38" i="21" s="1"/>
  <c r="H43" i="21"/>
  <c r="F38" i="21"/>
  <c r="S38" i="21" s="1"/>
  <c r="F36" i="21"/>
  <c r="S36" i="21" s="1"/>
  <c r="F39" i="21"/>
  <c r="AA39" i="21" s="1"/>
  <c r="J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4" i="39"/>
  <c r="AC44" i="39" s="1"/>
  <c r="F36" i="39"/>
  <c r="H36" i="39"/>
  <c r="AB36" i="39" s="1"/>
  <c r="F35" i="39"/>
  <c r="AA35" i="39" s="1"/>
  <c r="J36" i="39"/>
  <c r="AC36" i="39" s="1"/>
  <c r="W25" i="37"/>
  <c r="W31" i="37"/>
  <c r="E103" i="37"/>
  <c r="F103" i="37"/>
  <c r="G103" i="37" s="1"/>
  <c r="H103" i="37" s="1"/>
  <c r="I103" i="37" s="1"/>
  <c r="J103" i="37" s="1"/>
  <c r="K103" i="37" s="1"/>
  <c r="L103" i="37" s="1"/>
  <c r="M103" i="37" s="1"/>
  <c r="F39" i="37"/>
  <c r="F29" i="36"/>
  <c r="AA29" i="36" s="1"/>
  <c r="W8" i="36"/>
  <c r="F16" i="36"/>
  <c r="AA16" i="36" s="1"/>
  <c r="U9" i="36"/>
  <c r="S30" i="36"/>
  <c r="AC31" i="36"/>
  <c r="W31" i="36"/>
  <c r="J33" i="36"/>
  <c r="W33" i="36" s="1"/>
  <c r="H22" i="35"/>
  <c r="AB22" i="35" s="1"/>
  <c r="AC27" i="35"/>
  <c r="W28" i="35"/>
  <c r="U31" i="35"/>
  <c r="W22" i="35"/>
  <c r="S31" i="35"/>
  <c r="F36" i="34"/>
  <c r="S36" i="34" s="1"/>
  <c r="J35" i="34"/>
  <c r="U34" i="34"/>
  <c r="H39" i="33"/>
  <c r="AB39" i="33"/>
  <c r="S40" i="33"/>
  <c r="W39" i="33"/>
  <c r="S27" i="35"/>
  <c r="F11" i="40"/>
  <c r="H11" i="40"/>
  <c r="AB11" i="40" s="1"/>
  <c r="W8" i="40"/>
  <c r="AC40" i="40"/>
  <c r="S34" i="40"/>
  <c r="S40" i="40"/>
  <c r="U40" i="40"/>
  <c r="F41" i="39"/>
  <c r="H40" i="39"/>
  <c r="AB40" i="39" s="1"/>
  <c r="H39" i="39"/>
  <c r="U39" i="39" s="1"/>
  <c r="H34" i="39"/>
  <c r="U34" i="39" s="1"/>
  <c r="E108" i="39"/>
  <c r="F31" i="39"/>
  <c r="AA31" i="39" s="1"/>
  <c r="H19" i="39"/>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s="1"/>
  <c r="F27" i="39"/>
  <c r="S27" i="39" s="1"/>
  <c r="F11" i="21"/>
  <c r="S11" i="21"/>
  <c r="S40" i="21"/>
  <c r="U34" i="21"/>
  <c r="C25" i="39"/>
  <c r="C27" i="39"/>
  <c r="C21" i="39"/>
  <c r="C15" i="39"/>
  <c r="H32" i="33"/>
  <c r="AB32" i="33" s="1"/>
  <c r="H11" i="21"/>
  <c r="U11" i="21" s="1"/>
  <c r="J11" i="21"/>
  <c r="W11" i="21" s="1"/>
  <c r="H37" i="40"/>
  <c r="U37" i="40" s="1"/>
  <c r="H36" i="40"/>
  <c r="AB36" i="40" s="1"/>
  <c r="F35" i="40"/>
  <c r="H23" i="40"/>
  <c r="AB23" i="40" s="1"/>
  <c r="H17" i="40"/>
  <c r="U17" i="40" s="1"/>
  <c r="J15" i="40"/>
  <c r="W15" i="40" s="1"/>
  <c r="J11" i="40"/>
  <c r="AB8" i="39"/>
  <c r="W32" i="40"/>
  <c r="F37" i="39"/>
  <c r="AA37" i="39" s="1"/>
  <c r="J34" i="36"/>
  <c r="U30" i="36"/>
  <c r="J30" i="35"/>
  <c r="W30" i="35"/>
  <c r="H30" i="35"/>
  <c r="AB30" i="35" s="1"/>
  <c r="F22" i="35"/>
  <c r="AA22" i="35" s="1"/>
  <c r="H10" i="35"/>
  <c r="U10" i="35" s="1"/>
  <c r="AC16" i="36"/>
  <c r="F33" i="36"/>
  <c r="AA33" i="36" s="1"/>
  <c r="W30" i="36"/>
  <c r="H16" i="36"/>
  <c r="AB16" i="36"/>
  <c r="E85" i="36"/>
  <c r="F85" i="36" s="1"/>
  <c r="G85" i="36" s="1"/>
  <c r="H85" i="36" s="1"/>
  <c r="I85" i="36" s="1"/>
  <c r="J85" i="36" s="1"/>
  <c r="K85" i="36" s="1"/>
  <c r="L85" i="36" s="1"/>
  <c r="M85" i="36" s="1"/>
  <c r="J29" i="36"/>
  <c r="AC29" i="36" s="1"/>
  <c r="F34" i="36"/>
  <c r="S34" i="36"/>
  <c r="AB8" i="36"/>
  <c r="S8" i="36"/>
  <c r="U8" i="35"/>
  <c r="F14" i="35"/>
  <c r="AA14" i="35"/>
  <c r="J32" i="35"/>
  <c r="AC32" i="35" s="1"/>
  <c r="J16" i="35"/>
  <c r="AC16" i="35"/>
  <c r="H16" i="35"/>
  <c r="AB16" i="35" s="1"/>
  <c r="F16" i="35"/>
  <c r="S16" i="35"/>
  <c r="H14" i="35"/>
  <c r="U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c r="U42" i="34"/>
  <c r="H40" i="34"/>
  <c r="U40" i="34" s="1"/>
  <c r="H36" i="34"/>
  <c r="U36" i="34" s="1"/>
  <c r="F37" i="34"/>
  <c r="AA37" i="34" s="1"/>
  <c r="F28" i="34"/>
  <c r="F25" i="34"/>
  <c r="H23" i="34"/>
  <c r="J23" i="34"/>
  <c r="F19" i="34"/>
  <c r="H17" i="34"/>
  <c r="F15" i="34"/>
  <c r="AA15" i="34" s="1"/>
  <c r="J15" i="34"/>
  <c r="H15" i="34"/>
  <c r="AB15" i="34" s="1"/>
  <c r="W8" i="34"/>
  <c r="F41" i="33"/>
  <c r="S38" i="33"/>
  <c r="F32" i="33"/>
  <c r="AA32" i="33" s="1"/>
  <c r="J19" i="33"/>
  <c r="J15" i="33"/>
  <c r="AC15" i="33" s="1"/>
  <c r="F11" i="33"/>
  <c r="AA11" i="33" s="1"/>
  <c r="U40" i="33"/>
  <c r="F37" i="40"/>
  <c r="AA37" i="40" s="1"/>
  <c r="F36" i="40"/>
  <c r="AA36" i="40" s="1"/>
  <c r="H28" i="40"/>
  <c r="U28" i="40" s="1"/>
  <c r="F23" i="40"/>
  <c r="AA23" i="40" s="1"/>
  <c r="F17" i="40"/>
  <c r="AA17" i="40"/>
  <c r="J17" i="40"/>
  <c r="W17" i="40" s="1"/>
  <c r="F15" i="40"/>
  <c r="S15" i="40" s="1"/>
  <c r="H15" i="40"/>
  <c r="AB15" i="40" s="1"/>
  <c r="AB30" i="36"/>
  <c r="U30" i="35"/>
  <c r="F29" i="35"/>
  <c r="H29" i="35"/>
  <c r="AB29" i="35"/>
  <c r="H33" i="37"/>
  <c r="AB33" i="37" s="1"/>
  <c r="F33" i="37"/>
  <c r="AA33" i="37" s="1"/>
  <c r="W33" i="37"/>
  <c r="S34" i="37"/>
  <c r="AA34" i="37"/>
  <c r="J43" i="34"/>
  <c r="AB42" i="34"/>
  <c r="J40" i="34"/>
  <c r="F114" i="34"/>
  <c r="G114" i="34" s="1"/>
  <c r="H114" i="34" s="1"/>
  <c r="I114" i="34" s="1"/>
  <c r="J114" i="34" s="1"/>
  <c r="K114" i="34" s="1"/>
  <c r="L114" i="34" s="1"/>
  <c r="M114" i="34" s="1"/>
  <c r="H38" i="34"/>
  <c r="AB38" i="34"/>
  <c r="J36" i="34"/>
  <c r="W36" i="34" s="1"/>
  <c r="H37" i="34"/>
  <c r="U37" i="34" s="1"/>
  <c r="H25" i="34"/>
  <c r="AB25" i="34" s="1"/>
  <c r="J25" i="34"/>
  <c r="AC25" i="34" s="1"/>
  <c r="F23" i="34"/>
  <c r="AA23" i="34" s="1"/>
  <c r="J19" i="34"/>
  <c r="AC19" i="34" s="1"/>
  <c r="F17" i="34"/>
  <c r="J17" i="34"/>
  <c r="F113" i="33"/>
  <c r="G113" i="33" s="1"/>
  <c r="H113" i="33" s="1"/>
  <c r="I113" i="33" s="1"/>
  <c r="J113" i="33" s="1"/>
  <c r="K113" i="33" s="1"/>
  <c r="L113" i="33" s="1"/>
  <c r="M113" i="33" s="1"/>
  <c r="H37" i="33"/>
  <c r="AB37" i="33" s="1"/>
  <c r="H15" i="33"/>
  <c r="AB15" i="33" s="1"/>
  <c r="H11" i="33"/>
  <c r="AB11" i="33"/>
  <c r="F28" i="40"/>
  <c r="AA28" i="40" s="1"/>
  <c r="AA42" i="34"/>
  <c r="S42" i="34"/>
  <c r="AC38" i="34"/>
  <c r="J37" i="34"/>
  <c r="AC37" i="34" s="1"/>
  <c r="J11" i="33"/>
  <c r="W11" i="33" s="1"/>
  <c r="U23" i="40"/>
  <c r="I123" i="21"/>
  <c r="J123" i="21" s="1"/>
  <c r="K123" i="21" s="1"/>
  <c r="L123" i="21" s="1"/>
  <c r="M123" i="21" s="1"/>
  <c r="J42" i="21"/>
  <c r="AC42" i="21" s="1"/>
  <c r="H42" i="21"/>
  <c r="U42" i="21" s="1"/>
  <c r="J44" i="34"/>
  <c r="F44" i="34"/>
  <c r="AA44" i="34"/>
  <c r="J10" i="35"/>
  <c r="J14" i="21"/>
  <c r="W14" i="21" s="1"/>
  <c r="H14" i="21"/>
  <c r="U14" i="21"/>
  <c r="H28" i="21"/>
  <c r="AB28" i="21" s="1"/>
  <c r="F28" i="21"/>
  <c r="AA28" i="21" s="1"/>
  <c r="J28" i="21"/>
  <c r="H30" i="21"/>
  <c r="AB30" i="21" s="1"/>
  <c r="J30" i="21"/>
  <c r="AC30" i="21" s="1"/>
  <c r="J44" i="21"/>
  <c r="H46" i="21"/>
  <c r="U46" i="21" s="1"/>
  <c r="J46" i="21"/>
  <c r="F46" i="21"/>
  <c r="AA46" i="21" s="1"/>
  <c r="G119" i="21"/>
  <c r="H119" i="21" s="1"/>
  <c r="I119" i="21" s="1"/>
  <c r="J119" i="21" s="1"/>
  <c r="K119" i="21" s="1"/>
  <c r="L119" i="21" s="1"/>
  <c r="M119" i="21" s="1"/>
  <c r="H28" i="33"/>
  <c r="U28" i="33"/>
  <c r="F28" i="33"/>
  <c r="AA28" i="33"/>
  <c r="J28" i="33"/>
  <c r="W28" i="33"/>
  <c r="F33" i="35"/>
  <c r="S33" i="35"/>
  <c r="J33" i="35"/>
  <c r="AC33" i="35"/>
  <c r="F30" i="35"/>
  <c r="S30" i="35"/>
  <c r="F89" i="35"/>
  <c r="G89" i="35" s="1"/>
  <c r="H89" i="35" s="1"/>
  <c r="I89" i="35" s="1"/>
  <c r="J89" i="35" s="1"/>
  <c r="K89" i="35" s="1"/>
  <c r="L89" i="35" s="1"/>
  <c r="M89" i="35" s="1"/>
  <c r="H10" i="36"/>
  <c r="J14" i="36"/>
  <c r="AC14" i="36"/>
  <c r="H14" i="36"/>
  <c r="U14" i="36" s="1"/>
  <c r="F28" i="36"/>
  <c r="AA28" i="36" s="1"/>
  <c r="F27" i="21"/>
  <c r="AA27" i="21" s="1"/>
  <c r="H29" i="21"/>
  <c r="U29" i="21" s="1"/>
  <c r="J31" i="21"/>
  <c r="AC31" i="21" s="1"/>
  <c r="F31" i="21"/>
  <c r="S31" i="21" s="1"/>
  <c r="F45" i="21"/>
  <c r="AA45" i="21" s="1"/>
  <c r="J13" i="33"/>
  <c r="H13" i="33"/>
  <c r="U13" i="33" s="1"/>
  <c r="S13" i="33"/>
  <c r="J29" i="33"/>
  <c r="AC29" i="33"/>
  <c r="U29" i="33"/>
  <c r="F29" i="33"/>
  <c r="S29" i="33" s="1"/>
  <c r="W31" i="33"/>
  <c r="H31" i="33"/>
  <c r="AB31" i="33" s="1"/>
  <c r="F31" i="33"/>
  <c r="J45" i="33"/>
  <c r="AC45" i="33" s="1"/>
  <c r="J14" i="34"/>
  <c r="W14" i="34"/>
  <c r="S14" i="34"/>
  <c r="H14" i="34"/>
  <c r="H30" i="34"/>
  <c r="S30" i="34"/>
  <c r="J30" i="34"/>
  <c r="W30" i="34" s="1"/>
  <c r="F32" i="34"/>
  <c r="J32" i="34"/>
  <c r="W32" i="34" s="1"/>
  <c r="U46" i="34"/>
  <c r="F46" i="34"/>
  <c r="J46" i="34"/>
  <c r="J11" i="35"/>
  <c r="W11" i="35" s="1"/>
  <c r="J26" i="36"/>
  <c r="W26" i="36" s="1"/>
  <c r="H28" i="36"/>
  <c r="U28" i="36"/>
  <c r="H32" i="36"/>
  <c r="AB32" i="36" s="1"/>
  <c r="J32" i="36"/>
  <c r="W32" i="36"/>
  <c r="H11" i="36"/>
  <c r="H13" i="36"/>
  <c r="AB13" i="36" s="1"/>
  <c r="J13" i="36"/>
  <c r="F13" i="36"/>
  <c r="S13" i="36" s="1"/>
  <c r="E89" i="37"/>
  <c r="F89" i="37" s="1"/>
  <c r="G89" i="37" s="1"/>
  <c r="H89" i="37" s="1"/>
  <c r="I89" i="37" s="1"/>
  <c r="J89" i="37" s="1"/>
  <c r="K89" i="37" s="1"/>
  <c r="L89" i="37" s="1"/>
  <c r="M89" i="37" s="1"/>
  <c r="J29" i="37"/>
  <c r="W29" i="37"/>
  <c r="F29" i="37"/>
  <c r="S29" i="37" s="1"/>
  <c r="H36" i="37"/>
  <c r="AB36" i="37"/>
  <c r="J37" i="37"/>
  <c r="AC37" i="37" s="1"/>
  <c r="H37" i="37"/>
  <c r="U37" i="37" s="1"/>
  <c r="AC12" i="40"/>
  <c r="F14" i="33"/>
  <c r="AA14" i="33" s="1"/>
  <c r="F30" i="33"/>
  <c r="H44" i="33"/>
  <c r="J44" i="33"/>
  <c r="AC44" i="33"/>
  <c r="S44" i="33"/>
  <c r="J46" i="33"/>
  <c r="AC46" i="33" s="1"/>
  <c r="H46" i="33"/>
  <c r="AB46" i="33" s="1"/>
  <c r="J13" i="34"/>
  <c r="W13" i="34" s="1"/>
  <c r="F29" i="34"/>
  <c r="S29" i="34" s="1"/>
  <c r="H29" i="34"/>
  <c r="AB29" i="34" s="1"/>
  <c r="J31" i="34"/>
  <c r="AC31" i="34" s="1"/>
  <c r="H31" i="34"/>
  <c r="AB31" i="34" s="1"/>
  <c r="F31" i="34"/>
  <c r="S31" i="34" s="1"/>
  <c r="H45" i="34"/>
  <c r="U45" i="34" s="1"/>
  <c r="J45" i="34"/>
  <c r="W45" i="34" s="1"/>
  <c r="F45" i="34"/>
  <c r="H47" i="34"/>
  <c r="U47" i="34" s="1"/>
  <c r="F47" i="34"/>
  <c r="S47" i="34"/>
  <c r="J47" i="34"/>
  <c r="AC47" i="34" s="1"/>
  <c r="F13" i="35"/>
  <c r="H13" i="35"/>
  <c r="U13" i="35" s="1"/>
  <c r="J25" i="35"/>
  <c r="W25" i="35" s="1"/>
  <c r="H25" i="35"/>
  <c r="AB25" i="35" s="1"/>
  <c r="J35" i="35"/>
  <c r="AC35" i="35" s="1"/>
  <c r="H35" i="35"/>
  <c r="AB35" i="35" s="1"/>
  <c r="J25" i="36"/>
  <c r="W25" i="36" s="1"/>
  <c r="F25" i="36"/>
  <c r="S25" i="36" s="1"/>
  <c r="H25" i="36"/>
  <c r="AB25" i="36" s="1"/>
  <c r="H13" i="37"/>
  <c r="F13" i="37"/>
  <c r="S13" i="37" s="1"/>
  <c r="J13" i="37"/>
  <c r="W13" i="37"/>
  <c r="F28" i="37"/>
  <c r="AA28" i="37" s="1"/>
  <c r="J28" i="37"/>
  <c r="AC28" i="37" s="1"/>
  <c r="H28" i="37"/>
  <c r="U28" i="37" s="1"/>
  <c r="H38" i="37"/>
  <c r="AB38" i="37" s="1"/>
  <c r="J38" i="37"/>
  <c r="F38" i="37"/>
  <c r="F43" i="39"/>
  <c r="AA43" i="39" s="1"/>
  <c r="H43" i="39"/>
  <c r="J14" i="39"/>
  <c r="AC14" i="39" s="1"/>
  <c r="F14" i="39"/>
  <c r="AB14" i="39"/>
  <c r="F12" i="40"/>
  <c r="S12" i="40"/>
  <c r="H12" i="40"/>
  <c r="AB12" i="40"/>
  <c r="H30" i="40"/>
  <c r="AB30" i="40"/>
  <c r="F33" i="40"/>
  <c r="AA33" i="40"/>
  <c r="H33" i="40"/>
  <c r="U33" i="40"/>
  <c r="J35" i="40"/>
  <c r="AC35" i="40"/>
  <c r="J37" i="40"/>
  <c r="AC37" i="40"/>
  <c r="F13" i="39"/>
  <c r="J13" i="39"/>
  <c r="H13" i="39"/>
  <c r="H14" i="40"/>
  <c r="J14" i="40"/>
  <c r="W14" i="40" s="1"/>
  <c r="F14" i="40"/>
  <c r="AA14" i="40" s="1"/>
  <c r="AA44" i="33"/>
  <c r="U46" i="33"/>
  <c r="J36" i="37"/>
  <c r="AC36" i="37"/>
  <c r="J10" i="36"/>
  <c r="W31" i="34"/>
  <c r="AC13" i="36"/>
  <c r="W13" i="36"/>
  <c r="AA14" i="34"/>
  <c r="U31" i="33"/>
  <c r="W29" i="33"/>
  <c r="S44" i="34"/>
  <c r="BA586" i="3"/>
  <c r="F17" i="21"/>
  <c r="AA17" i="21" s="1"/>
  <c r="H17" i="21"/>
  <c r="AB17" i="21" s="1"/>
  <c r="F15" i="21"/>
  <c r="S15" i="21" s="1"/>
  <c r="AB11" i="21"/>
  <c r="J41" i="39"/>
  <c r="W41" i="39" s="1"/>
  <c r="W36" i="39"/>
  <c r="S35" i="39"/>
  <c r="G536" i="3"/>
  <c r="G528" i="3"/>
  <c r="G514" i="3"/>
  <c r="G500" i="3"/>
  <c r="G584" i="3"/>
  <c r="G576" i="3"/>
  <c r="G568" i="3"/>
  <c r="G564" i="3"/>
  <c r="G560" i="3"/>
  <c r="BL580" i="3"/>
  <c r="BL572" i="3"/>
  <c r="BL568" i="3"/>
  <c r="BL554" i="3"/>
  <c r="BL542" i="3"/>
  <c r="BL582" i="3"/>
  <c r="BL566" i="3"/>
  <c r="BL562" i="3"/>
  <c r="BL556" i="3"/>
  <c r="BA584" i="3"/>
  <c r="BA582" i="3"/>
  <c r="AZ582" i="3" s="1"/>
  <c r="BA568" i="3"/>
  <c r="AZ568" i="3" s="1"/>
  <c r="BA566" i="3"/>
  <c r="AZ566" i="3" s="1"/>
  <c r="BA564" i="3"/>
  <c r="BA562" i="3"/>
  <c r="AZ562" i="3" s="1"/>
  <c r="BA558" i="3"/>
  <c r="BA556" i="3"/>
  <c r="AZ556" i="3" s="1"/>
  <c r="BA554" i="3"/>
  <c r="BA552" i="3"/>
  <c r="BA548" i="3"/>
  <c r="BA544" i="3"/>
  <c r="BA542" i="3"/>
  <c r="AZ542" i="3" s="1"/>
  <c r="BA587" i="3"/>
  <c r="BA583" i="3"/>
  <c r="BA577" i="3"/>
  <c r="BA573" i="3"/>
  <c r="BA569" i="3"/>
  <c r="BA567" i="3"/>
  <c r="BA565" i="3"/>
  <c r="BA563" i="3"/>
  <c r="BA561" i="3"/>
  <c r="BA555" i="3"/>
  <c r="BA545" i="3"/>
  <c r="G583" i="3"/>
  <c r="G579" i="3"/>
  <c r="G575" i="3"/>
  <c r="G573" i="3"/>
  <c r="G571" i="3"/>
  <c r="G569" i="3"/>
  <c r="G567" i="3"/>
  <c r="G565" i="3"/>
  <c r="G563" i="3"/>
  <c r="BL558" i="3"/>
  <c r="AC557" i="3"/>
  <c r="G557" i="3" s="1"/>
  <c r="BQ557" i="3"/>
  <c r="BL557" i="3" s="1"/>
  <c r="BQ583" i="3"/>
  <c r="BL583" i="3" s="1"/>
  <c r="BQ581" i="3"/>
  <c r="BQ579" i="3"/>
  <c r="BQ577" i="3"/>
  <c r="BL577" i="3" s="1"/>
  <c r="BQ575" i="3"/>
  <c r="BQ573" i="3"/>
  <c r="BL573" i="3"/>
  <c r="BQ571" i="3"/>
  <c r="BQ569" i="3"/>
  <c r="BL569" i="3" s="1"/>
  <c r="BQ567" i="3"/>
  <c r="BL567" i="3" s="1"/>
  <c r="AZ567" i="3" s="1"/>
  <c r="BQ565" i="3"/>
  <c r="BL565" i="3" s="1"/>
  <c r="BQ563" i="3"/>
  <c r="BL563" i="3" s="1"/>
  <c r="BQ561" i="3"/>
  <c r="BQ559" i="3"/>
  <c r="BL559" i="3" s="1"/>
  <c r="G559" i="3"/>
  <c r="G553" i="3"/>
  <c r="G547" i="3"/>
  <c r="G543" i="3"/>
  <c r="G539" i="3"/>
  <c r="BQ555" i="3"/>
  <c r="BQ553" i="3"/>
  <c r="BL553" i="3" s="1"/>
  <c r="BQ551" i="3"/>
  <c r="BL551" i="3" s="1"/>
  <c r="BQ549" i="3"/>
  <c r="BQ547" i="3"/>
  <c r="BL547" i="3" s="1"/>
  <c r="BQ545" i="3"/>
  <c r="BQ543" i="3"/>
  <c r="BL543" i="3" s="1"/>
  <c r="BQ541" i="3"/>
  <c r="BQ539" i="3"/>
  <c r="BQ537" i="3"/>
  <c r="BQ535" i="3"/>
  <c r="BQ533" i="3"/>
  <c r="BQ531" i="3"/>
  <c r="BQ529" i="3"/>
  <c r="BQ527" i="3"/>
  <c r="BQ525" i="3"/>
  <c r="BQ523" i="3"/>
  <c r="AC521" i="3"/>
  <c r="BQ521" i="3"/>
  <c r="G515"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G125" i="33" s="1"/>
  <c r="H43" i="33"/>
  <c r="U43" i="33" s="1"/>
  <c r="AB43" i="33"/>
  <c r="H17" i="37"/>
  <c r="U17" i="37" s="1"/>
  <c r="F39" i="33"/>
  <c r="E123" i="33"/>
  <c r="F123" i="33" s="1"/>
  <c r="G123" i="33" s="1"/>
  <c r="H123" i="33" s="1"/>
  <c r="I123" i="33" s="1"/>
  <c r="J123" i="33" s="1"/>
  <c r="K123" i="33" s="1"/>
  <c r="F42" i="33"/>
  <c r="AA42" i="33" s="1"/>
  <c r="H28" i="34"/>
  <c r="AB28" i="34" s="1"/>
  <c r="F14" i="36"/>
  <c r="AA14" i="36" s="1"/>
  <c r="F22" i="36"/>
  <c r="S22" i="36" s="1"/>
  <c r="F26" i="36"/>
  <c r="S26" i="36" s="1"/>
  <c r="H35" i="34"/>
  <c r="U35" i="34" s="1"/>
  <c r="F41" i="34"/>
  <c r="AA41" i="34" s="1"/>
  <c r="H41" i="34"/>
  <c r="AB41" i="34" s="1"/>
  <c r="J41" i="34"/>
  <c r="AC41" i="34" s="1"/>
  <c r="F10" i="35"/>
  <c r="AA10" i="35" s="1"/>
  <c r="F24" i="35"/>
  <c r="AA24" i="35" s="1"/>
  <c r="H24" i="35"/>
  <c r="AB24" i="35" s="1"/>
  <c r="H23" i="37"/>
  <c r="AB23" i="37" s="1"/>
  <c r="J32" i="37"/>
  <c r="F36" i="37"/>
  <c r="AA36" i="37" s="1"/>
  <c r="F37" i="37"/>
  <c r="F31" i="40"/>
  <c r="AA31" i="40" s="1"/>
  <c r="H31" i="40"/>
  <c r="U31" i="40" s="1"/>
  <c r="F32" i="40"/>
  <c r="S32" i="40" s="1"/>
  <c r="H32" i="40"/>
  <c r="J36" i="40"/>
  <c r="W36" i="40" s="1"/>
  <c r="H19" i="37"/>
  <c r="AB19" i="37" s="1"/>
  <c r="L123" i="33"/>
  <c r="M123" i="33" s="1"/>
  <c r="H42" i="33"/>
  <c r="AB42" i="33" s="1"/>
  <c r="J43" i="33"/>
  <c r="AC43" i="33" s="1"/>
  <c r="S28" i="31"/>
  <c r="S27" i="31"/>
  <c r="S26" i="31"/>
  <c r="AC32" i="36"/>
  <c r="AC33" i="36"/>
  <c r="U33" i="37"/>
  <c r="AC8" i="37"/>
  <c r="U26" i="37"/>
  <c r="AB37" i="34"/>
  <c r="AC36" i="34"/>
  <c r="AA13" i="33"/>
  <c r="AC31" i="33"/>
  <c r="W44" i="33"/>
  <c r="U11" i="33"/>
  <c r="U19" i="21"/>
  <c r="U26" i="21"/>
  <c r="AB38" i="21"/>
  <c r="F43" i="33"/>
  <c r="W15" i="34"/>
  <c r="AC15" i="34"/>
  <c r="W16" i="35"/>
  <c r="G107" i="37"/>
  <c r="H107" i="37" s="1"/>
  <c r="I107" i="37" s="1"/>
  <c r="J107" i="37" s="1"/>
  <c r="K107" i="37" s="1"/>
  <c r="L107" i="37" s="1"/>
  <c r="M107" i="37" s="1"/>
  <c r="H37" i="21"/>
  <c r="U37" i="21" s="1"/>
  <c r="S42" i="21"/>
  <c r="H19" i="34"/>
  <c r="AB19" i="34" s="1"/>
  <c r="F36" i="35"/>
  <c r="J9" i="37"/>
  <c r="W9" i="37" s="1"/>
  <c r="H9" i="37"/>
  <c r="F9" i="37"/>
  <c r="S9" i="37" s="1"/>
  <c r="J12" i="37"/>
  <c r="H12" i="37"/>
  <c r="F12" i="37"/>
  <c r="E71" i="37"/>
  <c r="F71" i="37" s="1"/>
  <c r="G71" i="37" s="1"/>
  <c r="F15" i="37"/>
  <c r="AA15" i="37" s="1"/>
  <c r="F31" i="37"/>
  <c r="F12" i="39"/>
  <c r="S12" i="39" s="1"/>
  <c r="J42" i="39"/>
  <c r="AC42" i="39" s="1"/>
  <c r="H21" i="40"/>
  <c r="G94" i="37"/>
  <c r="H94" i="37" s="1"/>
  <c r="I94" i="37" s="1"/>
  <c r="J94" i="37" s="1"/>
  <c r="K94" i="37" s="1"/>
  <c r="L94" i="37" s="1"/>
  <c r="M94" i="37" s="1"/>
  <c r="H31" i="37"/>
  <c r="U31" i="37" s="1"/>
  <c r="J15" i="37"/>
  <c r="W15" i="37" s="1"/>
  <c r="AT6" i="3"/>
  <c r="C12" i="43"/>
  <c r="H19" i="40"/>
  <c r="U19" i="40" s="1"/>
  <c r="F88" i="40"/>
  <c r="G88" i="40" s="1"/>
  <c r="F19" i="40"/>
  <c r="S19" i="40" s="1"/>
  <c r="S14" i="40"/>
  <c r="AB33" i="40"/>
  <c r="AC43" i="39"/>
  <c r="G100" i="39"/>
  <c r="H37" i="39"/>
  <c r="AB37" i="39" s="1"/>
  <c r="AC37" i="39"/>
  <c r="W37" i="39"/>
  <c r="H25" i="39"/>
  <c r="AB25" i="39" s="1"/>
  <c r="J25" i="39"/>
  <c r="W25" i="39" s="1"/>
  <c r="F25" i="39"/>
  <c r="AA25" i="39" s="1"/>
  <c r="F15" i="39"/>
  <c r="AA15" i="39" s="1"/>
  <c r="H15" i="39"/>
  <c r="U15" i="39" s="1"/>
  <c r="J15" i="39"/>
  <c r="W15" i="39" s="1"/>
  <c r="H41" i="39"/>
  <c r="AB41" i="39" s="1"/>
  <c r="AB34" i="39"/>
  <c r="J19" i="40"/>
  <c r="AC19" i="40" s="1"/>
  <c r="J50" i="40"/>
  <c r="H103" i="9"/>
  <c r="B16" i="53"/>
  <c r="B33" i="72" s="1"/>
  <c r="C7" i="37"/>
  <c r="W35" i="40"/>
  <c r="A118" i="9"/>
  <c r="A4" i="52"/>
  <c r="B41" i="72" s="1"/>
  <c r="A12" i="52"/>
  <c r="B56" i="72" s="1"/>
  <c r="G4" i="4"/>
  <c r="I4" i="4"/>
  <c r="A2" i="9"/>
  <c r="F59" i="43"/>
  <c r="H62" i="43" s="1"/>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c r="BA360" i="3"/>
  <c r="BL360" i="3"/>
  <c r="G361" i="3"/>
  <c r="BA362" i="3"/>
  <c r="AZ362" i="3" s="1"/>
  <c r="G370" i="3"/>
  <c r="BL371" i="3"/>
  <c r="G372" i="3"/>
  <c r="BL373" i="3"/>
  <c r="BA375" i="3"/>
  <c r="BA376" i="3"/>
  <c r="BL376" i="3"/>
  <c r="G377" i="3"/>
  <c r="BA378" i="3"/>
  <c r="BL378" i="3"/>
  <c r="G379" i="3"/>
  <c r="BA380" i="3"/>
  <c r="G388" i="3"/>
  <c r="BL389" i="3"/>
  <c r="G390" i="3"/>
  <c r="BL391" i="3"/>
  <c r="BA393" i="3"/>
  <c r="BA394" i="3"/>
  <c r="BL394" i="3"/>
  <c r="G113" i="3"/>
  <c r="BA115" i="3"/>
  <c r="AZ115" i="3"/>
  <c r="BL116" i="3"/>
  <c r="G117" i="3"/>
  <c r="BA119" i="3"/>
  <c r="BL120" i="3"/>
  <c r="G121" i="3"/>
  <c r="BA123" i="3"/>
  <c r="BL124" i="3"/>
  <c r="AZ124" i="3" s="1"/>
  <c r="G125" i="3"/>
  <c r="BA127" i="3"/>
  <c r="BL128" i="3"/>
  <c r="AZ128" i="3" s="1"/>
  <c r="G129" i="3"/>
  <c r="BA131" i="3"/>
  <c r="AZ131" i="3" s="1"/>
  <c r="BL132" i="3"/>
  <c r="G133" i="3"/>
  <c r="BA135" i="3"/>
  <c r="AZ135" i="3" s="1"/>
  <c r="BL136" i="3"/>
  <c r="G137" i="3"/>
  <c r="BA139" i="3"/>
  <c r="BL140" i="3"/>
  <c r="AZ140" i="3" s="1"/>
  <c r="G141" i="3"/>
  <c r="BA143" i="3"/>
  <c r="AZ143" i="3"/>
  <c r="BL144" i="3"/>
  <c r="G145" i="3"/>
  <c r="BA147" i="3"/>
  <c r="BL148" i="3"/>
  <c r="AZ148" i="3" s="1"/>
  <c r="G149" i="3"/>
  <c r="BA151" i="3"/>
  <c r="AZ151" i="3" s="1"/>
  <c r="BL152" i="3"/>
  <c r="G153" i="3"/>
  <c r="BA155" i="3"/>
  <c r="BL156" i="3"/>
  <c r="AZ156" i="3" s="1"/>
  <c r="G157" i="3"/>
  <c r="BA159" i="3"/>
  <c r="BL160" i="3"/>
  <c r="G161" i="3"/>
  <c r="BA163" i="3"/>
  <c r="AZ163" i="3" s="1"/>
  <c r="BL164" i="3"/>
  <c r="G165" i="3"/>
  <c r="BA167" i="3"/>
  <c r="BL168" i="3"/>
  <c r="AZ168" i="3" s="1"/>
  <c r="G169" i="3"/>
  <c r="BA171" i="3"/>
  <c r="AZ171" i="3" s="1"/>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AZ203" i="3" s="1"/>
  <c r="BL204" i="3"/>
  <c r="AZ204" i="3" s="1"/>
  <c r="AZ200" i="3"/>
  <c r="G512" i="3"/>
  <c r="G498" i="3"/>
  <c r="G16" i="3"/>
  <c r="G15" i="3"/>
  <c r="BA304" i="3"/>
  <c r="AZ304" i="3" s="1"/>
  <c r="BA305" i="3"/>
  <c r="BL305" i="3"/>
  <c r="G306" i="3"/>
  <c r="G309" i="3"/>
  <c r="BL310" i="3"/>
  <c r="BA312" i="3"/>
  <c r="AZ312" i="3" s="1"/>
  <c r="BA313" i="3"/>
  <c r="AZ313" i="3" s="1"/>
  <c r="BL313" i="3"/>
  <c r="G314" i="3"/>
  <c r="G317" i="3"/>
  <c r="BL318" i="3"/>
  <c r="BA320" i="3"/>
  <c r="BA321" i="3"/>
  <c r="BL321" i="3"/>
  <c r="G322" i="3"/>
  <c r="G325" i="3"/>
  <c r="BL326" i="3"/>
  <c r="BA328" i="3"/>
  <c r="AZ328" i="3" s="1"/>
  <c r="BA329" i="3"/>
  <c r="AZ329" i="3" s="1"/>
  <c r="BL329" i="3"/>
  <c r="G330" i="3"/>
  <c r="G333" i="3"/>
  <c r="BL334" i="3"/>
  <c r="BA336" i="3"/>
  <c r="BA337" i="3"/>
  <c r="AZ337" i="3" s="1"/>
  <c r="BL337" i="3"/>
  <c r="G338" i="3"/>
  <c r="G341" i="3"/>
  <c r="BA342" i="3"/>
  <c r="BL342" i="3"/>
  <c r="BA344" i="3"/>
  <c r="BL344" i="3"/>
  <c r="AZ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AZ390" i="3" s="1"/>
  <c r="BL390" i="3"/>
  <c r="G391" i="3"/>
  <c r="G394" i="3"/>
  <c r="AZ162" i="3"/>
  <c r="BL303" i="3"/>
  <c r="G304" i="3"/>
  <c r="BA306" i="3"/>
  <c r="BL307" i="3"/>
  <c r="G308" i="3"/>
  <c r="BA310" i="3"/>
  <c r="AZ310" i="3" s="1"/>
  <c r="BL311" i="3"/>
  <c r="G312" i="3"/>
  <c r="BA314" i="3"/>
  <c r="BL315" i="3"/>
  <c r="G316" i="3"/>
  <c r="BA318" i="3"/>
  <c r="AZ318" i="3" s="1"/>
  <c r="BL319" i="3"/>
  <c r="G320" i="3"/>
  <c r="BA322" i="3"/>
  <c r="AZ322" i="3" s="1"/>
  <c r="BL323" i="3"/>
  <c r="G324" i="3"/>
  <c r="BA326" i="3"/>
  <c r="AZ326" i="3"/>
  <c r="BL327" i="3"/>
  <c r="AZ327" i="3" s="1"/>
  <c r="G328" i="3"/>
  <c r="BA330" i="3"/>
  <c r="BL331" i="3"/>
  <c r="G332" i="3"/>
  <c r="BA334" i="3"/>
  <c r="AZ334" i="3"/>
  <c r="BL335" i="3"/>
  <c r="G336" i="3"/>
  <c r="BA338" i="3"/>
  <c r="AZ338" i="3"/>
  <c r="BL339" i="3"/>
  <c r="G340" i="3"/>
  <c r="BL343" i="3"/>
  <c r="G344" i="3"/>
  <c r="G348" i="3"/>
  <c r="G355" i="3"/>
  <c r="G342" i="3"/>
  <c r="BL345" i="3"/>
  <c r="AZ345" i="3" s="1"/>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257" i="3"/>
  <c r="AZ269" i="3"/>
  <c r="BA379" i="3"/>
  <c r="BL380" i="3"/>
  <c r="AZ380" i="3" s="1"/>
  <c r="G381" i="3"/>
  <c r="BA383" i="3"/>
  <c r="AZ383" i="3" s="1"/>
  <c r="BL384" i="3"/>
  <c r="G385" i="3"/>
  <c r="BA387" i="3"/>
  <c r="AZ387" i="3" s="1"/>
  <c r="BL388" i="3"/>
  <c r="G389" i="3"/>
  <c r="BA391" i="3"/>
  <c r="AZ391" i="3" s="1"/>
  <c r="BL392" i="3"/>
  <c r="AZ392" i="3" s="1"/>
  <c r="G393" i="3"/>
  <c r="AZ283" i="3"/>
  <c r="G548" i="3"/>
  <c r="G538" i="3"/>
  <c r="AZ343" i="3"/>
  <c r="G17" i="3"/>
  <c r="BA17" i="3"/>
  <c r="AZ352" i="3"/>
  <c r="BA15" i="3"/>
  <c r="G509" i="3"/>
  <c r="U36" i="40"/>
  <c r="F81" i="43"/>
  <c r="F48" i="43"/>
  <c r="F70" i="43"/>
  <c r="H78" i="43" s="1"/>
  <c r="F35" i="43"/>
  <c r="F6" i="1"/>
  <c r="G6" i="1" s="1"/>
  <c r="S14" i="35"/>
  <c r="U35" i="21"/>
  <c r="U10" i="21"/>
  <c r="AZ563" i="3"/>
  <c r="W37" i="37"/>
  <c r="W44" i="34"/>
  <c r="AC44" i="34"/>
  <c r="S15" i="37"/>
  <c r="U12" i="40"/>
  <c r="AA12" i="40"/>
  <c r="J37" i="33"/>
  <c r="W37" i="33"/>
  <c r="F106" i="33"/>
  <c r="G106" i="33" s="1"/>
  <c r="H106" i="33" s="1"/>
  <c r="I106" i="33" s="1"/>
  <c r="J106" i="33" s="1"/>
  <c r="K106" i="33" s="1"/>
  <c r="L106" i="33" s="1"/>
  <c r="M106" i="33" s="1"/>
  <c r="J34" i="33"/>
  <c r="F33" i="34"/>
  <c r="H20" i="36"/>
  <c r="J20" i="36"/>
  <c r="W20" i="36" s="1"/>
  <c r="J27" i="36"/>
  <c r="W27" i="36"/>
  <c r="AC33" i="40"/>
  <c r="G111" i="40"/>
  <c r="H111" i="40" s="1"/>
  <c r="I111" i="40" s="1"/>
  <c r="J111" i="40" s="1"/>
  <c r="K111" i="40" s="1"/>
  <c r="L111" i="40" s="1"/>
  <c r="M111" i="40" s="1"/>
  <c r="H35" i="40"/>
  <c r="AB35" i="40"/>
  <c r="AC29" i="35"/>
  <c r="W29" i="35"/>
  <c r="H35" i="37"/>
  <c r="U35" i="37"/>
  <c r="AC14" i="35"/>
  <c r="H20" i="35"/>
  <c r="U20" i="35" s="1"/>
  <c r="F20" i="35"/>
  <c r="U29" i="36"/>
  <c r="H32" i="37"/>
  <c r="AB32" i="37" s="1"/>
  <c r="F96" i="37"/>
  <c r="H27" i="40"/>
  <c r="U27" i="40" s="1"/>
  <c r="J27" i="40"/>
  <c r="F27" i="40"/>
  <c r="S27" i="40" s="1"/>
  <c r="J30" i="40"/>
  <c r="AC30" i="40" s="1"/>
  <c r="F30" i="40"/>
  <c r="AC21" i="40"/>
  <c r="E98" i="40"/>
  <c r="F98" i="40" s="1"/>
  <c r="G98" i="40" s="1"/>
  <c r="H98" i="40" s="1"/>
  <c r="I98" i="40" s="1"/>
  <c r="J98" i="40" s="1"/>
  <c r="K98" i="40" s="1"/>
  <c r="L98" i="40" s="1"/>
  <c r="M98" i="40" s="1"/>
  <c r="F10" i="33"/>
  <c r="S10" i="33" s="1"/>
  <c r="F34" i="33"/>
  <c r="H34" i="33"/>
  <c r="U34" i="33" s="1"/>
  <c r="F35" i="33"/>
  <c r="F39" i="34"/>
  <c r="J39" i="34"/>
  <c r="W39" i="34" s="1"/>
  <c r="F40" i="34"/>
  <c r="S40" i="34" s="1"/>
  <c r="F43" i="34"/>
  <c r="H44" i="34"/>
  <c r="AC38" i="39"/>
  <c r="F39" i="39"/>
  <c r="S39" i="39" s="1"/>
  <c r="J39" i="39"/>
  <c r="AC39" i="39" s="1"/>
  <c r="C40" i="11"/>
  <c r="AZ251" i="3"/>
  <c r="AZ280" i="3"/>
  <c r="AZ133" i="3"/>
  <c r="AZ29" i="3"/>
  <c r="AZ33" i="3"/>
  <c r="H50" i="43"/>
  <c r="I20" i="43"/>
  <c r="F23" i="39"/>
  <c r="AA23" i="39" s="1"/>
  <c r="H27" i="36"/>
  <c r="F27" i="36"/>
  <c r="H33" i="34"/>
  <c r="U33" i="34" s="1"/>
  <c r="F32" i="37"/>
  <c r="G96" i="37"/>
  <c r="H96" i="37" s="1"/>
  <c r="I96" i="37" s="1"/>
  <c r="J96" i="37" s="1"/>
  <c r="K96" i="37" s="1"/>
  <c r="L96" i="37" s="1"/>
  <c r="M96" i="37" s="1"/>
  <c r="F20" i="36"/>
  <c r="AA20" i="36" s="1"/>
  <c r="J33" i="34"/>
  <c r="AC33" i="34"/>
  <c r="H23" i="39"/>
  <c r="U23" i="39" s="1"/>
  <c r="D48" i="9"/>
  <c r="M52" i="9" s="1"/>
  <c r="K9" i="1"/>
  <c r="M9" i="1" s="1"/>
  <c r="O9" i="1" s="1"/>
  <c r="AE9" i="1"/>
  <c r="D93" i="9"/>
  <c r="K6" i="1"/>
  <c r="M6" i="1" s="1"/>
  <c r="AB34" i="36"/>
  <c r="AB33" i="36"/>
  <c r="AC12" i="39"/>
  <c r="W12" i="39"/>
  <c r="AC39" i="40"/>
  <c r="W39" i="40"/>
  <c r="AZ401" i="3"/>
  <c r="AZ417" i="3"/>
  <c r="AZ428" i="3"/>
  <c r="W12" i="33"/>
  <c r="AC12" i="33"/>
  <c r="S32" i="36"/>
  <c r="AZ473" i="3"/>
  <c r="AC13" i="34"/>
  <c r="AA47" i="34"/>
  <c r="W28" i="37"/>
  <c r="F12" i="33"/>
  <c r="S12" i="33" s="1"/>
  <c r="H12" i="39"/>
  <c r="AB12" i="39" s="1"/>
  <c r="F39" i="40"/>
  <c r="S39" i="40" s="1"/>
  <c r="AZ367" i="3"/>
  <c r="AZ189" i="3"/>
  <c r="S12" i="1"/>
  <c r="AQ12" i="1" s="1"/>
  <c r="R12" i="1"/>
  <c r="B12" i="1"/>
  <c r="E12" i="1" s="1"/>
  <c r="S10" i="1"/>
  <c r="AQ10" i="1" s="1"/>
  <c r="R10" i="1"/>
  <c r="B10" i="1"/>
  <c r="E10" i="1" s="1"/>
  <c r="K12" i="1"/>
  <c r="M12" i="1" s="1"/>
  <c r="O12" i="1" s="1"/>
  <c r="S13" i="1"/>
  <c r="AR13" i="1" s="1"/>
  <c r="R13" i="1"/>
  <c r="S11" i="1"/>
  <c r="AQ11" i="1" s="1"/>
  <c r="R11" i="1"/>
  <c r="S9" i="1"/>
  <c r="AR9" i="1" s="1"/>
  <c r="R9" i="1"/>
  <c r="J51" i="67"/>
  <c r="H100" i="43"/>
  <c r="B41" i="1"/>
  <c r="J100" i="43"/>
  <c r="AB37" i="40"/>
  <c r="U35" i="40"/>
  <c r="AC36" i="40"/>
  <c r="AA32" i="40"/>
  <c r="S17" i="40"/>
  <c r="S23" i="40"/>
  <c r="AC15" i="40"/>
  <c r="AB27" i="40"/>
  <c r="AA19" i="40"/>
  <c r="AB19" i="40"/>
  <c r="U37" i="39"/>
  <c r="S43" i="39"/>
  <c r="S37" i="39"/>
  <c r="U35" i="39"/>
  <c r="F32" i="39"/>
  <c r="AA32" i="39" s="1"/>
  <c r="F106" i="39"/>
  <c r="G106" i="39" s="1"/>
  <c r="H106" i="39" s="1"/>
  <c r="I106" i="39" s="1"/>
  <c r="J106" i="39" s="1"/>
  <c r="K106" i="39" s="1"/>
  <c r="L106" i="39" s="1"/>
  <c r="M106" i="39" s="1"/>
  <c r="J21" i="39"/>
  <c r="W21" i="39" s="1"/>
  <c r="F21" i="39"/>
  <c r="AA21" i="39" s="1"/>
  <c r="G94" i="39"/>
  <c r="H21" i="39"/>
  <c r="AB21" i="39" s="1"/>
  <c r="S17" i="39"/>
  <c r="S15" i="39"/>
  <c r="AA12" i="39"/>
  <c r="U14" i="39"/>
  <c r="S23" i="36"/>
  <c r="U13" i="36"/>
  <c r="AC27" i="36"/>
  <c r="U26" i="36"/>
  <c r="S33" i="36"/>
  <c r="AA26" i="36"/>
  <c r="AA34" i="36"/>
  <c r="S29" i="36"/>
  <c r="AC26" i="36"/>
  <c r="AA22" i="36"/>
  <c r="W14" i="36"/>
  <c r="AB14" i="36"/>
  <c r="U22" i="36"/>
  <c r="S16" i="36"/>
  <c r="AA25" i="36"/>
  <c r="U23" i="36"/>
  <c r="U16" i="36"/>
  <c r="S14" i="36"/>
  <c r="AA25" i="35"/>
  <c r="W24" i="35"/>
  <c r="AB13" i="35"/>
  <c r="U29" i="35"/>
  <c r="U28" i="35"/>
  <c r="AB27" i="35"/>
  <c r="U32" i="35"/>
  <c r="AA33" i="35"/>
  <c r="AC30" i="35"/>
  <c r="S32" i="35"/>
  <c r="W32" i="35"/>
  <c r="S28" i="35"/>
  <c r="U22" i="35"/>
  <c r="AC20" i="35"/>
  <c r="S22" i="35"/>
  <c r="AB10" i="35"/>
  <c r="S8" i="35"/>
  <c r="AC12" i="35"/>
  <c r="F9" i="35"/>
  <c r="S25" i="37"/>
  <c r="S26" i="37"/>
  <c r="AC9" i="37"/>
  <c r="AC29" i="37"/>
  <c r="U29" i="37"/>
  <c r="AB31" i="37"/>
  <c r="W30" i="37"/>
  <c r="S36" i="37"/>
  <c r="U32" i="37"/>
  <c r="S30" i="37"/>
  <c r="AC15" i="37"/>
  <c r="J17" i="37"/>
  <c r="F17" i="37"/>
  <c r="AA17" i="37" s="1"/>
  <c r="AB17" i="37"/>
  <c r="F19" i="37"/>
  <c r="F79" i="37"/>
  <c r="F23" i="37"/>
  <c r="S23" i="37" s="1"/>
  <c r="U23" i="37"/>
  <c r="AC13" i="37"/>
  <c r="H10" i="37"/>
  <c r="AB10" i="37" s="1"/>
  <c r="H60" i="37"/>
  <c r="F11" i="37"/>
  <c r="S11" i="37" s="1"/>
  <c r="AB8" i="34"/>
  <c r="U43" i="34"/>
  <c r="AC39" i="34"/>
  <c r="W41" i="34"/>
  <c r="AC42" i="34"/>
  <c r="AB35" i="34"/>
  <c r="U39" i="34"/>
  <c r="W34" i="34"/>
  <c r="U28" i="34"/>
  <c r="S23" i="34"/>
  <c r="U15" i="34"/>
  <c r="S10" i="34"/>
  <c r="H67" i="34"/>
  <c r="H10" i="34"/>
  <c r="F11" i="34"/>
  <c r="F70" i="34"/>
  <c r="W42" i="33"/>
  <c r="S32" i="33"/>
  <c r="AA29" i="33"/>
  <c r="AB29" i="33"/>
  <c r="W38" i="33"/>
  <c r="H41" i="33"/>
  <c r="AB41" i="33" s="1"/>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c r="K108" i="33" s="1"/>
  <c r="L108" i="33" s="1"/>
  <c r="M108" i="33" s="1"/>
  <c r="J35" i="33"/>
  <c r="S37" i="33"/>
  <c r="AA37" i="33"/>
  <c r="F101" i="33"/>
  <c r="G101" i="33" s="1"/>
  <c r="H101" i="33" s="1"/>
  <c r="I101" i="33" s="1"/>
  <c r="J101" i="33" s="1"/>
  <c r="K101" i="33" s="1"/>
  <c r="L101" i="33" s="1"/>
  <c r="M101" i="33" s="1"/>
  <c r="J32" i="33"/>
  <c r="S46" i="33"/>
  <c r="W43" i="33"/>
  <c r="F91" i="33"/>
  <c r="H27" i="33"/>
  <c r="F87" i="33"/>
  <c r="H25" i="33"/>
  <c r="AB25" i="33" s="1"/>
  <c r="F25" i="33"/>
  <c r="J23" i="33"/>
  <c r="F85" i="33"/>
  <c r="H23" i="33"/>
  <c r="AB23" i="33" s="1"/>
  <c r="F81" i="33"/>
  <c r="F19" i="33"/>
  <c r="S19" i="33" s="1"/>
  <c r="J17" i="33"/>
  <c r="W17" i="33" s="1"/>
  <c r="F79" i="33"/>
  <c r="S15" i="33"/>
  <c r="W15" i="33"/>
  <c r="I66" i="33"/>
  <c r="J10" i="33"/>
  <c r="AC10" i="33" s="1"/>
  <c r="H10" i="33"/>
  <c r="AC11" i="33"/>
  <c r="W36" i="21"/>
  <c r="W41" i="21"/>
  <c r="AB39" i="21"/>
  <c r="S39" i="21"/>
  <c r="AA38" i="21"/>
  <c r="AA36" i="21"/>
  <c r="J15" i="21"/>
  <c r="W15" i="21" s="1"/>
  <c r="F77" i="21"/>
  <c r="G77" i="21" s="1"/>
  <c r="F23" i="21"/>
  <c r="S23" i="21" s="1"/>
  <c r="E85" i="21"/>
  <c r="AC11" i="21"/>
  <c r="AA14" i="21"/>
  <c r="AB8" i="21"/>
  <c r="S8" i="21"/>
  <c r="M3" i="43"/>
  <c r="M1" i="43"/>
  <c r="N8" i="43"/>
  <c r="C18" i="9"/>
  <c r="D18" i="9" s="1"/>
  <c r="G13" i="3"/>
  <c r="BA13" i="3"/>
  <c r="BL17" i="3"/>
  <c r="AZ17" i="3" s="1"/>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H84" i="43"/>
  <c r="H53" i="43"/>
  <c r="H71" i="43"/>
  <c r="C17" i="43"/>
  <c r="N6" i="43"/>
  <c r="N3" i="43"/>
  <c r="F37" i="43"/>
  <c r="N5" i="43"/>
  <c r="M12" i="43"/>
  <c r="B19" i="53"/>
  <c r="B37" i="72" s="1"/>
  <c r="C7" i="40"/>
  <c r="C63" i="40" s="1"/>
  <c r="C52" i="37"/>
  <c r="D52" i="37" s="1"/>
  <c r="A4" i="51"/>
  <c r="B6" i="72" s="1"/>
  <c r="C4" i="12"/>
  <c r="H65" i="43"/>
  <c r="H63" i="43"/>
  <c r="L20" i="6"/>
  <c r="B6" i="1"/>
  <c r="E6" i="1" s="1"/>
  <c r="S8" i="1"/>
  <c r="AR8" i="1" s="1"/>
  <c r="K11" i="1"/>
  <c r="M11" i="1" s="1"/>
  <c r="O11" i="1" s="1"/>
  <c r="AP6" i="1"/>
  <c r="B9" i="1"/>
  <c r="E9" i="1" s="1"/>
  <c r="K7" i="1"/>
  <c r="G1" i="15"/>
  <c r="G1" i="69"/>
  <c r="G1" i="67"/>
  <c r="W23" i="40"/>
  <c r="AB31" i="40"/>
  <c r="S37" i="40"/>
  <c r="AB28" i="40"/>
  <c r="W28" i="40"/>
  <c r="W34" i="40"/>
  <c r="W19" i="40"/>
  <c r="S36" i="40"/>
  <c r="W37" i="40"/>
  <c r="AC14" i="40"/>
  <c r="S33" i="40"/>
  <c r="AA15" i="40"/>
  <c r="U11" i="40"/>
  <c r="S31" i="40"/>
  <c r="U15" i="40"/>
  <c r="AB17" i="40"/>
  <c r="U8" i="40"/>
  <c r="S8" i="40"/>
  <c r="U42" i="39"/>
  <c r="AC25" i="39"/>
  <c r="U13" i="39"/>
  <c r="AB13" i="39"/>
  <c r="AA13" i="39"/>
  <c r="S13" i="39"/>
  <c r="S14" i="39"/>
  <c r="AA14" i="39"/>
  <c r="U43" i="39"/>
  <c r="AB43" i="39"/>
  <c r="W17" i="39"/>
  <c r="AC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8" i="37"/>
  <c r="U36" i="37"/>
  <c r="U38" i="37"/>
  <c r="AB37" i="37"/>
  <c r="S33" i="37"/>
  <c r="AC34" i="37"/>
  <c r="AB35" i="37"/>
  <c r="AA1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S31" i="33"/>
  <c r="AA31" i="33"/>
  <c r="W13" i="33"/>
  <c r="AC13" i="33"/>
  <c r="U15" i="33"/>
  <c r="S11" i="33"/>
  <c r="U37" i="33"/>
  <c r="AC28" i="33"/>
  <c r="S28" i="33"/>
  <c r="W9" i="33"/>
  <c r="W8" i="33"/>
  <c r="AB42" i="21"/>
  <c r="U28" i="21"/>
  <c r="AA11" i="21"/>
  <c r="S45" i="21"/>
  <c r="I101" i="21"/>
  <c r="J101" i="21" s="1"/>
  <c r="K101" i="21" s="1"/>
  <c r="L101" i="21" s="1"/>
  <c r="M101" i="21" s="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s="1"/>
  <c r="F29" i="21"/>
  <c r="F13" i="21"/>
  <c r="AA13" i="21" s="1"/>
  <c r="AC38" i="21"/>
  <c r="H32" i="21"/>
  <c r="AB32" i="21" s="1"/>
  <c r="H9" i="21"/>
  <c r="J9" i="21"/>
  <c r="J32" i="21"/>
  <c r="F32" i="21"/>
  <c r="AA32" i="21" s="1"/>
  <c r="AA31" i="21"/>
  <c r="U17" i="21"/>
  <c r="W29" i="21"/>
  <c r="S19" i="21"/>
  <c r="S9" i="21"/>
  <c r="AA9" i="21"/>
  <c r="K141" i="21"/>
  <c r="K144" i="21"/>
  <c r="K143" i="21"/>
  <c r="AB25" i="21"/>
  <c r="AA30" i="21"/>
  <c r="W42" i="21"/>
  <c r="AC45" i="21"/>
  <c r="F10" i="21"/>
  <c r="K145" i="21"/>
  <c r="W17" i="21"/>
  <c r="W25"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AA39" i="40"/>
  <c r="AA12" i="33"/>
  <c r="F54" i="9"/>
  <c r="J32" i="39"/>
  <c r="W32" i="39" s="1"/>
  <c r="H32" i="39"/>
  <c r="AB32" i="39" s="1"/>
  <c r="AA9" i="35"/>
  <c r="S9" i="35"/>
  <c r="S17" i="37"/>
  <c r="J19" i="37"/>
  <c r="W19" i="37" s="1"/>
  <c r="G75" i="37"/>
  <c r="AA23" i="37"/>
  <c r="J23" i="37"/>
  <c r="G79" i="37"/>
  <c r="J10" i="37"/>
  <c r="I60" i="37"/>
  <c r="G63" i="37"/>
  <c r="H11" i="37"/>
  <c r="U11" i="37" s="1"/>
  <c r="U10" i="37"/>
  <c r="G70" i="34"/>
  <c r="H11" i="34"/>
  <c r="AB10" i="34"/>
  <c r="U10" i="34"/>
  <c r="J10" i="34"/>
  <c r="AC10" i="34" s="1"/>
  <c r="I67" i="34"/>
  <c r="U41" i="33"/>
  <c r="W35" i="33"/>
  <c r="AC35" i="33"/>
  <c r="J36" i="33"/>
  <c r="H36" i="33"/>
  <c r="AB36" i="33" s="1"/>
  <c r="S36" i="33"/>
  <c r="AA36" i="33"/>
  <c r="AC32" i="33"/>
  <c r="W32" i="33"/>
  <c r="U27"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W25" i="33" s="1"/>
  <c r="U23" i="33"/>
  <c r="F23" i="33"/>
  <c r="S23" i="33" s="1"/>
  <c r="G85" i="33"/>
  <c r="AC23" i="33"/>
  <c r="W23" i="33"/>
  <c r="AA19" i="33"/>
  <c r="H19" i="33"/>
  <c r="AB19" i="33" s="1"/>
  <c r="G81" i="33"/>
  <c r="G79" i="33"/>
  <c r="H17" i="33"/>
  <c r="U17" i="33" s="1"/>
  <c r="F17" i="33"/>
  <c r="S17" i="33" s="1"/>
  <c r="AC17" i="33"/>
  <c r="U10" i="33"/>
  <c r="AB10" i="33"/>
  <c r="W10" i="33"/>
  <c r="AC37" i="21"/>
  <c r="U33" i="21"/>
  <c r="S37" i="21"/>
  <c r="AA23" i="21"/>
  <c r="AB15" i="21"/>
  <c r="J23" i="21"/>
  <c r="AC23" i="21" s="1"/>
  <c r="F85" i="21"/>
  <c r="G85" i="21" s="1"/>
  <c r="H23" i="21"/>
  <c r="U23" i="21" s="1"/>
  <c r="S13" i="21"/>
  <c r="AP7" i="1"/>
  <c r="AB45" i="21"/>
  <c r="AC33" i="21"/>
  <c r="W33" i="21"/>
  <c r="S33" i="21"/>
  <c r="AA33" i="21"/>
  <c r="AB9" i="21"/>
  <c r="U9" i="21"/>
  <c r="S32" i="21"/>
  <c r="W9" i="21"/>
  <c r="AC9" i="21"/>
  <c r="AA10" i="21"/>
  <c r="S10" i="21"/>
  <c r="W23" i="37"/>
  <c r="AC23" i="37"/>
  <c r="AB11" i="37"/>
  <c r="H63" i="37"/>
  <c r="I63" i="37" s="1"/>
  <c r="J63" i="37" s="1"/>
  <c r="K63" i="37" s="1"/>
  <c r="L63" i="37" s="1"/>
  <c r="M63" i="37" s="1"/>
  <c r="J11" i="37"/>
  <c r="W10" i="37"/>
  <c r="AC10" i="37"/>
  <c r="U11" i="34"/>
  <c r="AB11" i="34"/>
  <c r="W10" i="34"/>
  <c r="H70" i="34"/>
  <c r="I70" i="34" s="1"/>
  <c r="J70" i="34" s="1"/>
  <c r="K70" i="34" s="1"/>
  <c r="L70" i="34" s="1"/>
  <c r="M70" i="34" s="1"/>
  <c r="J11" i="34"/>
  <c r="W11" i="34" s="1"/>
  <c r="AC36" i="33"/>
  <c r="W36" i="33"/>
  <c r="U36" i="33"/>
  <c r="W27" i="33"/>
  <c r="AC25" i="33"/>
  <c r="AA23" i="33"/>
  <c r="AA17" i="33"/>
  <c r="AB17" i="33"/>
  <c r="AB23" i="21"/>
  <c r="AC11" i="37"/>
  <c r="W11" i="37"/>
  <c r="F34" i="11"/>
  <c r="F11" i="12"/>
  <c r="C23" i="12" s="1"/>
  <c r="F34" i="68"/>
  <c r="R8" i="1"/>
  <c r="AE8" i="1"/>
  <c r="AG6" i="1"/>
  <c r="H109" i="9"/>
  <c r="D16" i="53" s="1"/>
  <c r="B34" i="72" s="1"/>
  <c r="H112" i="9"/>
  <c r="D21" i="53"/>
  <c r="B39" i="72" s="1"/>
  <c r="H111" i="9"/>
  <c r="AD3" i="71"/>
  <c r="H76" i="43"/>
  <c r="H51" i="43"/>
  <c r="H67" i="43"/>
  <c r="H60" i="43"/>
  <c r="M4" i="43"/>
  <c r="N12" i="43"/>
  <c r="N11" i="43"/>
  <c r="M10" i="43"/>
  <c r="M7" i="43"/>
  <c r="H54" i="43"/>
  <c r="M8" i="43"/>
  <c r="N10" i="43"/>
  <c r="M6" i="43"/>
  <c r="N7" i="43"/>
  <c r="N4" i="43"/>
  <c r="N17" i="43"/>
  <c r="L17" i="43"/>
  <c r="E17" i="43"/>
  <c r="C19" i="71"/>
  <c r="C18" i="71" s="1"/>
  <c r="D19" i="71"/>
  <c r="D20" i="71"/>
  <c r="D21" i="71"/>
  <c r="U21" i="71" s="1"/>
  <c r="T21" i="71"/>
  <c r="AB19" i="71"/>
  <c r="X17" i="71"/>
  <c r="X16" i="71"/>
  <c r="AA17" i="71"/>
  <c r="AA16" i="71"/>
  <c r="X20" i="71"/>
  <c r="Y16" i="71"/>
  <c r="Z16" i="71" s="1"/>
  <c r="AB17" i="71"/>
  <c r="AB16" i="71"/>
  <c r="C94" i="9"/>
  <c r="C92" i="9"/>
  <c r="F18" i="71"/>
  <c r="F17" i="71"/>
  <c r="F16" i="71" s="1"/>
  <c r="F15" i="71" s="1"/>
  <c r="F14" i="71" s="1"/>
  <c r="Y17" i="71"/>
  <c r="Z17" i="71" s="1"/>
  <c r="X3" i="71"/>
  <c r="G20" i="43"/>
  <c r="C20" i="43" s="1"/>
  <c r="M8" i="67"/>
  <c r="F5" i="73"/>
  <c r="F38" i="67"/>
  <c r="B11" i="76"/>
  <c r="F26" i="15"/>
  <c r="M22" i="15"/>
  <c r="M23" i="67"/>
  <c r="L47" i="15"/>
  <c r="F13" i="67"/>
  <c r="C76" i="67"/>
  <c r="B13" i="76"/>
  <c r="F38" i="15"/>
  <c r="F42" i="67"/>
  <c r="M24" i="15"/>
  <c r="F13" i="15"/>
  <c r="B7" i="76"/>
  <c r="M27" i="15"/>
  <c r="D2" i="21"/>
  <c r="M9" i="15"/>
  <c r="F3" i="73"/>
  <c r="E7" i="76"/>
  <c r="B12" i="76"/>
  <c r="E13" i="76"/>
  <c r="D2" i="33"/>
  <c r="F41" i="67"/>
  <c r="F43" i="67"/>
  <c r="F6" i="67"/>
  <c r="M23" i="15"/>
  <c r="M6" i="15"/>
  <c r="AO11" i="1"/>
  <c r="E10" i="76"/>
  <c r="M8" i="15"/>
  <c r="F16" i="15"/>
  <c r="C76" i="15"/>
  <c r="F8" i="67"/>
  <c r="L48" i="15"/>
  <c r="AO12" i="1"/>
  <c r="F7" i="67"/>
  <c r="F4" i="73"/>
  <c r="AO10" i="1"/>
  <c r="M29" i="15"/>
  <c r="B9" i="76"/>
  <c r="F6" i="15"/>
  <c r="F16" i="67"/>
  <c r="D2" i="37"/>
  <c r="M9" i="67"/>
  <c r="F7" i="73"/>
  <c r="E8" i="76"/>
  <c r="D2" i="35"/>
  <c r="E2" i="68"/>
  <c r="M24" i="67"/>
  <c r="F26" i="67"/>
  <c r="F40" i="67"/>
  <c r="F35" i="67"/>
  <c r="AO9" i="1"/>
  <c r="F9" i="15"/>
  <c r="M22" i="67"/>
  <c r="J15" i="15"/>
  <c r="F36" i="15"/>
  <c r="B10" i="76"/>
  <c r="M28" i="67"/>
  <c r="M28" i="15"/>
  <c r="E11" i="76"/>
  <c r="J15" i="67"/>
  <c r="M27" i="67"/>
  <c r="AO8" i="1"/>
  <c r="E12" i="76"/>
  <c r="F20" i="31"/>
  <c r="F42" i="15"/>
  <c r="F36" i="67"/>
  <c r="F6" i="73"/>
  <c r="F7" i="15"/>
  <c r="M6" i="67"/>
  <c r="F9" i="67"/>
  <c r="E9" i="76"/>
  <c r="F8" i="15"/>
  <c r="B8" i="76"/>
  <c r="M21" i="67"/>
  <c r="F37" i="15"/>
  <c r="E2" i="69"/>
  <c r="M29" i="67"/>
  <c r="D2" i="36"/>
  <c r="AO13" i="1"/>
  <c r="M26" i="67"/>
  <c r="F40" i="15"/>
  <c r="M26" i="15"/>
  <c r="D2" i="34"/>
  <c r="F43" i="15"/>
  <c r="C7" i="21" l="1"/>
  <c r="C58" i="21" s="1"/>
  <c r="C7" i="39"/>
  <c r="C67" i="39" s="1"/>
  <c r="C69" i="39" s="1"/>
  <c r="G19" i="43"/>
  <c r="O19" i="43" s="1"/>
  <c r="C19" i="43" s="1"/>
  <c r="C7" i="33"/>
  <c r="C58" i="33" s="1"/>
  <c r="D58" i="33" s="1"/>
  <c r="E58" i="33" s="1"/>
  <c r="F58" i="33" s="1"/>
  <c r="G58" i="33" s="1"/>
  <c r="H58" i="33" s="1"/>
  <c r="I58" i="33" s="1"/>
  <c r="J58" i="33" s="1"/>
  <c r="K58" i="33" s="1"/>
  <c r="L58" i="33" s="1"/>
  <c r="M58" i="33" s="1"/>
  <c r="N58" i="33" s="1"/>
  <c r="O58" i="33" s="1"/>
  <c r="C42" i="1"/>
  <c r="C13" i="12" s="1"/>
  <c r="C7" i="36"/>
  <c r="C46" i="36" s="1"/>
  <c r="D46" i="36" s="1"/>
  <c r="E46" i="36" s="1"/>
  <c r="F46" i="36" s="1"/>
  <c r="G46" i="36" s="1"/>
  <c r="H46" i="36" s="1"/>
  <c r="I46" i="36" s="1"/>
  <c r="G10" i="1"/>
  <c r="J1" i="73"/>
  <c r="M47" i="9"/>
  <c r="C7" i="35"/>
  <c r="C48" i="35" s="1"/>
  <c r="D48" i="35" s="1"/>
  <c r="C7" i="34"/>
  <c r="C59" i="34" s="1"/>
  <c r="D59" i="34" s="1"/>
  <c r="E59" i="34" s="1"/>
  <c r="F59" i="34" s="1"/>
  <c r="G59" i="34" s="1"/>
  <c r="H59" i="34" s="1"/>
  <c r="I59" i="34" s="1"/>
  <c r="J59" i="34" s="1"/>
  <c r="J51" i="15"/>
  <c r="J57" i="15" s="1"/>
  <c r="J55" i="15" s="1"/>
  <c r="J58" i="15" s="1"/>
  <c r="Q50" i="15" s="1"/>
  <c r="H110" i="9"/>
  <c r="D18" i="53" s="1"/>
  <c r="B35" i="72" s="1"/>
  <c r="U32" i="21"/>
  <c r="S11" i="34"/>
  <c r="AA11" i="34"/>
  <c r="AC27" i="40"/>
  <c r="W27" i="40"/>
  <c r="D8" i="53"/>
  <c r="D120" i="9"/>
  <c r="D126" i="9"/>
  <c r="D19" i="53"/>
  <c r="B38" i="72" s="1"/>
  <c r="W17" i="37"/>
  <c r="AC17" i="37"/>
  <c r="AZ325" i="3"/>
  <c r="W32" i="37"/>
  <c r="AC32" i="37"/>
  <c r="S19" i="37"/>
  <c r="AA19" i="37"/>
  <c r="S35" i="33"/>
  <c r="AA35" i="33"/>
  <c r="H52" i="43"/>
  <c r="H55" i="43"/>
  <c r="H56" i="43"/>
  <c r="H48" i="43"/>
  <c r="H49" i="43"/>
  <c r="AZ306" i="3"/>
  <c r="AZ356" i="3"/>
  <c r="AZ347" i="3"/>
  <c r="AZ394" i="3"/>
  <c r="S31" i="37"/>
  <c r="AA31" i="37"/>
  <c r="H87" i="43"/>
  <c r="H82" i="43"/>
  <c r="H85" i="43"/>
  <c r="AZ377" i="3"/>
  <c r="AZ351" i="3"/>
  <c r="AZ342" i="3"/>
  <c r="AZ378" i="3"/>
  <c r="U32" i="40"/>
  <c r="AB32" i="40"/>
  <c r="S37" i="37"/>
  <c r="AA37" i="37"/>
  <c r="W47" i="34"/>
  <c r="S10" i="35"/>
  <c r="U41" i="34"/>
  <c r="AZ565" i="3"/>
  <c r="AZ577" i="3"/>
  <c r="S14" i="33"/>
  <c r="W45" i="33"/>
  <c r="AB13" i="33"/>
  <c r="U30" i="21"/>
  <c r="AB14" i="35"/>
  <c r="U16" i="35"/>
  <c r="AA34" i="35"/>
  <c r="S34" i="35"/>
  <c r="H45" i="33"/>
  <c r="F45" i="33"/>
  <c r="H14" i="37"/>
  <c r="F14" i="37"/>
  <c r="J14" i="37"/>
  <c r="S38" i="34"/>
  <c r="AA38" i="34"/>
  <c r="W31" i="35"/>
  <c r="AC31" i="35"/>
  <c r="BA547" i="3"/>
  <c r="BL546" i="3"/>
  <c r="BA546" i="3"/>
  <c r="BL544" i="3"/>
  <c r="BA543" i="3"/>
  <c r="G508" i="3"/>
  <c r="G3" i="43"/>
  <c r="C11" i="39"/>
  <c r="F12" i="35"/>
  <c r="J30" i="33"/>
  <c r="H30" i="33"/>
  <c r="AB31" i="36"/>
  <c r="U31" i="36"/>
  <c r="J26" i="37"/>
  <c r="H44" i="39"/>
  <c r="F44" i="39"/>
  <c r="AA34" i="39"/>
  <c r="S34" i="39"/>
  <c r="BL584" i="3"/>
  <c r="AZ584" i="3" s="1"/>
  <c r="G581" i="3"/>
  <c r="G580" i="3"/>
  <c r="BL574" i="3"/>
  <c r="G572" i="3"/>
  <c r="BL564" i="3"/>
  <c r="AZ564" i="3" s="1"/>
  <c r="U29" i="34"/>
  <c r="W25" i="34"/>
  <c r="AA9" i="37"/>
  <c r="U12" i="39"/>
  <c r="S28" i="40"/>
  <c r="AC17" i="40"/>
  <c r="F53" i="9"/>
  <c r="M18" i="83"/>
  <c r="F32" i="83"/>
  <c r="F60" i="83" s="1"/>
  <c r="F28" i="83"/>
  <c r="C28" i="83" s="1"/>
  <c r="AZ373" i="3"/>
  <c r="AZ311" i="3"/>
  <c r="AZ364" i="3"/>
  <c r="AZ355" i="3"/>
  <c r="AZ336" i="3"/>
  <c r="AZ376" i="3"/>
  <c r="AZ360" i="3"/>
  <c r="AZ309" i="3"/>
  <c r="AA25" i="21"/>
  <c r="U35" i="35"/>
  <c r="S41" i="34"/>
  <c r="U32" i="33"/>
  <c r="AZ569" i="3"/>
  <c r="W44" i="39"/>
  <c r="AC11" i="35"/>
  <c r="W28" i="21"/>
  <c r="AC28" i="21"/>
  <c r="S15" i="34"/>
  <c r="S29" i="35"/>
  <c r="AA29" i="35"/>
  <c r="J27" i="21"/>
  <c r="H27" i="21"/>
  <c r="F9" i="34"/>
  <c r="W12" i="34"/>
  <c r="AC12" i="34"/>
  <c r="H11" i="35"/>
  <c r="F11" i="35"/>
  <c r="AC28" i="36"/>
  <c r="W45" i="39"/>
  <c r="AC45" i="39"/>
  <c r="AA29" i="34"/>
  <c r="AA13" i="37"/>
  <c r="AZ320" i="3"/>
  <c r="W37" i="34"/>
  <c r="AZ573" i="3"/>
  <c r="AC30" i="34"/>
  <c r="AB33" i="33"/>
  <c r="U33" i="33"/>
  <c r="G574" i="3"/>
  <c r="BA572" i="3"/>
  <c r="AZ572" i="3" s="1"/>
  <c r="BA571" i="3"/>
  <c r="BL570" i="3"/>
  <c r="BA570" i="3"/>
  <c r="BA541" i="3"/>
  <c r="G541" i="3"/>
  <c r="BA540" i="3"/>
  <c r="G540" i="3"/>
  <c r="BL539" i="3"/>
  <c r="BA539" i="3"/>
  <c r="BL536" i="3"/>
  <c r="BL535" i="3"/>
  <c r="G533" i="3"/>
  <c r="BA532" i="3"/>
  <c r="G532" i="3"/>
  <c r="BL531" i="3"/>
  <c r="BA530" i="3"/>
  <c r="G523" i="3"/>
  <c r="G522" i="3"/>
  <c r="BA520" i="3"/>
  <c r="BL519" i="3"/>
  <c r="G517" i="3"/>
  <c r="G516" i="3"/>
  <c r="BL515" i="3"/>
  <c r="G503" i="3"/>
  <c r="BA502" i="3"/>
  <c r="G502" i="3"/>
  <c r="G495" i="3"/>
  <c r="BH5" i="3"/>
  <c r="F42" i="39"/>
  <c r="AA42" i="39" s="1"/>
  <c r="AC9" i="40"/>
  <c r="G587" i="3"/>
  <c r="BL586" i="3"/>
  <c r="AZ586" i="3" s="1"/>
  <c r="BA581" i="3"/>
  <c r="BA580" i="3"/>
  <c r="AZ580" i="3" s="1"/>
  <c r="BL579" i="3"/>
  <c r="BL578" i="3"/>
  <c r="G552" i="3"/>
  <c r="E5" i="6"/>
  <c r="D9" i="69" s="1"/>
  <c r="C9" i="69" s="1"/>
  <c r="AZ404" i="3"/>
  <c r="AZ414" i="3"/>
  <c r="AZ425" i="3"/>
  <c r="AZ446" i="3"/>
  <c r="BA16" i="3"/>
  <c r="BL398" i="3"/>
  <c r="G401" i="3"/>
  <c r="BL402" i="3"/>
  <c r="BA403" i="3"/>
  <c r="BA407" i="3"/>
  <c r="BL410" i="3"/>
  <c r="BL412" i="3"/>
  <c r="BA416" i="3"/>
  <c r="AZ416" i="3" s="1"/>
  <c r="BA419" i="3"/>
  <c r="BL420" i="3"/>
  <c r="BL423" i="3"/>
  <c r="BA427" i="3"/>
  <c r="AZ427" i="3" s="1"/>
  <c r="BA430" i="3"/>
  <c r="AZ430" i="3" s="1"/>
  <c r="BA431" i="3"/>
  <c r="G435" i="3"/>
  <c r="BL436" i="3"/>
  <c r="BL437" i="3"/>
  <c r="AZ437" i="3" s="1"/>
  <c r="BL442" i="3"/>
  <c r="G444" i="3"/>
  <c r="BA444" i="3"/>
  <c r="AZ444" i="3" s="1"/>
  <c r="BA445" i="3"/>
  <c r="G448" i="3"/>
  <c r="BA451" i="3"/>
  <c r="BA452" i="3"/>
  <c r="AZ452" i="3" s="1"/>
  <c r="BA454" i="3"/>
  <c r="BA455" i="3"/>
  <c r="AZ455" i="3" s="1"/>
  <c r="BL460" i="3"/>
  <c r="G463" i="3"/>
  <c r="G466" i="3"/>
  <c r="BL468" i="3"/>
  <c r="BL471" i="3"/>
  <c r="BL474" i="3"/>
  <c r="BL477" i="3"/>
  <c r="G481" i="3"/>
  <c r="BA481" i="3"/>
  <c r="AZ481" i="3" s="1"/>
  <c r="G485" i="3"/>
  <c r="BL487" i="3"/>
  <c r="BL488" i="3"/>
  <c r="BA490" i="3"/>
  <c r="BA331" i="3"/>
  <c r="AZ331" i="3" s="1"/>
  <c r="G384" i="3"/>
  <c r="BA384" i="3"/>
  <c r="AZ384" i="3" s="1"/>
  <c r="O23" i="9"/>
  <c r="W18" i="1"/>
  <c r="X18" i="1" s="1"/>
  <c r="V20" i="1" s="1"/>
  <c r="I166" i="79"/>
  <c r="BL14" i="3"/>
  <c r="BL399" i="3"/>
  <c r="BA406" i="3"/>
  <c r="AZ406" i="3" s="1"/>
  <c r="BL407" i="3"/>
  <c r="BL408" i="3"/>
  <c r="AZ408" i="3" s="1"/>
  <c r="G411" i="3"/>
  <c r="BA411" i="3"/>
  <c r="AZ411" i="3" s="1"/>
  <c r="BA412" i="3"/>
  <c r="AZ412" i="3" s="1"/>
  <c r="BA413" i="3"/>
  <c r="BL418" i="3"/>
  <c r="G421" i="3"/>
  <c r="BA421" i="3"/>
  <c r="AZ421" i="3" s="1"/>
  <c r="BA422" i="3"/>
  <c r="AZ422" i="3" s="1"/>
  <c r="BA423" i="3"/>
  <c r="BA424" i="3"/>
  <c r="BL431" i="3"/>
  <c r="BL433" i="3"/>
  <c r="BA434" i="3"/>
  <c r="AZ434" i="3" s="1"/>
  <c r="G438" i="3"/>
  <c r="BL439" i="3"/>
  <c r="BA443" i="3"/>
  <c r="AZ443" i="3" s="1"/>
  <c r="BA447" i="3"/>
  <c r="AZ447" i="3" s="1"/>
  <c r="BL450" i="3"/>
  <c r="BL453" i="3"/>
  <c r="AZ453" i="3" s="1"/>
  <c r="G459" i="3"/>
  <c r="BA459" i="3"/>
  <c r="AZ459" i="3" s="1"/>
  <c r="BL462" i="3"/>
  <c r="BL465" i="3"/>
  <c r="G470" i="3"/>
  <c r="G477" i="3"/>
  <c r="BL491" i="3"/>
  <c r="BL492" i="3"/>
  <c r="AZ492" i="3" s="1"/>
  <c r="BA315" i="3"/>
  <c r="AZ315" i="3" s="1"/>
  <c r="G351" i="3"/>
  <c r="BA370" i="3"/>
  <c r="AZ370" i="3" s="1"/>
  <c r="G396" i="3"/>
  <c r="BA396" i="3"/>
  <c r="BA551" i="3"/>
  <c r="AZ551" i="3" s="1"/>
  <c r="BL550" i="3"/>
  <c r="G550" i="3"/>
  <c r="S22" i="31"/>
  <c r="R22" i="31" s="1"/>
  <c r="C5" i="11"/>
  <c r="BA14" i="3"/>
  <c r="BA399" i="3"/>
  <c r="BA400" i="3"/>
  <c r="BA402" i="3"/>
  <c r="BL403" i="3"/>
  <c r="G405" i="3"/>
  <c r="BL405" i="3"/>
  <c r="AZ405" i="3" s="1"/>
  <c r="G407" i="3"/>
  <c r="G408" i="3"/>
  <c r="BL409" i="3"/>
  <c r="AZ409" i="3" s="1"/>
  <c r="BL413" i="3"/>
  <c r="G415" i="3"/>
  <c r="BL415" i="3"/>
  <c r="AZ415" i="3" s="1"/>
  <c r="G417" i="3"/>
  <c r="G418" i="3"/>
  <c r="BL419" i="3"/>
  <c r="BL424" i="3"/>
  <c r="G426" i="3"/>
  <c r="BL426" i="3"/>
  <c r="G428" i="3"/>
  <c r="G429" i="3"/>
  <c r="BL429" i="3"/>
  <c r="G431" i="3"/>
  <c r="G432" i="3"/>
  <c r="BA432" i="3"/>
  <c r="AZ432" i="3" s="1"/>
  <c r="BA433" i="3"/>
  <c r="AZ433" i="3" s="1"/>
  <c r="BL440" i="3"/>
  <c r="AZ440" i="3" s="1"/>
  <c r="BA441" i="3"/>
  <c r="AZ441" i="3" s="1"/>
  <c r="BA442" i="3"/>
  <c r="BL451" i="3"/>
  <c r="G453" i="3"/>
  <c r="BL454" i="3"/>
  <c r="BL456" i="3"/>
  <c r="BA460" i="3"/>
  <c r="AZ460" i="3" s="1"/>
  <c r="BA461" i="3"/>
  <c r="BA465" i="3"/>
  <c r="AZ465" i="3" s="1"/>
  <c r="BA471" i="3"/>
  <c r="BA472" i="3"/>
  <c r="BA474" i="3"/>
  <c r="AZ474" i="3" s="1"/>
  <c r="BA475" i="3"/>
  <c r="BA480" i="3"/>
  <c r="BA485" i="3"/>
  <c r="AZ485" i="3" s="1"/>
  <c r="BL489" i="3"/>
  <c r="G491" i="3"/>
  <c r="BL340" i="3"/>
  <c r="AZ340" i="3" s="1"/>
  <c r="G345" i="3"/>
  <c r="BL386" i="3"/>
  <c r="G479" i="3"/>
  <c r="BL479" i="3"/>
  <c r="BL480" i="3"/>
  <c r="BA482" i="3"/>
  <c r="AZ482" i="3" s="1"/>
  <c r="BA483" i="3"/>
  <c r="BA486" i="3"/>
  <c r="AZ486" i="3" s="1"/>
  <c r="BA488" i="3"/>
  <c r="BA491" i="3"/>
  <c r="AZ491" i="3" s="1"/>
  <c r="BA303" i="3"/>
  <c r="AZ303" i="3" s="1"/>
  <c r="G315" i="3"/>
  <c r="BA316" i="3"/>
  <c r="BA319" i="3"/>
  <c r="AZ319" i="3" s="1"/>
  <c r="G331" i="3"/>
  <c r="BA332" i="3"/>
  <c r="BA335" i="3"/>
  <c r="AZ335" i="3" s="1"/>
  <c r="BA349" i="3"/>
  <c r="AZ349" i="3" s="1"/>
  <c r="BA353" i="3"/>
  <c r="BA358" i="3"/>
  <c r="AZ358" i="3" s="1"/>
  <c r="G362" i="3"/>
  <c r="BL365" i="3"/>
  <c r="AZ365" i="3" s="1"/>
  <c r="G366" i="3"/>
  <c r="BA368" i="3"/>
  <c r="G380" i="3"/>
  <c r="BL385" i="3"/>
  <c r="BA388" i="3"/>
  <c r="AZ388" i="3" s="1"/>
  <c r="BL396" i="3"/>
  <c r="G397" i="3"/>
  <c r="BL397" i="3"/>
  <c r="G210" i="3"/>
  <c r="BA210" i="3"/>
  <c r="BA214" i="3"/>
  <c r="AZ214" i="3" s="1"/>
  <c r="BA220" i="3"/>
  <c r="BA222" i="3"/>
  <c r="AZ222" i="3" s="1"/>
  <c r="BL226" i="3"/>
  <c r="BL230" i="3"/>
  <c r="BL231" i="3"/>
  <c r="G232" i="3"/>
  <c r="G233" i="3"/>
  <c r="BL237" i="3"/>
  <c r="BA248" i="3"/>
  <c r="AZ248" i="3" s="1"/>
  <c r="BL249" i="3"/>
  <c r="BA252" i="3"/>
  <c r="AZ252" i="3" s="1"/>
  <c r="BA254" i="3"/>
  <c r="AZ254" i="3" s="1"/>
  <c r="BA260" i="3"/>
  <c r="BA262" i="3"/>
  <c r="AZ262" i="3" s="1"/>
  <c r="BA266" i="3"/>
  <c r="BL266" i="3"/>
  <c r="G271" i="3"/>
  <c r="G272" i="3"/>
  <c r="BA276" i="3"/>
  <c r="BA279" i="3"/>
  <c r="BA281" i="3"/>
  <c r="G289" i="3"/>
  <c r="BA290" i="3"/>
  <c r="AZ290" i="3" s="1"/>
  <c r="BA291" i="3"/>
  <c r="G300" i="3"/>
  <c r="BA302" i="3"/>
  <c r="AZ302" i="3" s="1"/>
  <c r="BL117" i="3"/>
  <c r="AZ117" i="3" s="1"/>
  <c r="G118" i="3"/>
  <c r="BL121" i="3"/>
  <c r="G122" i="3"/>
  <c r="G130" i="3"/>
  <c r="BL217" i="3"/>
  <c r="G224" i="3"/>
  <c r="BL224" i="3"/>
  <c r="AZ224" i="3" s="1"/>
  <c r="BL225" i="3"/>
  <c r="G226" i="3"/>
  <c r="BL229" i="3"/>
  <c r="BL234" i="3"/>
  <c r="BA235" i="3"/>
  <c r="BA236" i="3"/>
  <c r="AZ236" i="3" s="1"/>
  <c r="BA237" i="3"/>
  <c r="G241" i="3"/>
  <c r="BL241" i="3"/>
  <c r="AZ241" i="3" s="1"/>
  <c r="BA243" i="3"/>
  <c r="G251" i="3"/>
  <c r="G254" i="3"/>
  <c r="BA259" i="3"/>
  <c r="AZ259" i="3" s="1"/>
  <c r="G264" i="3"/>
  <c r="BA265" i="3"/>
  <c r="BA274" i="3"/>
  <c r="AZ274" i="3" s="1"/>
  <c r="BL274" i="3"/>
  <c r="BA278" i="3"/>
  <c r="AZ278" i="3" s="1"/>
  <c r="BL286" i="3"/>
  <c r="BA289" i="3"/>
  <c r="G293" i="3"/>
  <c r="G294" i="3"/>
  <c r="BL294" i="3"/>
  <c r="BL296" i="3"/>
  <c r="AZ296" i="3" s="1"/>
  <c r="G299" i="3"/>
  <c r="G114" i="3"/>
  <c r="BL114" i="3"/>
  <c r="AZ114" i="3" s="1"/>
  <c r="BA118" i="3"/>
  <c r="BL127" i="3"/>
  <c r="AZ127" i="3" s="1"/>
  <c r="G128" i="3"/>
  <c r="G134" i="3"/>
  <c r="BL134" i="3"/>
  <c r="BL142" i="3"/>
  <c r="BA158" i="3"/>
  <c r="BL166" i="3"/>
  <c r="AZ166" i="3" s="1"/>
  <c r="AZ242" i="3"/>
  <c r="AZ293" i="3"/>
  <c r="AZ294" i="3"/>
  <c r="AZ298" i="3"/>
  <c r="AZ134" i="3"/>
  <c r="BL141" i="3"/>
  <c r="BA145" i="3"/>
  <c r="BA150" i="3"/>
  <c r="BA317" i="3"/>
  <c r="AZ317" i="3" s="1"/>
  <c r="BA333" i="3"/>
  <c r="AZ333" i="3" s="1"/>
  <c r="BA354" i="3"/>
  <c r="AZ354" i="3" s="1"/>
  <c r="BL368" i="3"/>
  <c r="BA374" i="3"/>
  <c r="AZ374" i="3" s="1"/>
  <c r="BL375" i="3"/>
  <c r="AZ375" i="3" s="1"/>
  <c r="G382" i="3"/>
  <c r="BA395" i="3"/>
  <c r="AZ395" i="3" s="1"/>
  <c r="BL208" i="3"/>
  <c r="BL210" i="3"/>
  <c r="G212" i="3"/>
  <c r="BL214" i="3"/>
  <c r="BA215" i="3"/>
  <c r="AZ215" i="3" s="1"/>
  <c r="BL220" i="3"/>
  <c r="G223" i="3"/>
  <c r="BA223" i="3"/>
  <c r="BA225" i="3"/>
  <c r="BA226" i="3"/>
  <c r="BA227" i="3"/>
  <c r="AZ227" i="3" s="1"/>
  <c r="BA228" i="3"/>
  <c r="AZ228" i="3" s="1"/>
  <c r="BA233" i="3"/>
  <c r="AZ233" i="3" s="1"/>
  <c r="BL235" i="3"/>
  <c r="G238" i="3"/>
  <c r="BA240" i="3"/>
  <c r="AZ240" i="3" s="1"/>
  <c r="BL245" i="3"/>
  <c r="AZ245" i="3" s="1"/>
  <c r="BL246" i="3"/>
  <c r="BA250" i="3"/>
  <c r="BA261" i="3"/>
  <c r="BL261" i="3"/>
  <c r="BA272" i="3"/>
  <c r="AZ272" i="3" s="1"/>
  <c r="BA286" i="3"/>
  <c r="AZ286" i="3" s="1"/>
  <c r="BL287" i="3"/>
  <c r="G291" i="3"/>
  <c r="BA295" i="3"/>
  <c r="BA297" i="3"/>
  <c r="G301" i="3"/>
  <c r="BL122" i="3"/>
  <c r="G123" i="3"/>
  <c r="BA142" i="3"/>
  <c r="AZ142" i="3" s="1"/>
  <c r="BA149" i="3"/>
  <c r="AZ149" i="3" s="1"/>
  <c r="BA154" i="3"/>
  <c r="AZ154" i="3" s="1"/>
  <c r="BA180" i="3"/>
  <c r="AZ180" i="3" s="1"/>
  <c r="BA185" i="3"/>
  <c r="BA190" i="3"/>
  <c r="G194" i="3"/>
  <c r="BL195" i="3"/>
  <c r="AZ195" i="3" s="1"/>
  <c r="BA196" i="3"/>
  <c r="AZ196" i="3" s="1"/>
  <c r="G199" i="3"/>
  <c r="BL18" i="3"/>
  <c r="G19" i="3"/>
  <c r="BA26" i="3"/>
  <c r="AZ26" i="3" s="1"/>
  <c r="G29" i="3"/>
  <c r="BL30" i="3"/>
  <c r="BA31" i="3"/>
  <c r="AZ31" i="3" s="1"/>
  <c r="BA32" i="3"/>
  <c r="AZ32" i="3" s="1"/>
  <c r="BL39" i="3"/>
  <c r="AZ39" i="3" s="1"/>
  <c r="G41" i="3"/>
  <c r="G42" i="3"/>
  <c r="BL42" i="3"/>
  <c r="G46" i="3"/>
  <c r="BA47" i="3"/>
  <c r="AZ47" i="3" s="1"/>
  <c r="BA48" i="3"/>
  <c r="AZ48" i="3" s="1"/>
  <c r="G51" i="3"/>
  <c r="G52" i="3"/>
  <c r="BL52" i="3"/>
  <c r="AZ52" i="3" s="1"/>
  <c r="BL53" i="3"/>
  <c r="AZ53" i="3" s="1"/>
  <c r="G55" i="3"/>
  <c r="BL55" i="3"/>
  <c r="BA61" i="3"/>
  <c r="G64" i="3"/>
  <c r="G65" i="3"/>
  <c r="BA66" i="3"/>
  <c r="AZ66" i="3" s="1"/>
  <c r="BA74" i="3"/>
  <c r="BL77" i="3"/>
  <c r="G78" i="3"/>
  <c r="BL78" i="3"/>
  <c r="BL88" i="3"/>
  <c r="BA92" i="3"/>
  <c r="AZ92" i="3" s="1"/>
  <c r="BL95" i="3"/>
  <c r="BA96" i="3"/>
  <c r="BL104" i="3"/>
  <c r="F3" i="35"/>
  <c r="BA165" i="3"/>
  <c r="BA176" i="3"/>
  <c r="AZ176" i="3" s="1"/>
  <c r="BL182" i="3"/>
  <c r="AZ205" i="3"/>
  <c r="BA30" i="3"/>
  <c r="BL40" i="3"/>
  <c r="BA42" i="3"/>
  <c r="AZ42" i="3" s="1"/>
  <c r="BL50" i="3"/>
  <c r="BA51" i="3"/>
  <c r="AZ51" i="3" s="1"/>
  <c r="BA55" i="3"/>
  <c r="AZ55" i="3" s="1"/>
  <c r="BA56" i="3"/>
  <c r="BL60" i="3"/>
  <c r="BL63" i="3"/>
  <c r="BA69" i="3"/>
  <c r="BL73" i="3"/>
  <c r="AZ73" i="3" s="1"/>
  <c r="BL74" i="3"/>
  <c r="BL75" i="3"/>
  <c r="AZ75" i="3" s="1"/>
  <c r="AZ78" i="3"/>
  <c r="BA80" i="3"/>
  <c r="AZ80" i="3" s="1"/>
  <c r="BA81" i="3"/>
  <c r="BA90" i="3"/>
  <c r="BL98" i="3"/>
  <c r="BA106" i="3"/>
  <c r="BL112" i="3"/>
  <c r="G11" i="1"/>
  <c r="E24" i="71"/>
  <c r="E23" i="71" s="1"/>
  <c r="V25" i="71"/>
  <c r="BA301" i="3"/>
  <c r="AZ301" i="3" s="1"/>
  <c r="BA116" i="3"/>
  <c r="AZ116" i="3" s="1"/>
  <c r="BL118" i="3"/>
  <c r="BA120" i="3"/>
  <c r="AZ120" i="3" s="1"/>
  <c r="BL123" i="3"/>
  <c r="AZ123" i="3" s="1"/>
  <c r="G124" i="3"/>
  <c r="G126" i="3"/>
  <c r="BL126" i="3"/>
  <c r="BL129" i="3"/>
  <c r="G131" i="3"/>
  <c r="BA136" i="3"/>
  <c r="AZ136" i="3" s="1"/>
  <c r="BA138" i="3"/>
  <c r="AZ138" i="3" s="1"/>
  <c r="G144" i="3"/>
  <c r="BL150" i="3"/>
  <c r="G151" i="3"/>
  <c r="BA153" i="3"/>
  <c r="BL159" i="3"/>
  <c r="AZ159" i="3" s="1"/>
  <c r="G160" i="3"/>
  <c r="BA161" i="3"/>
  <c r="BA164" i="3"/>
  <c r="AZ164" i="3" s="1"/>
  <c r="G168" i="3"/>
  <c r="G170" i="3"/>
  <c r="BL170" i="3"/>
  <c r="BA173" i="3"/>
  <c r="BA178" i="3"/>
  <c r="BL179" i="3"/>
  <c r="AZ179" i="3" s="1"/>
  <c r="BA182" i="3"/>
  <c r="AZ182" i="3" s="1"/>
  <c r="BA184" i="3"/>
  <c r="AZ184" i="3" s="1"/>
  <c r="G186" i="3"/>
  <c r="BL191" i="3"/>
  <c r="AZ191" i="3" s="1"/>
  <c r="BL197" i="3"/>
  <c r="BL198" i="3"/>
  <c r="BL202" i="3"/>
  <c r="AZ202" i="3" s="1"/>
  <c r="BL205" i="3"/>
  <c r="BL207" i="3"/>
  <c r="BA28" i="3"/>
  <c r="AZ28" i="3" s="1"/>
  <c r="G33" i="3"/>
  <c r="G34" i="3"/>
  <c r="BL34" i="3"/>
  <c r="G37" i="3"/>
  <c r="BL37" i="3"/>
  <c r="BA40" i="3"/>
  <c r="BA45" i="3"/>
  <c r="AZ45" i="3" s="1"/>
  <c r="G48" i="3"/>
  <c r="G49" i="3"/>
  <c r="BA50" i="3"/>
  <c r="G58" i="3"/>
  <c r="BL58" i="3"/>
  <c r="AZ58" i="3" s="1"/>
  <c r="G62" i="3"/>
  <c r="BA62" i="3"/>
  <c r="AZ62" i="3" s="1"/>
  <c r="BA63" i="3"/>
  <c r="AZ63" i="3" s="1"/>
  <c r="BA64" i="3"/>
  <c r="AZ64" i="3" s="1"/>
  <c r="G67" i="3"/>
  <c r="G68" i="3"/>
  <c r="BL68" i="3"/>
  <c r="BL69" i="3"/>
  <c r="G71" i="3"/>
  <c r="BL71" i="3"/>
  <c r="AZ71" i="3" s="1"/>
  <c r="G75" i="3"/>
  <c r="BL76" i="3"/>
  <c r="BA144" i="3"/>
  <c r="AZ144" i="3" s="1"/>
  <c r="G150" i="3"/>
  <c r="BL157" i="3"/>
  <c r="AZ157" i="3" s="1"/>
  <c r="G166" i="3"/>
  <c r="G167" i="3"/>
  <c r="BA169" i="3"/>
  <c r="AZ169" i="3" s="1"/>
  <c r="BA170" i="3"/>
  <c r="AZ170" i="3" s="1"/>
  <c r="BA172" i="3"/>
  <c r="AZ172" i="3" s="1"/>
  <c r="BL173" i="3"/>
  <c r="BL174" i="3"/>
  <c r="AZ174" i="3" s="1"/>
  <c r="BL177" i="3"/>
  <c r="AZ177" i="3" s="1"/>
  <c r="G179" i="3"/>
  <c r="BL183" i="3"/>
  <c r="AZ183" i="3" s="1"/>
  <c r="BL185" i="3"/>
  <c r="BL186" i="3"/>
  <c r="G196" i="3"/>
  <c r="BA197" i="3"/>
  <c r="AZ197" i="3" s="1"/>
  <c r="G200" i="3"/>
  <c r="G205" i="3"/>
  <c r="BA207" i="3"/>
  <c r="AZ207" i="3" s="1"/>
  <c r="BA36" i="3"/>
  <c r="AZ36" i="3" s="1"/>
  <c r="BA37" i="3"/>
  <c r="BA38" i="3"/>
  <c r="AZ57" i="3"/>
  <c r="AZ68" i="3"/>
  <c r="AI10" i="43"/>
  <c r="AA10" i="43"/>
  <c r="BA79" i="3"/>
  <c r="BL84" i="3"/>
  <c r="AZ84" i="3" s="1"/>
  <c r="G86" i="3"/>
  <c r="BL87" i="3"/>
  <c r="BL89" i="3"/>
  <c r="AZ89" i="3" s="1"/>
  <c r="G91" i="3"/>
  <c r="BL91" i="3"/>
  <c r="BL94" i="3"/>
  <c r="AZ94" i="3" s="1"/>
  <c r="G96" i="3"/>
  <c r="G98" i="3"/>
  <c r="BA99" i="3"/>
  <c r="G103" i="3"/>
  <c r="BL103" i="3"/>
  <c r="G109" i="3"/>
  <c r="G110" i="3"/>
  <c r="G111" i="3"/>
  <c r="G112" i="3"/>
  <c r="G100" i="43"/>
  <c r="D108" i="43"/>
  <c r="AB21" i="21"/>
  <c r="U21" i="34"/>
  <c r="C79" i="71"/>
  <c r="D79" i="71" s="1"/>
  <c r="E72" i="71"/>
  <c r="E71" i="71" s="1"/>
  <c r="C52" i="71"/>
  <c r="C32" i="71"/>
  <c r="N65" i="71"/>
  <c r="B31" i="71"/>
  <c r="B40" i="71"/>
  <c r="B41" i="71" s="1"/>
  <c r="S41" i="71" s="1"/>
  <c r="B60" i="71"/>
  <c r="B61" i="71" s="1"/>
  <c r="S61" i="71" s="1"/>
  <c r="K56" i="9"/>
  <c r="G13" i="1"/>
  <c r="G9" i="1"/>
  <c r="S21" i="37"/>
  <c r="C84" i="71"/>
  <c r="D69" i="71"/>
  <c r="X35" i="71"/>
  <c r="X34" i="71"/>
  <c r="AA31" i="71"/>
  <c r="B64" i="71"/>
  <c r="B72" i="71"/>
  <c r="B71" i="71" s="1"/>
  <c r="G80" i="3"/>
  <c r="BL81" i="3"/>
  <c r="BA83" i="3"/>
  <c r="BA86" i="3"/>
  <c r="AZ86" i="3" s="1"/>
  <c r="BA88" i="3"/>
  <c r="AZ88" i="3" s="1"/>
  <c r="BA93" i="3"/>
  <c r="BA95" i="3"/>
  <c r="AZ95" i="3" s="1"/>
  <c r="BA97" i="3"/>
  <c r="AZ97" i="3" s="1"/>
  <c r="BL100" i="3"/>
  <c r="BA101" i="3"/>
  <c r="AZ101" i="3" s="1"/>
  <c r="BL102" i="3"/>
  <c r="BA112" i="3"/>
  <c r="AZ112" i="3" s="1"/>
  <c r="M108" i="43"/>
  <c r="K108" i="43"/>
  <c r="E108" i="43"/>
  <c r="W21" i="21"/>
  <c r="AA21" i="34"/>
  <c r="X22" i="71"/>
  <c r="E48" i="71"/>
  <c r="E49" i="71" s="1"/>
  <c r="U49" i="71" s="1"/>
  <c r="T69" i="71"/>
  <c r="W9" i="39"/>
  <c r="M20" i="15"/>
  <c r="M20" i="83"/>
  <c r="F34" i="83"/>
  <c r="F62" i="83" s="1"/>
  <c r="N2" i="43"/>
  <c r="H74" i="43"/>
  <c r="N9" i="43"/>
  <c r="M2" i="43"/>
  <c r="M5" i="43"/>
  <c r="H59" i="43"/>
  <c r="H77" i="43"/>
  <c r="H72" i="43"/>
  <c r="H64" i="43"/>
  <c r="M9" i="43"/>
  <c r="H88" i="43"/>
  <c r="M11" i="43"/>
  <c r="H70" i="43"/>
  <c r="H61" i="43"/>
  <c r="H66" i="43"/>
  <c r="H81" i="43"/>
  <c r="C40" i="68"/>
  <c r="C21" i="68"/>
  <c r="H31" i="39"/>
  <c r="U25" i="39"/>
  <c r="U36" i="39"/>
  <c r="U32" i="39"/>
  <c r="U29" i="39"/>
  <c r="U21" i="39"/>
  <c r="AB27" i="39"/>
  <c r="S21" i="39"/>
  <c r="U41" i="39"/>
  <c r="AB39" i="39"/>
  <c r="S31" i="39"/>
  <c r="W29" i="39"/>
  <c r="AA27" i="39"/>
  <c r="W27" i="39"/>
  <c r="W23" i="39"/>
  <c r="W19" i="39"/>
  <c r="S19" i="39"/>
  <c r="S42" i="39"/>
  <c r="AC41" i="39"/>
  <c r="W40" i="39"/>
  <c r="U40" i="39"/>
  <c r="S40" i="39"/>
  <c r="AA39" i="39"/>
  <c r="AC32" i="39"/>
  <c r="S32" i="39"/>
  <c r="S9" i="39"/>
  <c r="F34" i="67"/>
  <c r="F62" i="67" s="1"/>
  <c r="F34" i="15"/>
  <c r="F62" i="15" s="1"/>
  <c r="M20" i="67"/>
  <c r="M18" i="15"/>
  <c r="F32" i="15"/>
  <c r="F60" i="15" s="1"/>
  <c r="D68" i="9"/>
  <c r="M18" i="67"/>
  <c r="F52" i="9"/>
  <c r="C30" i="68"/>
  <c r="F28" i="15"/>
  <c r="C28" i="15" s="1"/>
  <c r="F32" i="67"/>
  <c r="F60" i="67" s="1"/>
  <c r="F28" i="67"/>
  <c r="C28" i="67" s="1"/>
  <c r="F48" i="9"/>
  <c r="O52" i="9" s="1"/>
  <c r="F30" i="69"/>
  <c r="C30" i="69" s="1"/>
  <c r="F31" i="12"/>
  <c r="C48" i="68"/>
  <c r="C36" i="11"/>
  <c r="C24" i="12"/>
  <c r="C77" i="9"/>
  <c r="C74" i="9" s="1"/>
  <c r="D22" i="67"/>
  <c r="AQ13" i="1"/>
  <c r="BL25" i="3"/>
  <c r="BL24" i="3"/>
  <c r="AZ24" i="3" s="1"/>
  <c r="BA23" i="3"/>
  <c r="AZ23" i="3" s="1"/>
  <c r="BL23" i="3"/>
  <c r="BL22" i="3"/>
  <c r="BA22" i="3"/>
  <c r="AZ22" i="3" s="1"/>
  <c r="BA21" i="3"/>
  <c r="AZ21" i="3" s="1"/>
  <c r="BL20" i="3"/>
  <c r="BL19" i="3"/>
  <c r="BA18" i="3"/>
  <c r="AZ18" i="3" s="1"/>
  <c r="AZ16" i="3"/>
  <c r="BL16" i="3"/>
  <c r="BL15" i="3"/>
  <c r="AZ15" i="3" s="1"/>
  <c r="AZ14" i="3"/>
  <c r="T13" i="1"/>
  <c r="T12" i="1"/>
  <c r="L27" i="6"/>
  <c r="AR12" i="1"/>
  <c r="T9" i="1"/>
  <c r="AQ9" i="1"/>
  <c r="BA25" i="3"/>
  <c r="BA19" i="3"/>
  <c r="BA20" i="3"/>
  <c r="G24" i="3"/>
  <c r="Q16" i="1"/>
  <c r="F28" i="12" s="1"/>
  <c r="G21" i="3"/>
  <c r="C36" i="69"/>
  <c r="T8" i="1"/>
  <c r="T10" i="1"/>
  <c r="AQ8" i="1"/>
  <c r="AR10" i="1"/>
  <c r="T11" i="1"/>
  <c r="P11" i="1"/>
  <c r="AR11" i="1"/>
  <c r="J101" i="43"/>
  <c r="J102" i="43" s="1"/>
  <c r="L101" i="43"/>
  <c r="G22" i="43"/>
  <c r="Z7" i="43"/>
  <c r="H101" i="43"/>
  <c r="H105" i="43" s="1"/>
  <c r="AJ11" i="43"/>
  <c r="Y11" i="43"/>
  <c r="Y13" i="43" s="1"/>
  <c r="J22" i="43"/>
  <c r="M101" i="43"/>
  <c r="AF11" i="43"/>
  <c r="AG11" i="43"/>
  <c r="AG13" i="43" s="1"/>
  <c r="C101" i="43"/>
  <c r="C109" i="43" s="1"/>
  <c r="E101" i="43"/>
  <c r="E106" i="43" s="1"/>
  <c r="AB11" i="43"/>
  <c r="AC11" i="43"/>
  <c r="AC13" i="43" s="1"/>
  <c r="H86" i="43"/>
  <c r="H83" i="43"/>
  <c r="M17" i="43"/>
  <c r="F38" i="43"/>
  <c r="F34" i="43"/>
  <c r="I17" i="43"/>
  <c r="O17" i="43"/>
  <c r="K17" i="43"/>
  <c r="F39" i="43"/>
  <c r="F36" i="43"/>
  <c r="C6" i="43"/>
  <c r="F33" i="43"/>
  <c r="J17" i="43"/>
  <c r="D17" i="43"/>
  <c r="H113" i="43"/>
  <c r="T35" i="4"/>
  <c r="A19" i="51" s="1"/>
  <c r="B14" i="72" s="1"/>
  <c r="A15" i="62"/>
  <c r="B61" i="72" s="1"/>
  <c r="G7" i="1"/>
  <c r="G12" i="1"/>
  <c r="G8" i="1"/>
  <c r="D67" i="39"/>
  <c r="D69" i="39" s="1"/>
  <c r="K5" i="4"/>
  <c r="B47" i="48" s="1"/>
  <c r="D12" i="52"/>
  <c r="I14" i="74"/>
  <c r="B8" i="74" s="1"/>
  <c r="D127" i="9"/>
  <c r="D13" i="52" s="1"/>
  <c r="C17" i="71"/>
  <c r="D18" i="71"/>
  <c r="AC11" i="34"/>
  <c r="AC19" i="37"/>
  <c r="S29" i="21"/>
  <c r="AA29" i="21"/>
  <c r="AZ13" i="3"/>
  <c r="U11" i="36"/>
  <c r="AB11" i="36"/>
  <c r="AA17" i="34"/>
  <c r="S17" i="34"/>
  <c r="AC32" i="21"/>
  <c r="W32" i="21"/>
  <c r="BL541" i="3"/>
  <c r="AZ541" i="3" s="1"/>
  <c r="BA531" i="3"/>
  <c r="AZ531" i="3" s="1"/>
  <c r="BA521" i="3"/>
  <c r="BL503" i="3"/>
  <c r="BT5" i="3"/>
  <c r="BA499" i="3"/>
  <c r="BL498" i="3"/>
  <c r="BO5" i="3"/>
  <c r="BL496" i="3"/>
  <c r="BR5" i="3"/>
  <c r="BL495" i="3"/>
  <c r="BQ5" i="3"/>
  <c r="BM5" i="3"/>
  <c r="BL494" i="3"/>
  <c r="BP5" i="3"/>
  <c r="D20" i="53"/>
  <c r="B40" i="72" s="1"/>
  <c r="D17" i="53"/>
  <c r="B36" i="72" s="1"/>
  <c r="U19" i="33"/>
  <c r="H107" i="43"/>
  <c r="D9" i="68"/>
  <c r="C9" i="68" s="1"/>
  <c r="D9" i="11"/>
  <c r="C9" i="11" s="1"/>
  <c r="D19" i="12"/>
  <c r="C19" i="12" s="1"/>
  <c r="AA32" i="37"/>
  <c r="S32" i="37"/>
  <c r="BA536" i="3"/>
  <c r="AZ536" i="3" s="1"/>
  <c r="BL533" i="3"/>
  <c r="BA533" i="3"/>
  <c r="AZ533" i="3" s="1"/>
  <c r="BL532" i="3"/>
  <c r="BA529" i="3"/>
  <c r="BL528" i="3"/>
  <c r="BA528" i="3"/>
  <c r="AZ528" i="3" s="1"/>
  <c r="BL527" i="3"/>
  <c r="BL523" i="3"/>
  <c r="BL518" i="3"/>
  <c r="BA515" i="3"/>
  <c r="AZ515" i="3" s="1"/>
  <c r="BL514" i="3"/>
  <c r="BA514" i="3"/>
  <c r="BA513" i="3"/>
  <c r="BA512" i="3"/>
  <c r="BL511" i="3"/>
  <c r="BA511" i="3"/>
  <c r="BL502" i="3"/>
  <c r="AZ502" i="3" s="1"/>
  <c r="BF5" i="3"/>
  <c r="BB5" i="3"/>
  <c r="E8" i="6" s="1"/>
  <c r="BA498" i="3"/>
  <c r="AZ498" i="3" s="1"/>
  <c r="BL497" i="3"/>
  <c r="BA497" i="3"/>
  <c r="AZ497" i="3" s="1"/>
  <c r="G496" i="3"/>
  <c r="AC5" i="3"/>
  <c r="BD5" i="3"/>
  <c r="BK5" i="3"/>
  <c r="AA43" i="33"/>
  <c r="S43" i="33"/>
  <c r="BA549" i="3"/>
  <c r="BL540" i="3"/>
  <c r="AZ540" i="3" s="1"/>
  <c r="AZ539" i="3"/>
  <c r="BA538" i="3"/>
  <c r="BA537" i="3"/>
  <c r="BL534" i="3"/>
  <c r="BA534" i="3"/>
  <c r="AZ532" i="3"/>
  <c r="BL526" i="3"/>
  <c r="BL525" i="3"/>
  <c r="BA525" i="3"/>
  <c r="AZ525" i="3" s="1"/>
  <c r="BL524" i="3"/>
  <c r="BL522" i="3"/>
  <c r="BL520" i="3"/>
  <c r="AZ520" i="3" s="1"/>
  <c r="BA519" i="3"/>
  <c r="AZ519" i="3" s="1"/>
  <c r="BL517" i="3"/>
  <c r="BL516" i="3"/>
  <c r="BL510" i="3"/>
  <c r="BA510" i="3"/>
  <c r="BL509" i="3"/>
  <c r="BA509" i="3"/>
  <c r="BL508" i="3"/>
  <c r="BA508" i="3"/>
  <c r="BL507" i="3"/>
  <c r="BA507" i="3"/>
  <c r="BL506" i="3"/>
  <c r="BA506" i="3"/>
  <c r="BL505" i="3"/>
  <c r="BA505" i="3"/>
  <c r="BL504" i="3"/>
  <c r="BA504" i="3"/>
  <c r="BA501" i="3"/>
  <c r="BA500" i="3"/>
  <c r="BS5" i="3"/>
  <c r="BI5" i="3"/>
  <c r="BE5" i="3"/>
  <c r="BA496" i="3"/>
  <c r="AZ496" i="3" s="1"/>
  <c r="G494" i="3"/>
  <c r="H5" i="3"/>
  <c r="BG5" i="3"/>
  <c r="BC5" i="3"/>
  <c r="BA493" i="3"/>
  <c r="D124" i="9"/>
  <c r="W23" i="21"/>
  <c r="C30" i="11"/>
  <c r="O6" i="1"/>
  <c r="P6" i="1" s="1"/>
  <c r="M7" i="1"/>
  <c r="H16" i="1"/>
  <c r="S34" i="33"/>
  <c r="AA34" i="33"/>
  <c r="AA20" i="35"/>
  <c r="S20" i="35"/>
  <c r="S33" i="34"/>
  <c r="AA33" i="34"/>
  <c r="AZ583" i="3"/>
  <c r="AC38" i="37"/>
  <c r="W38" i="37"/>
  <c r="AB13" i="37"/>
  <c r="U13" i="37"/>
  <c r="AA45" i="34"/>
  <c r="S45" i="34"/>
  <c r="BA585" i="3"/>
  <c r="AZ585" i="3" s="1"/>
  <c r="F101" i="43"/>
  <c r="E22" i="43"/>
  <c r="F22" i="43"/>
  <c r="K101" i="43"/>
  <c r="N101" i="43"/>
  <c r="H22" i="43"/>
  <c r="D101" i="43"/>
  <c r="I101" i="43"/>
  <c r="B113" i="43"/>
  <c r="N104" i="46"/>
  <c r="G101" i="43"/>
  <c r="AH11" i="43"/>
  <c r="AD11" i="43"/>
  <c r="Z11" i="43"/>
  <c r="AI11" i="43"/>
  <c r="AI13" i="43" s="1"/>
  <c r="AE11" i="43"/>
  <c r="AE13" i="43" s="1"/>
  <c r="AA11" i="43"/>
  <c r="AA13" i="43" s="1"/>
  <c r="AC9" i="34"/>
  <c r="W9" i="34"/>
  <c r="S34" i="34"/>
  <c r="AA34" i="34"/>
  <c r="J27" i="34"/>
  <c r="F27" i="34"/>
  <c r="H27" i="34"/>
  <c r="F38" i="40"/>
  <c r="J38" i="40"/>
  <c r="H38" i="40"/>
  <c r="U27" i="36"/>
  <c r="AB27" i="36"/>
  <c r="AB44" i="34"/>
  <c r="U44" i="34"/>
  <c r="AA39" i="34"/>
  <c r="S39" i="34"/>
  <c r="W12" i="37"/>
  <c r="AC12" i="37"/>
  <c r="S36" i="35"/>
  <c r="AA36" i="35"/>
  <c r="AB10" i="36"/>
  <c r="U10" i="36"/>
  <c r="AA11" i="40"/>
  <c r="S11" i="40"/>
  <c r="AA8" i="33"/>
  <c r="S8" i="33"/>
  <c r="AB9" i="33"/>
  <c r="U9" i="33"/>
  <c r="AC33" i="33"/>
  <c r="W33" i="33"/>
  <c r="AB36" i="35"/>
  <c r="U36" i="35"/>
  <c r="H27" i="37"/>
  <c r="F27" i="37"/>
  <c r="J27" i="37"/>
  <c r="W35" i="37"/>
  <c r="AC35" i="37"/>
  <c r="AC8" i="39"/>
  <c r="W8" i="39"/>
  <c r="AA27" i="40"/>
  <c r="U17" i="34"/>
  <c r="AB17" i="34"/>
  <c r="S25" i="34"/>
  <c r="AA25" i="34"/>
  <c r="H13" i="21"/>
  <c r="J13" i="21"/>
  <c r="P12" i="1"/>
  <c r="AA43" i="34"/>
  <c r="S43" i="34"/>
  <c r="AA30" i="40"/>
  <c r="S30" i="40"/>
  <c r="AB20" i="36"/>
  <c r="U20" i="36"/>
  <c r="H73" i="43"/>
  <c r="H75" i="43"/>
  <c r="AZ382" i="3"/>
  <c r="AZ372" i="3"/>
  <c r="AZ305" i="3"/>
  <c r="AA12" i="37"/>
  <c r="S12" i="37"/>
  <c r="AB9" i="37"/>
  <c r="U9" i="37"/>
  <c r="AZ544" i="3"/>
  <c r="W14" i="37"/>
  <c r="AC14" i="37"/>
  <c r="AC13" i="35"/>
  <c r="W13" i="35"/>
  <c r="AA27" i="33"/>
  <c r="S27" i="33"/>
  <c r="AC44" i="21"/>
  <c r="W44" i="21"/>
  <c r="W10" i="35"/>
  <c r="AC10" i="35"/>
  <c r="AC19" i="33"/>
  <c r="W19" i="33"/>
  <c r="W11" i="40"/>
  <c r="AC11" i="40"/>
  <c r="AA35" i="40"/>
  <c r="S35" i="40"/>
  <c r="AC43" i="21"/>
  <c r="W43" i="21"/>
  <c r="W35" i="21"/>
  <c r="AC35" i="21"/>
  <c r="J23" i="35"/>
  <c r="H23" i="35"/>
  <c r="F23" i="35"/>
  <c r="H40" i="37"/>
  <c r="F40" i="37"/>
  <c r="J40" i="37"/>
  <c r="U25" i="37"/>
  <c r="AB25" i="37"/>
  <c r="AB9" i="39"/>
  <c r="U9" i="39"/>
  <c r="C79" i="35"/>
  <c r="H26" i="35" s="1"/>
  <c r="BL581" i="3"/>
  <c r="AZ581" i="3" s="1"/>
  <c r="BA579" i="3"/>
  <c r="AZ579" i="3" s="1"/>
  <c r="BA578" i="3"/>
  <c r="AZ578" i="3" s="1"/>
  <c r="BL549" i="3"/>
  <c r="AZ547" i="3"/>
  <c r="AZ546" i="3"/>
  <c r="BL545" i="3"/>
  <c r="AZ545" i="3" s="1"/>
  <c r="AZ543" i="3"/>
  <c r="BL538" i="3"/>
  <c r="BL537" i="3"/>
  <c r="BA535" i="3"/>
  <c r="AZ535" i="3" s="1"/>
  <c r="BL530" i="3"/>
  <c r="AZ530" i="3" s="1"/>
  <c r="BL529" i="3"/>
  <c r="BA527" i="3"/>
  <c r="AZ527" i="3" s="1"/>
  <c r="BA526" i="3"/>
  <c r="AZ526" i="3" s="1"/>
  <c r="BA524" i="3"/>
  <c r="BA523" i="3"/>
  <c r="AZ523" i="3" s="1"/>
  <c r="BA522" i="3"/>
  <c r="AZ522" i="3" s="1"/>
  <c r="BL521" i="3"/>
  <c r="G521" i="3"/>
  <c r="BA518" i="3"/>
  <c r="AZ518" i="3" s="1"/>
  <c r="BA517" i="3"/>
  <c r="AZ517" i="3" s="1"/>
  <c r="BA516" i="3"/>
  <c r="AZ516" i="3" s="1"/>
  <c r="BL513" i="3"/>
  <c r="BL512" i="3"/>
  <c r="BA503" i="3"/>
  <c r="AZ503" i="3" s="1"/>
  <c r="BL501" i="3"/>
  <c r="BL500" i="3"/>
  <c r="BL499" i="3"/>
  <c r="BA495" i="3"/>
  <c r="AZ495" i="3" s="1"/>
  <c r="BJ5" i="3"/>
  <c r="BA494" i="3"/>
  <c r="AZ494" i="3" s="1"/>
  <c r="BN5" i="3"/>
  <c r="AA10" i="33"/>
  <c r="P9" i="1"/>
  <c r="AA27" i="36"/>
  <c r="S27" i="36"/>
  <c r="AZ379" i="3"/>
  <c r="AZ393" i="3"/>
  <c r="AB21" i="40"/>
  <c r="U21" i="40"/>
  <c r="AB12" i="37"/>
  <c r="U12" i="37"/>
  <c r="AB28" i="37"/>
  <c r="AZ558" i="3"/>
  <c r="U31" i="34"/>
  <c r="W13" i="39"/>
  <c r="AC13" i="39"/>
  <c r="S38" i="37"/>
  <c r="AA38" i="37"/>
  <c r="S13" i="35"/>
  <c r="AA13" i="35"/>
  <c r="W46" i="21"/>
  <c r="AC46" i="21"/>
  <c r="W17" i="34"/>
  <c r="AC17" i="34"/>
  <c r="AB17" i="39"/>
  <c r="U17" i="39"/>
  <c r="S41" i="39"/>
  <c r="AA41" i="39"/>
  <c r="S36" i="39"/>
  <c r="AA36" i="39"/>
  <c r="W40" i="21"/>
  <c r="AC40" i="21"/>
  <c r="AB43" i="21"/>
  <c r="U43" i="21"/>
  <c r="AA34" i="21"/>
  <c r="S34" i="21"/>
  <c r="U34" i="35"/>
  <c r="AB34" i="35"/>
  <c r="AC36" i="35"/>
  <c r="W36" i="35"/>
  <c r="J9" i="35"/>
  <c r="H9" i="35"/>
  <c r="U12" i="35"/>
  <c r="AB12" i="35"/>
  <c r="H45" i="39"/>
  <c r="F45" i="39"/>
  <c r="J13" i="40"/>
  <c r="H13" i="40"/>
  <c r="F13" i="40"/>
  <c r="BL576" i="3"/>
  <c r="BL575" i="3"/>
  <c r="BL571" i="3"/>
  <c r="AZ571" i="3" s="1"/>
  <c r="BA553" i="3"/>
  <c r="AZ553" i="3" s="1"/>
  <c r="W34" i="33"/>
  <c r="AC34" i="33"/>
  <c r="AZ321" i="3"/>
  <c r="AA39" i="33"/>
  <c r="S39" i="33"/>
  <c r="AZ554" i="3"/>
  <c r="AC10" i="36"/>
  <c r="W10" i="36"/>
  <c r="AB14" i="40"/>
  <c r="U14" i="40"/>
  <c r="AA28" i="34"/>
  <c r="S28" i="34"/>
  <c r="W34" i="36"/>
  <c r="AC34" i="36"/>
  <c r="AB19" i="39"/>
  <c r="U19" i="39"/>
  <c r="AC35" i="39"/>
  <c r="W35" i="39"/>
  <c r="S43" i="21"/>
  <c r="AA43" i="21"/>
  <c r="H44" i="21"/>
  <c r="F44" i="21"/>
  <c r="J12" i="36"/>
  <c r="H12" i="36"/>
  <c r="F12" i="36"/>
  <c r="J24" i="36"/>
  <c r="F24" i="36"/>
  <c r="H24" i="36"/>
  <c r="AB15" i="37"/>
  <c r="U15" i="37"/>
  <c r="BA576" i="3"/>
  <c r="AZ576" i="3" s="1"/>
  <c r="BA575" i="3"/>
  <c r="BA574" i="3"/>
  <c r="AZ574" i="3" s="1"/>
  <c r="BL561" i="3"/>
  <c r="AZ561" i="3" s="1"/>
  <c r="BL560" i="3"/>
  <c r="BA560" i="3"/>
  <c r="BA559" i="3"/>
  <c r="AZ559" i="3" s="1"/>
  <c r="BA557" i="3"/>
  <c r="AZ557" i="3" s="1"/>
  <c r="BL555" i="3"/>
  <c r="AZ555" i="3" s="1"/>
  <c r="BL552" i="3"/>
  <c r="AZ552" i="3" s="1"/>
  <c r="AB9" i="40"/>
  <c r="U9" i="40"/>
  <c r="BA550" i="3"/>
  <c r="AZ550" i="3" s="1"/>
  <c r="BL493" i="3"/>
  <c r="U33" i="35"/>
  <c r="AB23" i="34"/>
  <c r="U23" i="34"/>
  <c r="U34" i="40"/>
  <c r="G585" i="3"/>
  <c r="F12" i="21"/>
  <c r="J12" i="21"/>
  <c r="H12" i="21"/>
  <c r="AA9" i="33"/>
  <c r="S9" i="33"/>
  <c r="AB35" i="33"/>
  <c r="U35" i="33"/>
  <c r="J26" i="33"/>
  <c r="F26" i="33"/>
  <c r="H26" i="33"/>
  <c r="S12" i="34"/>
  <c r="AA12" i="34"/>
  <c r="AC34" i="35"/>
  <c r="W34" i="35"/>
  <c r="S31" i="36"/>
  <c r="AA31" i="36"/>
  <c r="J39" i="37"/>
  <c r="H39" i="37"/>
  <c r="AA38" i="39"/>
  <c r="S38" i="39"/>
  <c r="H39" i="40"/>
  <c r="C31" i="12"/>
  <c r="AA41" i="33"/>
  <c r="S41" i="33"/>
  <c r="S39" i="37"/>
  <c r="AA39" i="37"/>
  <c r="BL587" i="3"/>
  <c r="AZ587" i="3" s="1"/>
  <c r="AB8" i="33"/>
  <c r="U8" i="33"/>
  <c r="U12" i="33"/>
  <c r="AB12" i="33"/>
  <c r="AA35" i="34"/>
  <c r="S35" i="34"/>
  <c r="H14" i="33"/>
  <c r="J14" i="33"/>
  <c r="H13" i="34"/>
  <c r="F13" i="34"/>
  <c r="J11" i="36"/>
  <c r="F11" i="36"/>
  <c r="AA44" i="39"/>
  <c r="S44" i="39"/>
  <c r="S9" i="40"/>
  <c r="AA9" i="40"/>
  <c r="O8" i="1"/>
  <c r="P8" i="1" s="1"/>
  <c r="AZ410" i="3"/>
  <c r="AZ418" i="3"/>
  <c r="AZ420" i="3"/>
  <c r="AZ426" i="3"/>
  <c r="AZ429" i="3"/>
  <c r="AZ450" i="3"/>
  <c r="AZ456" i="3"/>
  <c r="AZ462" i="3"/>
  <c r="AZ489" i="3"/>
  <c r="G551" i="3"/>
  <c r="BL548" i="3"/>
  <c r="AZ548" i="3" s="1"/>
  <c r="AZ407" i="3"/>
  <c r="AZ445" i="3"/>
  <c r="AZ398" i="3"/>
  <c r="AZ423" i="3"/>
  <c r="AZ436" i="3"/>
  <c r="AZ488" i="3"/>
  <c r="G558" i="3"/>
  <c r="G542" i="3"/>
  <c r="AZ399" i="3"/>
  <c r="AZ400" i="3"/>
  <c r="AZ402" i="3"/>
  <c r="AZ439" i="3"/>
  <c r="AZ442" i="3"/>
  <c r="AZ480" i="3"/>
  <c r="AZ467" i="3"/>
  <c r="AZ477" i="3"/>
  <c r="C60" i="71"/>
  <c r="D59" i="71"/>
  <c r="G447" i="3"/>
  <c r="G458" i="3"/>
  <c r="BA468" i="3"/>
  <c r="AZ468" i="3" s="1"/>
  <c r="BL472" i="3"/>
  <c r="BA476" i="3"/>
  <c r="AZ476" i="3" s="1"/>
  <c r="BL478" i="3"/>
  <c r="AZ478" i="3" s="1"/>
  <c r="G480" i="3"/>
  <c r="BL483" i="3"/>
  <c r="G488" i="3"/>
  <c r="BL490" i="3"/>
  <c r="AZ490" i="3" s="1"/>
  <c r="BA307" i="3"/>
  <c r="AZ307" i="3" s="1"/>
  <c r="BA323" i="3"/>
  <c r="AZ323" i="3" s="1"/>
  <c r="BA339" i="3"/>
  <c r="AZ339" i="3" s="1"/>
  <c r="BL348" i="3"/>
  <c r="AZ348" i="3" s="1"/>
  <c r="BL445" i="3"/>
  <c r="BA457" i="3"/>
  <c r="AZ457" i="3" s="1"/>
  <c r="AZ472" i="3"/>
  <c r="AZ483" i="3"/>
  <c r="AZ385" i="3"/>
  <c r="AZ208" i="3"/>
  <c r="AZ210" i="3"/>
  <c r="AZ212" i="3"/>
  <c r="AZ217" i="3"/>
  <c r="AZ230" i="3"/>
  <c r="BL449" i="3"/>
  <c r="AZ449" i="3" s="1"/>
  <c r="G455" i="3"/>
  <c r="BL461" i="3"/>
  <c r="AZ461" i="3" s="1"/>
  <c r="BL464" i="3"/>
  <c r="AZ464" i="3" s="1"/>
  <c r="BL467" i="3"/>
  <c r="G469" i="3"/>
  <c r="BL475" i="3"/>
  <c r="AZ475" i="3" s="1"/>
  <c r="BA479" i="3"/>
  <c r="AZ479" i="3" s="1"/>
  <c r="BA484" i="3"/>
  <c r="AZ484" i="3" s="1"/>
  <c r="BA487" i="3"/>
  <c r="AZ487" i="3" s="1"/>
  <c r="BL314" i="3"/>
  <c r="AZ314" i="3" s="1"/>
  <c r="BL316" i="3"/>
  <c r="AZ316" i="3" s="1"/>
  <c r="BL330" i="3"/>
  <c r="AZ330" i="3" s="1"/>
  <c r="BL332" i="3"/>
  <c r="AZ332" i="3" s="1"/>
  <c r="BL346" i="3"/>
  <c r="AZ346" i="3" s="1"/>
  <c r="BA350" i="3"/>
  <c r="AZ350" i="3" s="1"/>
  <c r="BL353" i="3"/>
  <c r="AZ353" i="3" s="1"/>
  <c r="BL363" i="3"/>
  <c r="AZ363" i="3" s="1"/>
  <c r="BA366" i="3"/>
  <c r="AZ366" i="3" s="1"/>
  <c r="G369" i="3"/>
  <c r="BA386" i="3"/>
  <c r="AZ386" i="3" s="1"/>
  <c r="BL393" i="3"/>
  <c r="BA397" i="3"/>
  <c r="AZ397" i="3" s="1"/>
  <c r="BA209" i="3"/>
  <c r="BA211" i="3"/>
  <c r="AZ211" i="3" s="1"/>
  <c r="BA216" i="3"/>
  <c r="AZ216" i="3" s="1"/>
  <c r="AZ219" i="3"/>
  <c r="AZ225" i="3"/>
  <c r="AZ226" i="3"/>
  <c r="AZ231" i="3"/>
  <c r="BL209" i="3"/>
  <c r="BA232" i="3"/>
  <c r="AZ232" i="3" s="1"/>
  <c r="BA244" i="3"/>
  <c r="AZ244" i="3" s="1"/>
  <c r="BL253" i="3"/>
  <c r="BA256" i="3"/>
  <c r="AZ256" i="3" s="1"/>
  <c r="BL263" i="3"/>
  <c r="BL268" i="3"/>
  <c r="BA271" i="3"/>
  <c r="AZ271" i="3" s="1"/>
  <c r="BA277" i="3"/>
  <c r="AZ277" i="3" s="1"/>
  <c r="BA282" i="3"/>
  <c r="AZ282" i="3" s="1"/>
  <c r="BL292" i="3"/>
  <c r="BL300" i="3"/>
  <c r="BL113" i="3"/>
  <c r="AZ118" i="3"/>
  <c r="BL130" i="3"/>
  <c r="BA132" i="3"/>
  <c r="AZ132" i="3" s="1"/>
  <c r="AZ145" i="3"/>
  <c r="AZ161" i="3"/>
  <c r="BL167" i="3"/>
  <c r="AZ167" i="3" s="1"/>
  <c r="G208" i="3"/>
  <c r="BA213" i="3"/>
  <c r="AZ213" i="3" s="1"/>
  <c r="BA218" i="3"/>
  <c r="AZ218" i="3" s="1"/>
  <c r="BL223" i="3"/>
  <c r="AZ223" i="3" s="1"/>
  <c r="G230" i="3"/>
  <c r="G235" i="3"/>
  <c r="BA239" i="3"/>
  <c r="AZ239" i="3" s="1"/>
  <c r="BL243" i="3"/>
  <c r="AZ243" i="3" s="1"/>
  <c r="BA246" i="3"/>
  <c r="AZ246" i="3" s="1"/>
  <c r="BA247" i="3"/>
  <c r="AZ247" i="3" s="1"/>
  <c r="G250" i="3"/>
  <c r="BL250" i="3"/>
  <c r="AZ250" i="3" s="1"/>
  <c r="BA258" i="3"/>
  <c r="AZ258" i="3" s="1"/>
  <c r="BL260" i="3"/>
  <c r="AZ260" i="3" s="1"/>
  <c r="G265" i="3"/>
  <c r="BL265" i="3"/>
  <c r="AZ265" i="3" s="1"/>
  <c r="BL273" i="3"/>
  <c r="AZ273" i="3" s="1"/>
  <c r="G274" i="3"/>
  <c r="BL279" i="3"/>
  <c r="AZ279" i="3" s="1"/>
  <c r="G280" i="3"/>
  <c r="BA284" i="3"/>
  <c r="AZ284" i="3" s="1"/>
  <c r="BA285" i="3"/>
  <c r="AZ285" i="3" s="1"/>
  <c r="G288" i="3"/>
  <c r="BL288" i="3"/>
  <c r="AZ288" i="3" s="1"/>
  <c r="BL289" i="3"/>
  <c r="AZ289" i="3" s="1"/>
  <c r="G290" i="3"/>
  <c r="BL291" i="3"/>
  <c r="AZ291" i="3" s="1"/>
  <c r="BL295" i="3"/>
  <c r="AZ295" i="3" s="1"/>
  <c r="G296" i="3"/>
  <c r="BL297" i="3"/>
  <c r="AZ297" i="3" s="1"/>
  <c r="G298" i="3"/>
  <c r="BL299" i="3"/>
  <c r="AZ299" i="3" s="1"/>
  <c r="BL119" i="3"/>
  <c r="AZ119" i="3" s="1"/>
  <c r="BA121" i="3"/>
  <c r="AZ121" i="3" s="1"/>
  <c r="BA122" i="3"/>
  <c r="AZ122" i="3" s="1"/>
  <c r="BA125" i="3"/>
  <c r="AZ125" i="3" s="1"/>
  <c r="AZ126" i="3"/>
  <c r="AZ129" i="3"/>
  <c r="BL139" i="3"/>
  <c r="AZ139" i="3" s="1"/>
  <c r="BA141" i="3"/>
  <c r="AZ141" i="3" s="1"/>
  <c r="BA146" i="3"/>
  <c r="AZ146" i="3" s="1"/>
  <c r="BA152" i="3"/>
  <c r="AZ152" i="3" s="1"/>
  <c r="BL155" i="3"/>
  <c r="AZ155" i="3" s="1"/>
  <c r="G156" i="3"/>
  <c r="BL158" i="3"/>
  <c r="AZ158" i="3" s="1"/>
  <c r="G159" i="3"/>
  <c r="BA160" i="3"/>
  <c r="AZ160" i="3" s="1"/>
  <c r="BL165" i="3"/>
  <c r="AZ165" i="3" s="1"/>
  <c r="BL181" i="3"/>
  <c r="BA188" i="3"/>
  <c r="AZ188" i="3" s="1"/>
  <c r="BA194" i="3"/>
  <c r="AZ194" i="3" s="1"/>
  <c r="G211" i="3"/>
  <c r="G216" i="3"/>
  <c r="BL221" i="3"/>
  <c r="AZ221" i="3" s="1"/>
  <c r="BA229" i="3"/>
  <c r="AZ229" i="3" s="1"/>
  <c r="BA234" i="3"/>
  <c r="AZ234" i="3" s="1"/>
  <c r="BL238" i="3"/>
  <c r="AZ238" i="3" s="1"/>
  <c r="G242" i="3"/>
  <c r="BA249" i="3"/>
  <c r="AZ249" i="3" s="1"/>
  <c r="G252" i="3"/>
  <c r="BA253" i="3"/>
  <c r="AZ253" i="3" s="1"/>
  <c r="BL255" i="3"/>
  <c r="AZ255" i="3" s="1"/>
  <c r="G262" i="3"/>
  <c r="BA263" i="3"/>
  <c r="BA264" i="3"/>
  <c r="AZ264" i="3" s="1"/>
  <c r="G267" i="3"/>
  <c r="BA268" i="3"/>
  <c r="BL270" i="3"/>
  <c r="AZ270" i="3" s="1"/>
  <c r="G275" i="3"/>
  <c r="BL275" i="3"/>
  <c r="AZ275" i="3" s="1"/>
  <c r="BL276" i="3"/>
  <c r="AZ276" i="3" s="1"/>
  <c r="G277" i="3"/>
  <c r="BL281" i="3"/>
  <c r="AZ281" i="3" s="1"/>
  <c r="G282" i="3"/>
  <c r="BA287" i="3"/>
  <c r="AZ287" i="3" s="1"/>
  <c r="BA292" i="3"/>
  <c r="BA300" i="3"/>
  <c r="AZ300" i="3" s="1"/>
  <c r="BA113" i="3"/>
  <c r="G119" i="3"/>
  <c r="BA130" i="3"/>
  <c r="G139" i="3"/>
  <c r="BL147" i="3"/>
  <c r="AZ147" i="3" s="1"/>
  <c r="BL153" i="3"/>
  <c r="AZ153" i="3" s="1"/>
  <c r="G162" i="3"/>
  <c r="BL178" i="3"/>
  <c r="AZ178" i="3" s="1"/>
  <c r="BA186" i="3"/>
  <c r="AZ186" i="3" s="1"/>
  <c r="BA192" i="3"/>
  <c r="AZ192" i="3" s="1"/>
  <c r="BA198" i="3"/>
  <c r="AZ198" i="3" s="1"/>
  <c r="G202" i="3"/>
  <c r="BL206" i="3"/>
  <c r="AZ206" i="3" s="1"/>
  <c r="AZ25" i="3"/>
  <c r="AZ30" i="3"/>
  <c r="BL38" i="3"/>
  <c r="AZ38" i="3" s="1"/>
  <c r="BA43" i="3"/>
  <c r="AZ43" i="3" s="1"/>
  <c r="AZ44" i="3"/>
  <c r="BA49" i="3"/>
  <c r="AZ49" i="3" s="1"/>
  <c r="BA54" i="3"/>
  <c r="AZ54" i="3" s="1"/>
  <c r="BL79" i="3"/>
  <c r="AZ79" i="3" s="1"/>
  <c r="AZ87" i="3"/>
  <c r="AZ91" i="3"/>
  <c r="AZ96" i="3"/>
  <c r="BA98" i="3"/>
  <c r="AZ98" i="3" s="1"/>
  <c r="AB26" i="71"/>
  <c r="AB23" i="71"/>
  <c r="AB27" i="71"/>
  <c r="AB24" i="71"/>
  <c r="AB25" i="71"/>
  <c r="F28" i="71"/>
  <c r="F29" i="71" s="1"/>
  <c r="V29" i="71" s="1"/>
  <c r="Y35" i="71"/>
  <c r="Z35" i="71" s="1"/>
  <c r="Y33" i="71"/>
  <c r="Z33" i="71" s="1"/>
  <c r="Y34" i="71"/>
  <c r="Z34" i="71" s="1"/>
  <c r="Y27" i="71"/>
  <c r="Z27" i="71" s="1"/>
  <c r="D39" i="71"/>
  <c r="C40" i="71"/>
  <c r="BL190" i="3"/>
  <c r="AZ190" i="3" s="1"/>
  <c r="BA201" i="3"/>
  <c r="AZ201" i="3" s="1"/>
  <c r="BL35" i="3"/>
  <c r="BA41" i="3"/>
  <c r="AZ41" i="3" s="1"/>
  <c r="BA46" i="3"/>
  <c r="AZ46" i="3" s="1"/>
  <c r="BL56" i="3"/>
  <c r="AZ56" i="3" s="1"/>
  <c r="BL61" i="3"/>
  <c r="AZ61" i="3" s="1"/>
  <c r="BA67" i="3"/>
  <c r="AZ67" i="3" s="1"/>
  <c r="BA72" i="3"/>
  <c r="AZ72" i="3" s="1"/>
  <c r="BA77" i="3"/>
  <c r="AZ77" i="3" s="1"/>
  <c r="BA82" i="3"/>
  <c r="AZ82" i="3" s="1"/>
  <c r="Y22" i="71"/>
  <c r="Z22" i="71" s="1"/>
  <c r="BA181" i="3"/>
  <c r="BL187" i="3"/>
  <c r="AZ187" i="3" s="1"/>
  <c r="BL193" i="3"/>
  <c r="AZ193" i="3" s="1"/>
  <c r="BL199" i="3"/>
  <c r="AZ199" i="3" s="1"/>
  <c r="AZ34" i="3"/>
  <c r="AZ40" i="3"/>
  <c r="BA59" i="3"/>
  <c r="AZ59" i="3" s="1"/>
  <c r="AZ60" i="3"/>
  <c r="BA65" i="3"/>
  <c r="AZ65" i="3" s="1"/>
  <c r="BA70" i="3"/>
  <c r="AZ70" i="3" s="1"/>
  <c r="AZ76" i="3"/>
  <c r="AZ81" i="3"/>
  <c r="AZ103" i="3"/>
  <c r="B75" i="43"/>
  <c r="C29" i="39"/>
  <c r="B55" i="43"/>
  <c r="B66" i="43"/>
  <c r="BL85" i="3"/>
  <c r="AZ85" i="3" s="1"/>
  <c r="BL90" i="3"/>
  <c r="AZ90" i="3" s="1"/>
  <c r="BA100" i="3"/>
  <c r="AZ100" i="3" s="1"/>
  <c r="Y5" i="71"/>
  <c r="Z5" i="71" s="1"/>
  <c r="AA5" i="71"/>
  <c r="AB5" i="71"/>
  <c r="X5" i="71"/>
  <c r="AB33" i="71"/>
  <c r="AB31" i="71"/>
  <c r="AB32" i="71"/>
  <c r="E35" i="71"/>
  <c r="E36" i="71" s="1"/>
  <c r="E37" i="71" s="1"/>
  <c r="U37" i="71" s="1"/>
  <c r="AA34" i="71"/>
  <c r="AA32" i="71"/>
  <c r="AA26" i="71"/>
  <c r="AA30" i="71"/>
  <c r="AA33" i="71"/>
  <c r="AA3" i="71"/>
  <c r="C49" i="71"/>
  <c r="D48" i="71"/>
  <c r="BL83" i="3"/>
  <c r="AZ83" i="3" s="1"/>
  <c r="BL93" i="3"/>
  <c r="AZ93" i="3" s="1"/>
  <c r="BL99" i="3"/>
  <c r="AZ99" i="3" s="1"/>
  <c r="BL106" i="3"/>
  <c r="AZ106" i="3" s="1"/>
  <c r="BA108" i="3"/>
  <c r="AZ108" i="3" s="1"/>
  <c r="BA109" i="3"/>
  <c r="AZ109" i="3" s="1"/>
  <c r="BA110" i="3"/>
  <c r="AZ110" i="3" s="1"/>
  <c r="BA111" i="3"/>
  <c r="AZ111" i="3" s="1"/>
  <c r="X29" i="71"/>
  <c r="X28" i="71"/>
  <c r="AB12" i="43"/>
  <c r="AB10" i="43"/>
  <c r="AJ12" i="43"/>
  <c r="AJ10" i="43"/>
  <c r="G89" i="3"/>
  <c r="G92" i="3"/>
  <c r="BA102" i="3"/>
  <c r="AZ102" i="3" s="1"/>
  <c r="BA104" i="3"/>
  <c r="AZ104" i="3" s="1"/>
  <c r="BA105" i="3"/>
  <c r="AZ105" i="3" s="1"/>
  <c r="BL107" i="3"/>
  <c r="AZ107" i="3" s="1"/>
  <c r="E59" i="43"/>
  <c r="B57" i="43" s="1"/>
  <c r="X25" i="71"/>
  <c r="B25" i="71"/>
  <c r="Y26" i="71"/>
  <c r="Z26" i="71" s="1"/>
  <c r="Y24" i="71"/>
  <c r="Z24" i="71" s="1"/>
  <c r="C27" i="71"/>
  <c r="AA25" i="40"/>
  <c r="AB22" i="71"/>
  <c r="C33" i="71"/>
  <c r="D32" i="71"/>
  <c r="B32" i="71"/>
  <c r="B33" i="71" s="1"/>
  <c r="S33" i="71" s="1"/>
  <c r="AA22" i="71"/>
  <c r="C56" i="71"/>
  <c r="D55" i="71"/>
  <c r="N64" i="71"/>
  <c r="B63" i="71"/>
  <c r="P65" i="71"/>
  <c r="E64" i="71"/>
  <c r="E21" i="71"/>
  <c r="AA19" i="71"/>
  <c r="AA18" i="71"/>
  <c r="AA20" i="71"/>
  <c r="AA21" i="71"/>
  <c r="AB18" i="71"/>
  <c r="Y14" i="71"/>
  <c r="Z14" i="71" s="1"/>
  <c r="AB14" i="71"/>
  <c r="Y9" i="71"/>
  <c r="Z9" i="71" s="1"/>
  <c r="X11" i="71"/>
  <c r="F40" i="69"/>
  <c r="C21" i="69"/>
  <c r="C63" i="71"/>
  <c r="C24" i="71"/>
  <c r="D73" i="71"/>
  <c r="U65" i="71"/>
  <c r="Y28" i="71"/>
  <c r="Z28" i="71" s="1"/>
  <c r="AB29" i="71"/>
  <c r="AB30" i="71"/>
  <c r="Y30" i="71"/>
  <c r="Z30" i="71" s="1"/>
  <c r="F35" i="71"/>
  <c r="F36" i="71" s="1"/>
  <c r="F37" i="71" s="1"/>
  <c r="V37" i="71" s="1"/>
  <c r="Y6" i="71"/>
  <c r="Z6" i="71" s="1"/>
  <c r="Y7" i="71"/>
  <c r="Z7" i="71" s="1"/>
  <c r="Y36" i="71"/>
  <c r="Z36" i="71" s="1"/>
  <c r="C44" i="71"/>
  <c r="D44" i="71" s="1"/>
  <c r="D43" i="71"/>
  <c r="V65" i="71"/>
  <c r="F64" i="71"/>
  <c r="Y18" i="71"/>
  <c r="Z18" i="71" s="1"/>
  <c r="AC21" i="34"/>
  <c r="AA25" i="71"/>
  <c r="T25" i="71"/>
  <c r="E32" i="71"/>
  <c r="E33" i="71" s="1"/>
  <c r="U33" i="71" s="1"/>
  <c r="AA27" i="71"/>
  <c r="AA28" i="71"/>
  <c r="AA23" i="71"/>
  <c r="Y29" i="71"/>
  <c r="Z29" i="71" s="1"/>
  <c r="F31" i="71"/>
  <c r="F32" i="71" s="1"/>
  <c r="F33" i="71" s="1"/>
  <c r="V33" i="71" s="1"/>
  <c r="Y32" i="71"/>
  <c r="Z32" i="71" s="1"/>
  <c r="AA6" i="71"/>
  <c r="AA36" i="71"/>
  <c r="AA7" i="71"/>
  <c r="E56" i="71"/>
  <c r="E57" i="71" s="1"/>
  <c r="U57" i="71" s="1"/>
  <c r="V73" i="71"/>
  <c r="F72" i="71"/>
  <c r="F71" i="71" s="1"/>
  <c r="AD12" i="43"/>
  <c r="AD10" i="43"/>
  <c r="X23" i="71"/>
  <c r="X24" i="71"/>
  <c r="Y23" i="71"/>
  <c r="Z23" i="71" s="1"/>
  <c r="Y25" i="71"/>
  <c r="Z25" i="71" s="1"/>
  <c r="X26" i="71"/>
  <c r="AB28" i="71"/>
  <c r="AA29" i="71"/>
  <c r="AB6" i="71"/>
  <c r="Z10" i="43"/>
  <c r="Z12" i="43"/>
  <c r="AH10" i="43"/>
  <c r="AH12" i="43"/>
  <c r="B21" i="71"/>
  <c r="X19" i="71"/>
  <c r="X18" i="71"/>
  <c r="X8" i="71"/>
  <c r="AA15" i="71"/>
  <c r="Y31" i="71"/>
  <c r="Z31" i="71" s="1"/>
  <c r="C36" i="71"/>
  <c r="AB36" i="71"/>
  <c r="AF10" i="43"/>
  <c r="AF12" i="43"/>
  <c r="AB21" i="71"/>
  <c r="X21" i="71"/>
  <c r="Y21" i="71"/>
  <c r="Z21" i="71" s="1"/>
  <c r="AB20" i="71"/>
  <c r="X15" i="71"/>
  <c r="X9" i="71"/>
  <c r="N56" i="9"/>
  <c r="Y20" i="71"/>
  <c r="Z20" i="71" s="1"/>
  <c r="Y15" i="71"/>
  <c r="Z15" i="71" s="1"/>
  <c r="X14" i="71"/>
  <c r="AA14" i="71"/>
  <c r="AB15" i="71"/>
  <c r="AA8" i="71"/>
  <c r="Y8" i="71"/>
  <c r="Z8" i="71" s="1"/>
  <c r="Y11" i="71"/>
  <c r="Z11" i="71" s="1"/>
  <c r="AB7" i="71"/>
  <c r="AA12" i="71"/>
  <c r="AA10" i="71"/>
  <c r="Y10" i="71"/>
  <c r="Z10" i="71" s="1"/>
  <c r="X7" i="71"/>
  <c r="P61" i="15"/>
  <c r="Y19" i="71"/>
  <c r="Z19" i="71" s="1"/>
  <c r="AB12" i="71"/>
  <c r="AA9" i="71"/>
  <c r="AA11" i="71"/>
  <c r="AB10" i="71"/>
  <c r="AB9" i="71"/>
  <c r="X6" i="71"/>
  <c r="X12" i="71"/>
  <c r="X10" i="71"/>
  <c r="AB8" i="71"/>
  <c r="AB11" i="71"/>
  <c r="E41" i="43"/>
  <c r="C41" i="43" s="1"/>
  <c r="E67" i="39"/>
  <c r="AC21" i="39"/>
  <c r="AB23" i="39"/>
  <c r="AB15" i="39"/>
  <c r="AC15" i="39"/>
  <c r="S25" i="39"/>
  <c r="W39" i="39"/>
  <c r="W42" i="39"/>
  <c r="W14" i="39"/>
  <c r="S29" i="39"/>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B20" i="31"/>
  <c r="B21" i="31" s="1"/>
  <c r="I1" i="73"/>
  <c r="B39" i="1" s="1"/>
  <c r="F51" i="67"/>
  <c r="J20" i="67"/>
  <c r="B12" i="70"/>
  <c r="M7" i="15"/>
  <c r="J6" i="15" s="1"/>
  <c r="F50" i="15"/>
  <c r="F51" i="15"/>
  <c r="F71" i="15"/>
  <c r="C6" i="15"/>
  <c r="F69" i="67"/>
  <c r="F66" i="67"/>
  <c r="B11" i="70"/>
  <c r="L59" i="15"/>
  <c r="L58" i="15"/>
  <c r="B8" i="70"/>
  <c r="F66" i="15"/>
  <c r="Q71" i="67"/>
  <c r="F64" i="15"/>
  <c r="F70" i="67"/>
  <c r="C27" i="67"/>
  <c r="F71" i="67"/>
  <c r="C27" i="15"/>
  <c r="F65" i="15"/>
  <c r="B9" i="70"/>
  <c r="B13" i="70"/>
  <c r="M7" i="67"/>
  <c r="J6" i="67" s="1"/>
  <c r="F50" i="67"/>
  <c r="F63" i="67"/>
  <c r="C62" i="67" s="1"/>
  <c r="C34" i="67"/>
  <c r="F68" i="67"/>
  <c r="F64" i="67"/>
  <c r="F68" i="15"/>
  <c r="L47" i="67"/>
  <c r="C16" i="15"/>
  <c r="J15" i="83"/>
  <c r="F6" i="83"/>
  <c r="F7" i="83"/>
  <c r="M22" i="83"/>
  <c r="C14" i="67"/>
  <c r="M23" i="83"/>
  <c r="F13" i="83"/>
  <c r="M9" i="83"/>
  <c r="F36" i="83"/>
  <c r="F26" i="83"/>
  <c r="D4" i="73"/>
  <c r="M29" i="83"/>
  <c r="D6" i="73"/>
  <c r="L48" i="83"/>
  <c r="F37" i="83"/>
  <c r="F8" i="83"/>
  <c r="F16" i="83"/>
  <c r="M6" i="83"/>
  <c r="D5" i="73"/>
  <c r="F40" i="83"/>
  <c r="M24" i="83"/>
  <c r="M28" i="83"/>
  <c r="D7" i="73"/>
  <c r="F37" i="67"/>
  <c r="F9" i="83"/>
  <c r="D3" i="73"/>
  <c r="L47" i="83"/>
  <c r="M27" i="83"/>
  <c r="M26" i="83"/>
  <c r="L48" i="67"/>
  <c r="F38" i="83"/>
  <c r="C76" i="83"/>
  <c r="M8" i="83"/>
  <c r="F42" i="83"/>
  <c r="C17" i="67"/>
  <c r="F43" i="83"/>
  <c r="C16" i="67"/>
  <c r="M59" i="15" l="1"/>
  <c r="I54" i="15"/>
  <c r="N59" i="15"/>
  <c r="C6" i="83"/>
  <c r="F68" i="83"/>
  <c r="L60" i="83"/>
  <c r="L56" i="83"/>
  <c r="L57" i="83"/>
  <c r="J57" i="83"/>
  <c r="J55" i="83" s="1"/>
  <c r="J58" i="83" s="1"/>
  <c r="Q50" i="83" s="1"/>
  <c r="I54" i="83"/>
  <c r="J53" i="83"/>
  <c r="L56" i="67"/>
  <c r="I54" i="67"/>
  <c r="J53" i="67"/>
  <c r="Q52" i="67" s="1"/>
  <c r="J57" i="67"/>
  <c r="J55" i="67" s="1"/>
  <c r="J58" i="67" s="1"/>
  <c r="Q50" i="67" s="1"/>
  <c r="F50" i="83"/>
  <c r="M7" i="83"/>
  <c r="J6" i="83" s="1"/>
  <c r="J18" i="83" s="1"/>
  <c r="C27" i="83"/>
  <c r="Q71" i="83"/>
  <c r="F64" i="83"/>
  <c r="F51" i="83"/>
  <c r="N59" i="67"/>
  <c r="L59" i="67"/>
  <c r="Q61" i="67" s="1"/>
  <c r="M59" i="67"/>
  <c r="L58" i="67"/>
  <c r="Q73" i="67" s="1"/>
  <c r="F66" i="83"/>
  <c r="F65" i="83"/>
  <c r="M59" i="83"/>
  <c r="L59" i="83"/>
  <c r="N59" i="83"/>
  <c r="L58" i="83"/>
  <c r="F71" i="83"/>
  <c r="F65" i="67"/>
  <c r="K1" i="73"/>
  <c r="AZ37" i="3"/>
  <c r="AZ50" i="3"/>
  <c r="AZ185" i="3"/>
  <c r="AZ261" i="3"/>
  <c r="AZ150" i="3"/>
  <c r="AZ235" i="3"/>
  <c r="AZ266" i="3"/>
  <c r="AZ368" i="3"/>
  <c r="AZ471" i="3"/>
  <c r="AZ424" i="3"/>
  <c r="AZ403" i="3"/>
  <c r="AB11" i="35"/>
  <c r="U11" i="35"/>
  <c r="U27" i="21"/>
  <c r="AB27" i="21"/>
  <c r="AB44" i="39"/>
  <c r="U44" i="39"/>
  <c r="AB30" i="33"/>
  <c r="U30" i="33"/>
  <c r="AB45" i="33"/>
  <c r="U45" i="33"/>
  <c r="D121" i="9"/>
  <c r="D7" i="52" s="1"/>
  <c r="D6" i="52"/>
  <c r="D52" i="71"/>
  <c r="C53" i="71"/>
  <c r="AZ451" i="3"/>
  <c r="W27" i="21"/>
  <c r="AC27" i="21"/>
  <c r="AC26" i="37"/>
  <c r="W26" i="37"/>
  <c r="AC30" i="33"/>
  <c r="W30" i="33"/>
  <c r="AA14" i="37"/>
  <c r="S14" i="37"/>
  <c r="J7" i="36"/>
  <c r="H7" i="34"/>
  <c r="C7" i="43"/>
  <c r="AZ173" i="3"/>
  <c r="AZ74" i="3"/>
  <c r="AZ237" i="3"/>
  <c r="AZ220" i="3"/>
  <c r="AZ396" i="3"/>
  <c r="AZ413" i="3"/>
  <c r="AZ431" i="3"/>
  <c r="AZ570" i="3"/>
  <c r="S12" i="35"/>
  <c r="AA12" i="35"/>
  <c r="AB14" i="37"/>
  <c r="U14" i="37"/>
  <c r="F7" i="34"/>
  <c r="AA7" i="34" s="1"/>
  <c r="R49" i="34" s="1"/>
  <c r="AZ130" i="3"/>
  <c r="AZ292" i="3"/>
  <c r="AZ263" i="3"/>
  <c r="AZ209" i="3"/>
  <c r="AZ560" i="3"/>
  <c r="AZ575" i="3"/>
  <c r="AZ524" i="3"/>
  <c r="C83" i="71"/>
  <c r="D83" i="71" s="1"/>
  <c r="D84" i="71"/>
  <c r="AZ69" i="3"/>
  <c r="AZ454" i="3"/>
  <c r="AZ419" i="3"/>
  <c r="S11" i="35"/>
  <c r="AA11" i="35"/>
  <c r="AA9" i="34"/>
  <c r="S9" i="34"/>
  <c r="H11" i="39"/>
  <c r="F11" i="39"/>
  <c r="J11" i="39"/>
  <c r="AA45" i="33"/>
  <c r="S45" i="33"/>
  <c r="AB31" i="39"/>
  <c r="U31" i="39"/>
  <c r="M11" i="83"/>
  <c r="F11" i="83"/>
  <c r="G17" i="43"/>
  <c r="C16" i="43" s="1"/>
  <c r="F48" i="69"/>
  <c r="C29" i="12"/>
  <c r="D28" i="12" s="1"/>
  <c r="C48" i="69"/>
  <c r="G16" i="1"/>
  <c r="H10" i="40" s="1"/>
  <c r="U10" i="40" s="1"/>
  <c r="J104" i="43"/>
  <c r="J109" i="43"/>
  <c r="E103" i="43"/>
  <c r="G29" i="6"/>
  <c r="J107" i="43"/>
  <c r="J106" i="43"/>
  <c r="J103" i="43"/>
  <c r="E107" i="43"/>
  <c r="H104" i="43"/>
  <c r="J105" i="43"/>
  <c r="E105" i="43"/>
  <c r="H102" i="43"/>
  <c r="G28" i="6"/>
  <c r="AZ20" i="3"/>
  <c r="AZ19" i="3"/>
  <c r="AF13" i="43"/>
  <c r="AB13" i="43"/>
  <c r="AJ13" i="43"/>
  <c r="F29" i="6"/>
  <c r="H106" i="43"/>
  <c r="AH13" i="43"/>
  <c r="F27" i="69"/>
  <c r="C47" i="69" s="1"/>
  <c r="D45" i="69" s="1"/>
  <c r="F27" i="68"/>
  <c r="C29" i="68" s="1"/>
  <c r="D27" i="68" s="1"/>
  <c r="F27" i="11"/>
  <c r="C29" i="11" s="1"/>
  <c r="D27" i="11" s="1"/>
  <c r="AD13" i="43"/>
  <c r="C104" i="43"/>
  <c r="F27" i="6"/>
  <c r="E56" i="39"/>
  <c r="E51" i="40"/>
  <c r="C107" i="43"/>
  <c r="C106" i="43"/>
  <c r="D22" i="43"/>
  <c r="E109" i="43"/>
  <c r="C102" i="43"/>
  <c r="C105" i="43"/>
  <c r="C103" i="43"/>
  <c r="M109" i="43"/>
  <c r="M104" i="43"/>
  <c r="M106" i="43"/>
  <c r="M107" i="43"/>
  <c r="M102" i="43"/>
  <c r="M103" i="43"/>
  <c r="M105" i="43"/>
  <c r="E102" i="43"/>
  <c r="E104" i="43"/>
  <c r="H103" i="43"/>
  <c r="H109" i="43"/>
  <c r="L109" i="43"/>
  <c r="L102" i="43"/>
  <c r="L106" i="43"/>
  <c r="L103" i="43"/>
  <c r="L105" i="43"/>
  <c r="L107" i="43"/>
  <c r="L104" i="43"/>
  <c r="Z13" i="43"/>
  <c r="C5" i="43"/>
  <c r="T11" i="43" s="1"/>
  <c r="V11" i="43" s="1"/>
  <c r="J7" i="37"/>
  <c r="U26" i="35"/>
  <c r="AB26" i="35"/>
  <c r="J7" i="34"/>
  <c r="AC7" i="34" s="1"/>
  <c r="V49" i="34" s="1"/>
  <c r="I49" i="34" s="1"/>
  <c r="D36" i="71"/>
  <c r="C37" i="71"/>
  <c r="C23" i="71"/>
  <c r="D23" i="71" s="1"/>
  <c r="D24" i="71"/>
  <c r="N62" i="71"/>
  <c r="N63" i="71"/>
  <c r="AZ181" i="3"/>
  <c r="AZ113" i="3"/>
  <c r="AA11" i="36"/>
  <c r="S11" i="36"/>
  <c r="W14" i="33"/>
  <c r="AC14" i="33"/>
  <c r="W26" i="33"/>
  <c r="AC26" i="33"/>
  <c r="S12" i="36"/>
  <c r="AA12" i="36"/>
  <c r="U44" i="21"/>
  <c r="AB44" i="21"/>
  <c r="U13" i="40"/>
  <c r="AB13" i="40"/>
  <c r="W40" i="37"/>
  <c r="AC40" i="37"/>
  <c r="U23" i="35"/>
  <c r="AB23" i="35"/>
  <c r="AC13" i="21"/>
  <c r="W13" i="21"/>
  <c r="AB38" i="40"/>
  <c r="U38" i="40"/>
  <c r="AA27" i="34"/>
  <c r="S27" i="34"/>
  <c r="G105" i="43"/>
  <c r="G103" i="43"/>
  <c r="G109" i="43"/>
  <c r="G102" i="43"/>
  <c r="G104" i="43"/>
  <c r="G106" i="43"/>
  <c r="G107" i="43"/>
  <c r="D103" i="43"/>
  <c r="D107" i="43"/>
  <c r="D109" i="43"/>
  <c r="D104" i="43"/>
  <c r="D106" i="43"/>
  <c r="D105" i="43"/>
  <c r="D102" i="43"/>
  <c r="O7" i="1"/>
  <c r="P7" i="1" s="1"/>
  <c r="AZ501" i="3"/>
  <c r="AZ505" i="3"/>
  <c r="AZ507" i="3"/>
  <c r="AZ509" i="3"/>
  <c r="AZ534" i="3"/>
  <c r="O62" i="71"/>
  <c r="O63" i="71"/>
  <c r="D63" i="71"/>
  <c r="E20" i="71"/>
  <c r="E19" i="71" s="1"/>
  <c r="E18" i="71" s="1"/>
  <c r="E17" i="71" s="1"/>
  <c r="V21" i="71"/>
  <c r="S25" i="71"/>
  <c r="B24" i="71"/>
  <c r="B23" i="71" s="1"/>
  <c r="T49" i="71"/>
  <c r="D49" i="71"/>
  <c r="C41" i="71"/>
  <c r="D40" i="71"/>
  <c r="C61" i="71"/>
  <c r="D60" i="71"/>
  <c r="W11" i="36"/>
  <c r="AC11" i="36"/>
  <c r="U14" i="33"/>
  <c r="AB14" i="33"/>
  <c r="AB12" i="21"/>
  <c r="U12" i="21"/>
  <c r="U24" i="36"/>
  <c r="AB24" i="36"/>
  <c r="AB12" i="36"/>
  <c r="U12" i="36"/>
  <c r="AC13" i="40"/>
  <c r="W13" i="40"/>
  <c r="AA40" i="37"/>
  <c r="S40" i="37"/>
  <c r="AC23" i="35"/>
  <c r="W23" i="35"/>
  <c r="AB13" i="21"/>
  <c r="U13" i="21"/>
  <c r="AC27" i="37"/>
  <c r="W27" i="37"/>
  <c r="AC38" i="40"/>
  <c r="W38" i="40"/>
  <c r="AC27" i="34"/>
  <c r="W27" i="34"/>
  <c r="G5" i="3"/>
  <c r="B3" i="3" s="1"/>
  <c r="E159" i="3" s="1"/>
  <c r="D10" i="52"/>
  <c r="D125" i="9"/>
  <c r="D11" i="52" s="1"/>
  <c r="H14" i="74"/>
  <c r="B7" i="74" s="1"/>
  <c r="AZ512" i="3"/>
  <c r="F28" i="6"/>
  <c r="AZ521" i="3"/>
  <c r="B20" i="71"/>
  <c r="B19" i="71" s="1"/>
  <c r="B18" i="71" s="1"/>
  <c r="B17" i="71" s="1"/>
  <c r="S21" i="71"/>
  <c r="F63" i="71"/>
  <c r="Q64" i="71"/>
  <c r="P64" i="71"/>
  <c r="E63" i="71"/>
  <c r="C28" i="71"/>
  <c r="D27" i="71"/>
  <c r="AZ35" i="3"/>
  <c r="BL5" i="3"/>
  <c r="S13" i="34"/>
  <c r="AA13" i="34"/>
  <c r="U39" i="37"/>
  <c r="AB39" i="37"/>
  <c r="U26" i="33"/>
  <c r="AB26" i="33"/>
  <c r="AC12" i="21"/>
  <c r="W12" i="21"/>
  <c r="AA24" i="36"/>
  <c r="S24" i="36"/>
  <c r="AC12" i="36"/>
  <c r="W12" i="36"/>
  <c r="S45" i="39"/>
  <c r="AA45" i="39"/>
  <c r="AB9" i="35"/>
  <c r="U9" i="35"/>
  <c r="U40" i="37"/>
  <c r="AB40" i="37"/>
  <c r="AA27" i="37"/>
  <c r="S27" i="37"/>
  <c r="AA38" i="40"/>
  <c r="S38" i="40"/>
  <c r="B115" i="43"/>
  <c r="D117" i="43"/>
  <c r="E117" i="43" s="1"/>
  <c r="F117" i="43" s="1"/>
  <c r="G117" i="43" s="1"/>
  <c r="H117" i="43" s="1"/>
  <c r="D118" i="43"/>
  <c r="E118" i="43" s="1"/>
  <c r="F118" i="43" s="1"/>
  <c r="B118" i="43"/>
  <c r="C118" i="43" s="1"/>
  <c r="B116" i="43"/>
  <c r="C116" i="43" s="1"/>
  <c r="B117" i="43"/>
  <c r="C117" i="43" s="1"/>
  <c r="I115" i="43"/>
  <c r="J115" i="43" s="1"/>
  <c r="K115" i="43" s="1"/>
  <c r="L115" i="43" s="1"/>
  <c r="M115" i="43" s="1"/>
  <c r="I118" i="43"/>
  <c r="J118" i="43" s="1"/>
  <c r="K118" i="43" s="1"/>
  <c r="L118" i="43" s="1"/>
  <c r="M118" i="43" s="1"/>
  <c r="D116" i="43"/>
  <c r="E116" i="43" s="1"/>
  <c r="F116" i="43" s="1"/>
  <c r="G116" i="43" s="1"/>
  <c r="H116" i="43" s="1"/>
  <c r="I116" i="43"/>
  <c r="J116" i="43" s="1"/>
  <c r="K116" i="43" s="1"/>
  <c r="L116" i="43" s="1"/>
  <c r="M116" i="43" s="1"/>
  <c r="D115" i="43"/>
  <c r="E115" i="43" s="1"/>
  <c r="F115" i="43" s="1"/>
  <c r="G115" i="43" s="1"/>
  <c r="H115" i="43" s="1"/>
  <c r="I117" i="43"/>
  <c r="J117" i="43" s="1"/>
  <c r="K117" i="43" s="1"/>
  <c r="L117" i="43" s="1"/>
  <c r="M117" i="43" s="1"/>
  <c r="G118" i="43"/>
  <c r="H118" i="43" s="1"/>
  <c r="N102" i="43"/>
  <c r="N103" i="43"/>
  <c r="N107" i="43"/>
  <c r="N105" i="43"/>
  <c r="N106" i="43"/>
  <c r="N104" i="43"/>
  <c r="N109" i="43"/>
  <c r="F106" i="43"/>
  <c r="F103" i="43"/>
  <c r="F109" i="43"/>
  <c r="F107" i="43"/>
  <c r="F102" i="43"/>
  <c r="F105" i="43"/>
  <c r="F104" i="43"/>
  <c r="AZ493" i="3"/>
  <c r="AZ504" i="3"/>
  <c r="AZ506" i="3"/>
  <c r="AZ508" i="3"/>
  <c r="AZ510" i="3"/>
  <c r="AZ537" i="3"/>
  <c r="E15" i="6"/>
  <c r="E12" i="6"/>
  <c r="E10" i="6"/>
  <c r="E14" i="6"/>
  <c r="E11" i="6"/>
  <c r="E13" i="6"/>
  <c r="AZ513" i="3"/>
  <c r="AZ529" i="3"/>
  <c r="BA5" i="3"/>
  <c r="C16" i="71"/>
  <c r="T17" i="71"/>
  <c r="D17" i="71"/>
  <c r="U17" i="71" s="1"/>
  <c r="C57" i="71"/>
  <c r="D56" i="71"/>
  <c r="D33" i="71"/>
  <c r="T33" i="71"/>
  <c r="AZ268" i="3"/>
  <c r="AB13" i="34"/>
  <c r="U13" i="34"/>
  <c r="AB39" i="40"/>
  <c r="U39" i="40"/>
  <c r="W39" i="37"/>
  <c r="AC39" i="37"/>
  <c r="S26" i="33"/>
  <c r="AA26" i="33"/>
  <c r="AA12" i="21"/>
  <c r="S12" i="21"/>
  <c r="AC24" i="36"/>
  <c r="W24" i="36"/>
  <c r="AA44" i="21"/>
  <c r="S44" i="21"/>
  <c r="S13" i="40"/>
  <c r="AA13" i="40"/>
  <c r="AB45" i="39"/>
  <c r="U45" i="39"/>
  <c r="W9" i="35"/>
  <c r="AC9" i="35"/>
  <c r="J26" i="35"/>
  <c r="F26" i="35"/>
  <c r="AA23" i="35"/>
  <c r="S23" i="35"/>
  <c r="U27" i="37"/>
  <c r="AB27" i="37"/>
  <c r="U27" i="34"/>
  <c r="AB27" i="34"/>
  <c r="I109" i="43"/>
  <c r="I106" i="43"/>
  <c r="I102" i="43"/>
  <c r="I103" i="43"/>
  <c r="I104" i="43"/>
  <c r="I105" i="43"/>
  <c r="I107" i="43"/>
  <c r="K107" i="43"/>
  <c r="K106" i="43"/>
  <c r="K103" i="43"/>
  <c r="K104" i="43"/>
  <c r="K105" i="43"/>
  <c r="K109" i="43"/>
  <c r="K102" i="43"/>
  <c r="AZ500" i="3"/>
  <c r="AZ538" i="3"/>
  <c r="AZ549" i="3"/>
  <c r="AZ511" i="3"/>
  <c r="AZ514" i="3"/>
  <c r="AZ499" i="3"/>
  <c r="AZ5" i="3" s="1"/>
  <c r="F67" i="39"/>
  <c r="E69" i="39"/>
  <c r="D5" i="43"/>
  <c r="C39" i="43" s="1"/>
  <c r="F59" i="67"/>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F7" i="33"/>
  <c r="E58" i="21"/>
  <c r="AC7" i="36"/>
  <c r="V36" i="36" s="1"/>
  <c r="I36" i="36" s="1"/>
  <c r="W7" i="36"/>
  <c r="F7" i="37"/>
  <c r="M17" i="67"/>
  <c r="M17" i="15"/>
  <c r="F59" i="15"/>
  <c r="P24" i="43"/>
  <c r="B66" i="40" s="1"/>
  <c r="P21" i="43"/>
  <c r="C49" i="67"/>
  <c r="P25" i="43"/>
  <c r="P23" i="43"/>
  <c r="B70" i="39" s="1"/>
  <c r="C49" i="15"/>
  <c r="C15" i="67"/>
  <c r="C18" i="67"/>
  <c r="J18" i="15"/>
  <c r="C32" i="67"/>
  <c r="Q60" i="67"/>
  <c r="M28" i="43"/>
  <c r="N28" i="43"/>
  <c r="O28" i="43"/>
  <c r="P28" i="43"/>
  <c r="M11" i="67"/>
  <c r="J10" i="67" s="1"/>
  <c r="J5" i="67" s="1"/>
  <c r="F11" i="15"/>
  <c r="M11" i="15"/>
  <c r="J10" i="15" s="1"/>
  <c r="J5" i="15" s="1"/>
  <c r="F11" i="67"/>
  <c r="F1" i="15"/>
  <c r="Q52" i="15"/>
  <c r="J18" i="67"/>
  <c r="C32" i="15"/>
  <c r="Q60" i="15"/>
  <c r="Q73" i="15"/>
  <c r="Q74" i="15"/>
  <c r="Q61" i="15"/>
  <c r="C16" i="83"/>
  <c r="G1" i="73"/>
  <c r="AE6" i="1"/>
  <c r="S7" i="34" l="1"/>
  <c r="Q74" i="67"/>
  <c r="J10" i="83"/>
  <c r="J5" i="83" s="1"/>
  <c r="J24" i="83" s="1"/>
  <c r="F1" i="67"/>
  <c r="U11" i="39"/>
  <c r="AB11" i="39"/>
  <c r="Q52" i="83"/>
  <c r="F1" i="83"/>
  <c r="Q74" i="83"/>
  <c r="Q61" i="83"/>
  <c r="Q57" i="83"/>
  <c r="Q66" i="83"/>
  <c r="W11" i="39"/>
  <c r="AC11" i="39"/>
  <c r="T53" i="71"/>
  <c r="D53" i="71"/>
  <c r="AA11" i="39"/>
  <c r="S11" i="39"/>
  <c r="Q73" i="83"/>
  <c r="Q60" i="83"/>
  <c r="C49" i="83"/>
  <c r="C33" i="83"/>
  <c r="C32" i="83"/>
  <c r="T12" i="43"/>
  <c r="V12" i="43" s="1"/>
  <c r="B40" i="1"/>
  <c r="F24" i="83" s="1"/>
  <c r="C24" i="83" s="1"/>
  <c r="T15" i="43"/>
  <c r="V15" i="43" s="1"/>
  <c r="T8" i="43"/>
  <c r="V8" i="43" s="1"/>
  <c r="T14" i="43"/>
  <c r="V14" i="43" s="1"/>
  <c r="T13" i="43"/>
  <c r="V13" i="43" s="1"/>
  <c r="C53" i="83"/>
  <c r="C10" i="83"/>
  <c r="C5" i="83" s="1"/>
  <c r="AB10" i="40"/>
  <c r="J10" i="40"/>
  <c r="AC10" i="40" s="1"/>
  <c r="F10" i="39"/>
  <c r="S10" i="39" s="1"/>
  <c r="H10" i="39"/>
  <c r="AB10" i="39" s="1"/>
  <c r="J10" i="39"/>
  <c r="W10" i="39" s="1"/>
  <c r="F10" i="40"/>
  <c r="AA10" i="40" s="1"/>
  <c r="G30" i="6"/>
  <c r="G31" i="6" s="1"/>
  <c r="E29" i="6"/>
  <c r="K15" i="1" s="1"/>
  <c r="C29" i="69"/>
  <c r="D27" i="69" s="1"/>
  <c r="C47" i="11"/>
  <c r="D45" i="11" s="1"/>
  <c r="F45" i="68"/>
  <c r="C47" i="68"/>
  <c r="D45" i="68" s="1"/>
  <c r="E27" i="6"/>
  <c r="F45" i="69"/>
  <c r="E298" i="3"/>
  <c r="E542" i="3"/>
  <c r="E496" i="3"/>
  <c r="E280" i="3"/>
  <c r="E469" i="3"/>
  <c r="E277" i="3"/>
  <c r="C23" i="43"/>
  <c r="C21" i="43" s="1"/>
  <c r="C29" i="43" s="1"/>
  <c r="S5" i="43"/>
  <c r="T5" i="43" s="1"/>
  <c r="V5" i="43" s="1"/>
  <c r="S3" i="43"/>
  <c r="T3" i="43" s="1"/>
  <c r="V3" i="43" s="1"/>
  <c r="S7" i="43"/>
  <c r="T7" i="43" s="1"/>
  <c r="V7" i="43" s="1"/>
  <c r="S2" i="43"/>
  <c r="T2" i="43" s="1"/>
  <c r="V2" i="43" s="1"/>
  <c r="S4" i="43"/>
  <c r="T4" i="43" s="1"/>
  <c r="V4" i="43" s="1"/>
  <c r="S6" i="43"/>
  <c r="T6" i="43" s="1"/>
  <c r="V6" i="43" s="1"/>
  <c r="T9" i="43"/>
  <c r="V9" i="43" s="1"/>
  <c r="T16" i="43"/>
  <c r="V16" i="43" s="1"/>
  <c r="T10" i="43"/>
  <c r="V10" i="43" s="1"/>
  <c r="U10" i="39"/>
  <c r="S10" i="40"/>
  <c r="W7" i="34"/>
  <c r="U7" i="37"/>
  <c r="AY6" i="3"/>
  <c r="E3" i="6"/>
  <c r="W26" i="35"/>
  <c r="AC26" i="35"/>
  <c r="E455" i="3"/>
  <c r="E288" i="3"/>
  <c r="E119" i="3"/>
  <c r="T57" i="71"/>
  <c r="D57" i="71"/>
  <c r="E60" i="39"/>
  <c r="E56" i="40"/>
  <c r="E60" i="40"/>
  <c r="E64" i="39"/>
  <c r="C115" i="43"/>
  <c r="D113" i="43" s="1"/>
  <c r="E458" i="3"/>
  <c r="E252" i="3"/>
  <c r="B16" i="71"/>
  <c r="B15" i="71" s="1"/>
  <c r="B14" i="71" s="1"/>
  <c r="B13" i="71" s="1"/>
  <c r="S17" i="71"/>
  <c r="E480" i="3"/>
  <c r="E296" i="3"/>
  <c r="E202" i="3"/>
  <c r="E585" i="3"/>
  <c r="E558" i="3"/>
  <c r="E63" i="39"/>
  <c r="E59" i="40"/>
  <c r="E69" i="3"/>
  <c r="E114" i="3"/>
  <c r="E278" i="3"/>
  <c r="E415" i="3"/>
  <c r="E563" i="3"/>
  <c r="E395" i="3"/>
  <c r="E172" i="3"/>
  <c r="E260" i="3"/>
  <c r="E445" i="3"/>
  <c r="E239" i="3"/>
  <c r="E509" i="3"/>
  <c r="E579" i="3"/>
  <c r="E569" i="3"/>
  <c r="E431" i="3"/>
  <c r="E396" i="3"/>
  <c r="E247" i="3"/>
  <c r="E229" i="3"/>
  <c r="E201" i="3"/>
  <c r="E151" i="3"/>
  <c r="E397" i="3"/>
  <c r="E314" i="3"/>
  <c r="E568" i="3"/>
  <c r="I6" i="3"/>
  <c r="E16" i="3"/>
  <c r="E536" i="3"/>
  <c r="AK6" i="3"/>
  <c r="E549" i="3"/>
  <c r="E434" i="3"/>
  <c r="E453" i="3"/>
  <c r="E306" i="3"/>
  <c r="E368" i="3"/>
  <c r="E244" i="3"/>
  <c r="E196" i="3"/>
  <c r="E136" i="3"/>
  <c r="E236" i="3"/>
  <c r="E148" i="3"/>
  <c r="E269" i="3"/>
  <c r="E122" i="3"/>
  <c r="E140" i="3"/>
  <c r="E85" i="3"/>
  <c r="E223" i="3"/>
  <c r="E238" i="3"/>
  <c r="E197" i="3"/>
  <c r="E116" i="3"/>
  <c r="E173" i="3"/>
  <c r="E105" i="3"/>
  <c r="E327" i="3"/>
  <c r="E379" i="3"/>
  <c r="E576" i="3"/>
  <c r="Z6" i="3"/>
  <c r="U6" i="3"/>
  <c r="AG6" i="3"/>
  <c r="E515" i="3"/>
  <c r="AO6" i="3"/>
  <c r="E411" i="3"/>
  <c r="E448" i="3"/>
  <c r="E478" i="3"/>
  <c r="E485" i="3"/>
  <c r="E548" i="3"/>
  <c r="P6" i="3"/>
  <c r="E414" i="3"/>
  <c r="E400" i="3"/>
  <c r="E432" i="3"/>
  <c r="E443" i="3"/>
  <c r="E477" i="3"/>
  <c r="E345" i="3"/>
  <c r="E367" i="3"/>
  <c r="E557" i="3"/>
  <c r="E547" i="3"/>
  <c r="E581" i="3"/>
  <c r="AS6" i="3"/>
  <c r="E531" i="3"/>
  <c r="E403" i="3"/>
  <c r="E444" i="3"/>
  <c r="E476" i="3"/>
  <c r="E489" i="3"/>
  <c r="E546" i="3"/>
  <c r="E404" i="3"/>
  <c r="E28" i="3"/>
  <c r="E71" i="3"/>
  <c r="E88" i="3"/>
  <c r="E27" i="3"/>
  <c r="E70" i="3"/>
  <c r="E121" i="3"/>
  <c r="E182" i="3"/>
  <c r="E126" i="3"/>
  <c r="E166" i="3"/>
  <c r="E186" i="3"/>
  <c r="E272" i="3"/>
  <c r="E295" i="3"/>
  <c r="E210" i="3"/>
  <c r="E273" i="3"/>
  <c r="E291" i="3"/>
  <c r="E316" i="3"/>
  <c r="E331" i="3"/>
  <c r="E377" i="3"/>
  <c r="E317" i="3"/>
  <c r="E334" i="3"/>
  <c r="E384" i="3"/>
  <c r="E572" i="3"/>
  <c r="AM6" i="3"/>
  <c r="E30" i="3"/>
  <c r="E44" i="3"/>
  <c r="E109" i="3"/>
  <c r="E29" i="3"/>
  <c r="E441" i="3"/>
  <c r="E484" i="3"/>
  <c r="E425" i="3"/>
  <c r="E467" i="3"/>
  <c r="E64" i="3"/>
  <c r="E46" i="3"/>
  <c r="E103" i="3"/>
  <c r="E160" i="3"/>
  <c r="E142" i="3"/>
  <c r="E200" i="3"/>
  <c r="E249" i="3"/>
  <c r="E300" i="3"/>
  <c r="E371" i="3"/>
  <c r="E310" i="3"/>
  <c r="E492" i="3"/>
  <c r="E23" i="3"/>
  <c r="E84" i="3"/>
  <c r="E67" i="3"/>
  <c r="E33" i="3"/>
  <c r="E144" i="3"/>
  <c r="E184" i="3"/>
  <c r="E233" i="3"/>
  <c r="E355" i="3"/>
  <c r="E381" i="3"/>
  <c r="E68" i="3"/>
  <c r="E63" i="3"/>
  <c r="E81" i="3"/>
  <c r="E118" i="3"/>
  <c r="E264" i="3"/>
  <c r="E283" i="3"/>
  <c r="E309" i="3"/>
  <c r="E513" i="3"/>
  <c r="E21" i="3"/>
  <c r="E237" i="3"/>
  <c r="E261" i="3"/>
  <c r="E304" i="3"/>
  <c r="E528" i="3"/>
  <c r="E565" i="3"/>
  <c r="E183" i="3"/>
  <c r="E213" i="3"/>
  <c r="E361" i="3"/>
  <c r="E17" i="3"/>
  <c r="E302" i="3"/>
  <c r="E388" i="3"/>
  <c r="O6" i="3"/>
  <c r="E555" i="3"/>
  <c r="E574" i="3"/>
  <c r="E410" i="3"/>
  <c r="E359" i="3"/>
  <c r="E285" i="3"/>
  <c r="E143" i="3"/>
  <c r="E97" i="3"/>
  <c r="E353" i="3"/>
  <c r="E385" i="3"/>
  <c r="AN6" i="3"/>
  <c r="AI6" i="3"/>
  <c r="E586" i="3"/>
  <c r="E578" i="3"/>
  <c r="E402" i="3"/>
  <c r="E423" i="3"/>
  <c r="E350" i="3"/>
  <c r="E382" i="3"/>
  <c r="E263" i="3"/>
  <c r="E301" i="3"/>
  <c r="E245" i="3"/>
  <c r="E191" i="3"/>
  <c r="E99" i="3"/>
  <c r="E188" i="3"/>
  <c r="E228" i="3"/>
  <c r="E181" i="3"/>
  <c r="E157" i="3"/>
  <c r="E120" i="3"/>
  <c r="E45" i="3"/>
  <c r="E224" i="3"/>
  <c r="E177" i="3"/>
  <c r="E193" i="3"/>
  <c r="E133" i="3"/>
  <c r="E286" i="3"/>
  <c r="E312" i="3"/>
  <c r="E575" i="3"/>
  <c r="AD6" i="3"/>
  <c r="E499" i="3"/>
  <c r="R6" i="3"/>
  <c r="E552" i="3"/>
  <c r="E421" i="3"/>
  <c r="E442" i="3"/>
  <c r="E464" i="3"/>
  <c r="E466" i="3"/>
  <c r="E487" i="3"/>
  <c r="E398" i="3"/>
  <c r="E430" i="3"/>
  <c r="E416" i="3"/>
  <c r="E449" i="3"/>
  <c r="E459" i="3"/>
  <c r="E255" i="3"/>
  <c r="E374" i="3"/>
  <c r="I3" i="6"/>
  <c r="E566" i="3"/>
  <c r="AP6" i="3"/>
  <c r="E500" i="3"/>
  <c r="E554" i="3"/>
  <c r="E582"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44" i="3"/>
  <c r="E58" i="3"/>
  <c r="E76" i="3"/>
  <c r="E110" i="3"/>
  <c r="E59" i="3"/>
  <c r="E462" i="3"/>
  <c r="E446" i="3"/>
  <c r="E47" i="3"/>
  <c r="E98" i="3"/>
  <c r="E65" i="3"/>
  <c r="E138" i="3"/>
  <c r="E195" i="3"/>
  <c r="E163" i="3"/>
  <c r="E248" i="3"/>
  <c r="E209" i="3"/>
  <c r="E266" i="3"/>
  <c r="E307" i="3"/>
  <c r="E386" i="3"/>
  <c r="E354" i="3"/>
  <c r="E584" i="3"/>
  <c r="E66" i="3"/>
  <c r="E24" i="3"/>
  <c r="E48" i="3"/>
  <c r="E87" i="3"/>
  <c r="E127" i="3"/>
  <c r="E125" i="3"/>
  <c r="E217" i="3"/>
  <c r="E366" i="3"/>
  <c r="E553" i="3"/>
  <c r="E268" i="3"/>
  <c r="E322" i="3"/>
  <c r="N6" i="3"/>
  <c r="AJ6" i="3"/>
  <c r="E347" i="3"/>
  <c r="E583" i="3"/>
  <c r="AA6" i="3"/>
  <c r="X6" i="3"/>
  <c r="E399" i="3"/>
  <c r="E336" i="3"/>
  <c r="E246" i="3"/>
  <c r="E124" i="3"/>
  <c r="E293" i="3"/>
  <c r="E270" i="3"/>
  <c r="E390" i="3"/>
  <c r="S6" i="3"/>
  <c r="AR6" i="3"/>
  <c r="E561" i="3"/>
  <c r="E506" i="3"/>
  <c r="E538" i="3"/>
  <c r="E418" i="3"/>
  <c r="E439" i="3"/>
  <c r="E338" i="3"/>
  <c r="E380" i="3"/>
  <c r="E321" i="3"/>
  <c r="E231" i="3"/>
  <c r="E169" i="3"/>
  <c r="E185" i="3"/>
  <c r="E61" i="3"/>
  <c r="E135" i="3"/>
  <c r="E161" i="3"/>
  <c r="E117" i="3"/>
  <c r="E207" i="3"/>
  <c r="E271" i="3"/>
  <c r="E204" i="3"/>
  <c r="E145" i="3"/>
  <c r="E164" i="3"/>
  <c r="E107" i="3"/>
  <c r="E313" i="3"/>
  <c r="E330" i="3"/>
  <c r="K6" i="3"/>
  <c r="Q6" i="3"/>
  <c r="E573" i="3"/>
  <c r="E560" i="3"/>
  <c r="E529" i="3"/>
  <c r="E437" i="3"/>
  <c r="E472" i="3"/>
  <c r="E474" i="3"/>
  <c r="E481" i="3"/>
  <c r="E406" i="3"/>
  <c r="E438" i="3"/>
  <c r="E424" i="3"/>
  <c r="E457" i="3"/>
  <c r="E465" i="3"/>
  <c r="E344" i="3"/>
  <c r="E562" i="3"/>
  <c r="E587" i="3"/>
  <c r="W6" i="3"/>
  <c r="AE6" i="3"/>
  <c r="E571" i="3"/>
  <c r="E577" i="3"/>
  <c r="E537" i="3"/>
  <c r="E429" i="3"/>
  <c r="E450" i="3"/>
  <c r="E468" i="3"/>
  <c r="E471" i="3"/>
  <c r="E433" i="3"/>
  <c r="E454" i="3"/>
  <c r="E475" i="3"/>
  <c r="E55" i="3"/>
  <c r="E72" i="3"/>
  <c r="E106" i="3"/>
  <c r="E54" i="3"/>
  <c r="E73" i="3"/>
  <c r="E111" i="3"/>
  <c r="E146" i="3"/>
  <c r="E168" i="3"/>
  <c r="E203" i="3"/>
  <c r="E150" i="3"/>
  <c r="E171" i="3"/>
  <c r="E256" i="3"/>
  <c r="E279" i="3"/>
  <c r="E214" i="3"/>
  <c r="E257" i="3"/>
  <c r="E351" i="3"/>
  <c r="E315" i="3"/>
  <c r="E357" i="3"/>
  <c r="E394" i="3"/>
  <c r="E318" i="3"/>
  <c r="E362" i="3"/>
  <c r="E14" i="3"/>
  <c r="E580" i="3"/>
  <c r="E31" i="3"/>
  <c r="E74" i="3"/>
  <c r="E93" i="3"/>
  <c r="E32" i="3"/>
  <c r="E75" i="3"/>
  <c r="E409" i="3"/>
  <c r="E473" i="3"/>
  <c r="E1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365" i="3"/>
  <c r="E101" i="3"/>
  <c r="E53" i="3"/>
  <c r="E501" i="3"/>
  <c r="E426" i="3"/>
  <c r="E539" i="3"/>
  <c r="E461" i="3"/>
  <c r="E165" i="3"/>
  <c r="E559" i="3"/>
  <c r="V6" i="3"/>
  <c r="E320" i="3"/>
  <c r="E254" i="3"/>
  <c r="E149" i="3"/>
  <c r="E167" i="3"/>
  <c r="E405" i="3"/>
  <c r="E408" i="3"/>
  <c r="E360" i="3"/>
  <c r="E470" i="3"/>
  <c r="E26" i="3"/>
  <c r="E41" i="3"/>
  <c r="E198" i="3"/>
  <c r="E225" i="3"/>
  <c r="E243" i="3"/>
  <c r="E391" i="3"/>
  <c r="AL6" i="3"/>
  <c r="E94" i="3"/>
  <c r="E482" i="3"/>
  <c r="E78" i="3"/>
  <c r="E220" i="3"/>
  <c r="E383" i="3"/>
  <c r="E86" i="3"/>
  <c r="E232" i="3"/>
  <c r="E370" i="3"/>
  <c r="E102" i="3"/>
  <c r="E113" i="3"/>
  <c r="E287" i="3"/>
  <c r="E326" i="3"/>
  <c r="E83" i="3"/>
  <c r="E508" i="3"/>
  <c r="E545" i="3"/>
  <c r="E352" i="3"/>
  <c r="E128" i="3"/>
  <c r="E311" i="3"/>
  <c r="E570" i="3"/>
  <c r="AB6" i="3"/>
  <c r="E335" i="3"/>
  <c r="E189" i="3"/>
  <c r="E91" i="3"/>
  <c r="E77" i="3"/>
  <c r="E199" i="3"/>
  <c r="E393" i="3"/>
  <c r="E564" i="3"/>
  <c r="E427" i="3"/>
  <c r="E507" i="3"/>
  <c r="E440" i="3"/>
  <c r="E376" i="3"/>
  <c r="J6" i="3"/>
  <c r="E419" i="3"/>
  <c r="E401" i="3"/>
  <c r="E40" i="3"/>
  <c r="E108" i="3"/>
  <c r="E276" i="3"/>
  <c r="E333" i="3"/>
  <c r="L6" i="3"/>
  <c r="E43" i="3"/>
  <c r="E412" i="3"/>
  <c r="E129" i="3"/>
  <c r="E342" i="3"/>
  <c r="E34" i="3"/>
  <c r="E341" i="3"/>
  <c r="E51" i="3"/>
  <c r="E154" i="3"/>
  <c r="E222" i="3"/>
  <c r="E373" i="3"/>
  <c r="E319" i="3"/>
  <c r="E153" i="3"/>
  <c r="E328" i="3"/>
  <c r="E567" i="3"/>
  <c r="E227" i="3"/>
  <c r="E358" i="3"/>
  <c r="E407" i="3"/>
  <c r="E294" i="3"/>
  <c r="E130" i="3"/>
  <c r="E221" i="3"/>
  <c r="E212" i="3"/>
  <c r="E141" i="3"/>
  <c r="T6" i="3"/>
  <c r="E456" i="3"/>
  <c r="E512" i="3"/>
  <c r="E451" i="3"/>
  <c r="E556" i="3"/>
  <c r="E13" i="3"/>
  <c r="E452" i="3"/>
  <c r="E420" i="3"/>
  <c r="E104" i="3"/>
  <c r="E115" i="3"/>
  <c r="E281" i="3"/>
  <c r="E332" i="3"/>
  <c r="E356" i="3"/>
  <c r="E42" i="3"/>
  <c r="E18" i="3"/>
  <c r="E190" i="3"/>
  <c r="E49" i="3"/>
  <c r="E251" i="3"/>
  <c r="AF6" i="3"/>
  <c r="E80" i="3"/>
  <c r="E158" i="3"/>
  <c r="E308" i="3"/>
  <c r="E22" i="3"/>
  <c r="E175" i="3"/>
  <c r="E343" i="3"/>
  <c r="E530" i="3"/>
  <c r="E305" i="3"/>
  <c r="E329" i="3"/>
  <c r="E205" i="3"/>
  <c r="E514" i="3"/>
  <c r="M6" i="3"/>
  <c r="E387" i="3"/>
  <c r="E215" i="3"/>
  <c r="E134" i="3"/>
  <c r="E180" i="3"/>
  <c r="E253" i="3"/>
  <c r="E493" i="3"/>
  <c r="E543" i="3"/>
  <c r="E486" i="3"/>
  <c r="E422" i="3"/>
  <c r="E490" i="3"/>
  <c r="AH6" i="3"/>
  <c r="E498" i="3"/>
  <c r="E483" i="3"/>
  <c r="E463" i="3"/>
  <c r="E25" i="3"/>
  <c r="E178" i="3"/>
  <c r="E226" i="3"/>
  <c r="E346" i="3"/>
  <c r="E372" i="3"/>
  <c r="E60" i="3"/>
  <c r="E428" i="3"/>
  <c r="E96" i="3"/>
  <c r="E174" i="3"/>
  <c r="E324" i="3"/>
  <c r="E35" i="3"/>
  <c r="E206" i="3"/>
  <c r="E284" i="3"/>
  <c r="Y6" i="3"/>
  <c r="E19" i="3"/>
  <c r="E179" i="3"/>
  <c r="E323" i="3"/>
  <c r="E82" i="3"/>
  <c r="E510" i="3"/>
  <c r="E517" i="3"/>
  <c r="E540" i="3"/>
  <c r="E533" i="3"/>
  <c r="E526" i="3"/>
  <c r="E523" i="3"/>
  <c r="E518" i="3"/>
  <c r="E303" i="3"/>
  <c r="E534" i="3"/>
  <c r="E504" i="3"/>
  <c r="E524" i="3"/>
  <c r="E516" i="3"/>
  <c r="E505" i="3"/>
  <c r="E541" i="3"/>
  <c r="E525" i="3"/>
  <c r="E497" i="3"/>
  <c r="E535" i="3"/>
  <c r="E503" i="3"/>
  <c r="E527" i="3"/>
  <c r="E502" i="3"/>
  <c r="E522" i="3"/>
  <c r="E495" i="3"/>
  <c r="E532" i="3"/>
  <c r="E519" i="3"/>
  <c r="E550" i="3"/>
  <c r="E511" i="3"/>
  <c r="E337" i="3"/>
  <c r="E369" i="3"/>
  <c r="E216" i="3"/>
  <c r="E89" i="3"/>
  <c r="E16" i="71"/>
  <c r="E15" i="71" s="1"/>
  <c r="E14" i="71" s="1"/>
  <c r="E13" i="71" s="1"/>
  <c r="V17" i="71"/>
  <c r="E235" i="3"/>
  <c r="E242" i="3"/>
  <c r="E447" i="3"/>
  <c r="E250" i="3"/>
  <c r="E262" i="3"/>
  <c r="E16" i="6"/>
  <c r="E156" i="3"/>
  <c r="E162" i="3"/>
  <c r="C29" i="71"/>
  <c r="D28" i="71"/>
  <c r="Q63" i="71"/>
  <c r="Q62" i="71"/>
  <c r="E208" i="3"/>
  <c r="E275" i="3"/>
  <c r="D41" i="71"/>
  <c r="T41" i="71"/>
  <c r="E274" i="3"/>
  <c r="E267" i="3"/>
  <c r="E92" i="3"/>
  <c r="AA26" i="35"/>
  <c r="S26" i="35"/>
  <c r="E488" i="3"/>
  <c r="E265" i="3"/>
  <c r="C15" i="71"/>
  <c r="D16" i="71"/>
  <c r="E58" i="40"/>
  <c r="E62" i="39"/>
  <c r="E61" i="39"/>
  <c r="E57" i="40"/>
  <c r="E494" i="3"/>
  <c r="E521" i="3"/>
  <c r="E211" i="3"/>
  <c r="P62" i="71"/>
  <c r="P63" i="71"/>
  <c r="F30" i="6"/>
  <c r="F31" i="6" s="1"/>
  <c r="E34" i="6" s="1"/>
  <c r="E28" i="6"/>
  <c r="D61" i="71"/>
  <c r="T61" i="71"/>
  <c r="E230" i="3"/>
  <c r="E139" i="3"/>
  <c r="E551" i="3"/>
  <c r="E290" i="3"/>
  <c r="E282" i="3"/>
  <c r="T37" i="71"/>
  <c r="D37"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AE7" i="1"/>
  <c r="F41" i="15"/>
  <c r="AC10" i="39" l="1"/>
  <c r="F22" i="68"/>
  <c r="F25" i="12"/>
  <c r="J26" i="83"/>
  <c r="C48" i="83"/>
  <c r="C66" i="83" s="1"/>
  <c r="W10" i="40"/>
  <c r="F24" i="67"/>
  <c r="C24" i="67" s="1"/>
  <c r="F22" i="11"/>
  <c r="C26" i="11" s="1"/>
  <c r="D22" i="11" s="1"/>
  <c r="F24" i="15"/>
  <c r="C24" i="15" s="1"/>
  <c r="F22" i="69"/>
  <c r="F41" i="69" s="1"/>
  <c r="F69" i="15"/>
  <c r="J29" i="15"/>
  <c r="C38" i="83"/>
  <c r="AA10" i="39"/>
  <c r="H6" i="3"/>
  <c r="AC6" i="3"/>
  <c r="C30" i="43"/>
  <c r="E30" i="43" s="1"/>
  <c r="E29" i="43"/>
  <c r="E12" i="71"/>
  <c r="E11" i="71" s="1"/>
  <c r="E10" i="71" s="1"/>
  <c r="E9" i="71" s="1"/>
  <c r="V13" i="71"/>
  <c r="B12" i="71"/>
  <c r="B11" i="71" s="1"/>
  <c r="B10" i="71" s="1"/>
  <c r="B9" i="71" s="1"/>
  <c r="S13" i="71"/>
  <c r="E65" i="39"/>
  <c r="D3" i="33"/>
  <c r="C17" i="4"/>
  <c r="B4" i="52" s="1"/>
  <c r="B43" i="72" s="1"/>
  <c r="L18" i="9"/>
  <c r="D3" i="21"/>
  <c r="D37" i="11"/>
  <c r="C37" i="11" s="1"/>
  <c r="M18" i="9"/>
  <c r="B118" i="9" s="1"/>
  <c r="B14" i="74" s="1"/>
  <c r="B1" i="74" s="1"/>
  <c r="E6" i="6"/>
  <c r="D14" i="12"/>
  <c r="D3" i="34"/>
  <c r="D19" i="11"/>
  <c r="C19" i="11" s="1"/>
  <c r="D3" i="37"/>
  <c r="T29" i="71"/>
  <c r="D29"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3" i="3"/>
  <c r="AY426" i="3"/>
  <c r="AY431" i="3"/>
  <c r="AY579" i="3"/>
  <c r="AY14" i="3"/>
  <c r="AY575" i="3"/>
  <c r="AY509" i="3"/>
  <c r="AY570" i="3"/>
  <c r="AY563" i="3"/>
  <c r="AY94" i="3"/>
  <c r="AY46" i="3"/>
  <c r="AY203" i="3"/>
  <c r="AY167" i="3"/>
  <c r="AY285" i="3"/>
  <c r="AY233" i="3"/>
  <c r="AY221" i="3"/>
  <c r="AY362" i="3"/>
  <c r="AY330" i="3"/>
  <c r="AY466" i="3"/>
  <c r="AY437" i="3"/>
  <c r="AY13" i="3"/>
  <c r="AY512" i="3"/>
  <c r="AY91" i="3"/>
  <c r="AY39" i="3"/>
  <c r="AY27" i="3"/>
  <c r="AY148" i="3"/>
  <c r="AY136" i="3"/>
  <c r="AY273" i="3"/>
  <c r="AY224" i="3"/>
  <c r="AY375" i="3"/>
  <c r="AY323" i="3"/>
  <c r="AY490" i="3"/>
  <c r="AY432" i="3"/>
  <c r="AY550" i="3"/>
  <c r="AY511" i="3"/>
  <c r="AY567"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8" i="3"/>
  <c r="AY418" i="3"/>
  <c r="AY423" i="3"/>
  <c r="AY506" i="3"/>
  <c r="AY564" i="3"/>
  <c r="AY502" i="3"/>
  <c r="AY542" i="3"/>
  <c r="AY548" i="3"/>
  <c r="BA6" i="3"/>
  <c r="AY63" i="3"/>
  <c r="AY30" i="3"/>
  <c r="AY187" i="3"/>
  <c r="AY135" i="3"/>
  <c r="AY296" i="3"/>
  <c r="AY264" i="3"/>
  <c r="AY378" i="3"/>
  <c r="AY347" i="3"/>
  <c r="AY314" i="3"/>
  <c r="AY456" i="3"/>
  <c r="AY421" i="3"/>
  <c r="AY517" i="3"/>
  <c r="BL6" i="3"/>
  <c r="AY102" i="3"/>
  <c r="AY70" i="3"/>
  <c r="AY184" i="3"/>
  <c r="AY175" i="3"/>
  <c r="AY119" i="3"/>
  <c r="AY241" i="3"/>
  <c r="AY208" i="3"/>
  <c r="AY367" i="3"/>
  <c r="AY338" i="3"/>
  <c r="AY474" i="3"/>
  <c r="AY416" i="3"/>
  <c r="BD6" i="3"/>
  <c r="AY498" i="3"/>
  <c r="AY583"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50" i="3"/>
  <c r="AY410" i="3"/>
  <c r="AY407" i="3"/>
  <c r="AY17" i="3"/>
  <c r="D3" i="6"/>
  <c r="AY565" i="3"/>
  <c r="AY530" i="3"/>
  <c r="AY531" i="3"/>
  <c r="AY99" i="3"/>
  <c r="AY47" i="3"/>
  <c r="AY35" i="3"/>
  <c r="AY156" i="3"/>
  <c r="AY120" i="3"/>
  <c r="AY280" i="3"/>
  <c r="AY232" i="3"/>
  <c r="AY383" i="3"/>
  <c r="AY331" i="3"/>
  <c r="AY469" i="3"/>
  <c r="AY440" i="3"/>
  <c r="AY405" i="3"/>
  <c r="AY560" i="3"/>
  <c r="AY576" i="3"/>
  <c r="AY86" i="3"/>
  <c r="AY38" i="3"/>
  <c r="AY195" i="3"/>
  <c r="AY159" i="3"/>
  <c r="AY277" i="3"/>
  <c r="AY272" i="3"/>
  <c r="AY213" i="3"/>
  <c r="AY354" i="3"/>
  <c r="AY322" i="3"/>
  <c r="AY459" i="3"/>
  <c r="AY429" i="3"/>
  <c r="AY15" i="3"/>
  <c r="AY504" i="3"/>
  <c r="AY413"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42" i="3"/>
  <c r="AY439" i="3"/>
  <c r="AY399" i="3"/>
  <c r="AY499" i="3"/>
  <c r="AY524" i="3"/>
  <c r="AY537" i="3"/>
  <c r="BR6" i="3"/>
  <c r="AY578" i="3"/>
  <c r="AY110" i="3"/>
  <c r="AY78" i="3"/>
  <c r="AY192" i="3"/>
  <c r="AY140" i="3"/>
  <c r="AY127" i="3"/>
  <c r="AY249" i="3"/>
  <c r="AY216" i="3"/>
  <c r="AY376" i="3"/>
  <c r="AY346" i="3"/>
  <c r="AY482" i="3"/>
  <c r="AY424" i="3"/>
  <c r="AY558" i="3"/>
  <c r="AY528" i="3"/>
  <c r="AY587" i="3"/>
  <c r="AY55" i="3"/>
  <c r="AY22" i="3"/>
  <c r="AY179" i="3"/>
  <c r="AY128" i="3"/>
  <c r="AY288" i="3"/>
  <c r="AY256" i="3"/>
  <c r="AY391" i="3"/>
  <c r="AY339" i="3"/>
  <c r="AY306" i="3"/>
  <c r="AY448" i="3"/>
  <c r="BC6" i="3"/>
  <c r="AY586" i="3"/>
  <c r="K21" i="6"/>
  <c r="M21" i="6" s="1"/>
  <c r="I21" i="6" s="1"/>
  <c r="S21" i="6" s="1"/>
  <c r="K22" i="6"/>
  <c r="M22" i="6" s="1"/>
  <c r="I22" i="6" s="1"/>
  <c r="S22" i="6" s="1"/>
  <c r="K25" i="6"/>
  <c r="M25" i="6" s="1"/>
  <c r="I25" i="6" s="1"/>
  <c r="S25" i="6" s="1"/>
  <c r="K23" i="6"/>
  <c r="M23" i="6" s="1"/>
  <c r="I23" i="6" s="1"/>
  <c r="S23" i="6" s="1"/>
  <c r="E30" i="6"/>
  <c r="E31" i="6" s="1"/>
  <c r="K24" i="6"/>
  <c r="M24" i="6" s="1"/>
  <c r="I24" i="6" s="1"/>
  <c r="S24" i="6" s="1"/>
  <c r="K14" i="1"/>
  <c r="K26" i="6"/>
  <c r="M26" i="6" s="1"/>
  <c r="I26" i="6" s="1"/>
  <c r="S26" i="6" s="1"/>
  <c r="K19" i="6"/>
  <c r="S6" i="1" s="1"/>
  <c r="K20" i="6"/>
  <c r="C14" i="71"/>
  <c r="D15" i="71"/>
  <c r="E6" i="3"/>
  <c r="H67" i="39"/>
  <c r="G69" i="39"/>
  <c r="E38" i="43"/>
  <c r="G38" i="43"/>
  <c r="I38" i="43" s="1"/>
  <c r="E33" i="43"/>
  <c r="C26" i="43" s="1"/>
  <c r="B2" i="43" s="1"/>
  <c r="G33" i="43"/>
  <c r="I33"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44" i="68"/>
  <c r="D41" i="68" s="1"/>
  <c r="C26" i="68"/>
  <c r="D22" i="68" s="1"/>
  <c r="C26" i="12"/>
  <c r="D25" i="12" s="1"/>
  <c r="C38" i="67"/>
  <c r="C38" i="15"/>
  <c r="C66" i="67"/>
  <c r="C60" i="67"/>
  <c r="B6" i="76"/>
  <c r="F41" i="83"/>
  <c r="C17" i="15"/>
  <c r="F69" i="83" l="1"/>
  <c r="J29" i="83"/>
  <c r="C24" i="11"/>
  <c r="C60" i="83"/>
  <c r="E6" i="70"/>
  <c r="C23" i="67"/>
  <c r="C29" i="67" s="1"/>
  <c r="C33" i="67" s="1"/>
  <c r="C31" i="67" s="1"/>
  <c r="C23" i="11"/>
  <c r="C44" i="11"/>
  <c r="D41" i="11" s="1"/>
  <c r="C26" i="69"/>
  <c r="D22" i="69" s="1"/>
  <c r="C44" i="69"/>
  <c r="D41" i="69" s="1"/>
  <c r="C27" i="43"/>
  <c r="AQ6" i="1"/>
  <c r="T6" i="1"/>
  <c r="AR6" i="1"/>
  <c r="M20" i="6"/>
  <c r="I20" i="6" s="1"/>
  <c r="S20" i="6" s="1"/>
  <c r="S7" i="1"/>
  <c r="M19" i="9"/>
  <c r="C118" i="9" s="1"/>
  <c r="C14" i="74" s="1"/>
  <c r="B2" i="74" s="1"/>
  <c r="D26" i="6"/>
  <c r="D8" i="6"/>
  <c r="D14" i="6"/>
  <c r="D5" i="6"/>
  <c r="D11" i="6"/>
  <c r="D28" i="6"/>
  <c r="H26" i="6"/>
  <c r="D15" i="6"/>
  <c r="D23" i="6"/>
  <c r="D10" i="6"/>
  <c r="E61" i="40"/>
  <c r="H21" i="6"/>
  <c r="C18" i="4"/>
  <c r="D24" i="6"/>
  <c r="D6" i="6"/>
  <c r="D13" i="6"/>
  <c r="H25" i="6"/>
  <c r="H24" i="6"/>
  <c r="D19" i="6"/>
  <c r="D22" i="6"/>
  <c r="D20" i="6"/>
  <c r="D12" i="6"/>
  <c r="L19" i="9"/>
  <c r="H22" i="6"/>
  <c r="D25" i="6"/>
  <c r="D21" i="6"/>
  <c r="D9" i="6"/>
  <c r="D29" i="6"/>
  <c r="H23" i="6"/>
  <c r="C8" i="74"/>
  <c r="C7" i="74"/>
  <c r="B8" i="71"/>
  <c r="B7" i="71" s="1"/>
  <c r="B6" i="71" s="1"/>
  <c r="B5" i="71" s="1"/>
  <c r="S9" i="71"/>
  <c r="M14" i="1"/>
  <c r="K16" i="1"/>
  <c r="C34" i="69"/>
  <c r="D17" i="12"/>
  <c r="C17" i="12" s="1"/>
  <c r="C14" i="12"/>
  <c r="C13" i="71"/>
  <c r="D14" i="71"/>
  <c r="D10" i="68"/>
  <c r="D20" i="12"/>
  <c r="C20" i="12" s="1"/>
  <c r="D10" i="69"/>
  <c r="D10" i="11"/>
  <c r="C10" i="11" s="1"/>
  <c r="E8" i="71"/>
  <c r="E7" i="71" s="1"/>
  <c r="E6" i="71" s="1"/>
  <c r="E5" i="71" s="1"/>
  <c r="V9" i="71"/>
  <c r="M19" i="6"/>
  <c r="K27" i="6"/>
  <c r="C20" i="11"/>
  <c r="C25" i="11" s="1"/>
  <c r="H69" i="39"/>
  <c r="I67"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4" i="15"/>
  <c r="E6" i="76"/>
  <c r="C17" i="83"/>
  <c r="J14" i="67" l="1"/>
  <c r="J22" i="67" s="1"/>
  <c r="C36" i="67"/>
  <c r="C15" i="15"/>
  <c r="C18" i="15"/>
  <c r="S16" i="1"/>
  <c r="E7" i="70"/>
  <c r="E2" i="70" s="1"/>
  <c r="C22" i="11"/>
  <c r="J19" i="67"/>
  <c r="J17" i="67" s="1"/>
  <c r="J59" i="67"/>
  <c r="J60" i="67" s="1"/>
  <c r="Q48" i="67" s="1"/>
  <c r="C13" i="67"/>
  <c r="C37" i="67" s="1"/>
  <c r="Q49" i="67"/>
  <c r="C57" i="67"/>
  <c r="C61" i="67" s="1"/>
  <c r="C59" i="67" s="1"/>
  <c r="H20" i="6"/>
  <c r="R20" i="6" s="1"/>
  <c r="R7" i="1" s="1"/>
  <c r="E2" i="76"/>
  <c r="B3" i="76" s="1"/>
  <c r="AQ7" i="1"/>
  <c r="T7" i="1"/>
  <c r="AR7" i="1"/>
  <c r="D30" i="6"/>
  <c r="D16" i="6"/>
  <c r="R21" i="6"/>
  <c r="R23" i="6"/>
  <c r="C35" i="69"/>
  <c r="C38" i="69"/>
  <c r="A7" i="51"/>
  <c r="B7" i="72" s="1"/>
  <c r="A10" i="51"/>
  <c r="B9" i="72" s="1"/>
  <c r="C4" i="52"/>
  <c r="B45" i="72" s="1"/>
  <c r="C28" i="11"/>
  <c r="C27" i="11" s="1"/>
  <c r="I19" i="6"/>
  <c r="M27" i="6"/>
  <c r="C10" i="69"/>
  <c r="C8" i="69" s="1"/>
  <c r="C5" i="69" s="1"/>
  <c r="D19" i="69"/>
  <c r="C12" i="71"/>
  <c r="T13" i="71"/>
  <c r="D13" i="71"/>
  <c r="U13" i="71" s="1"/>
  <c r="R22" i="6"/>
  <c r="T16" i="1"/>
  <c r="O14" i="1"/>
  <c r="O16" i="1" s="1"/>
  <c r="M16" i="1"/>
  <c r="D27" i="6"/>
  <c r="R26" i="6"/>
  <c r="C10" i="68"/>
  <c r="B29" i="1" s="1"/>
  <c r="C8" i="68" s="1"/>
  <c r="D19" i="68"/>
  <c r="R25" i="6"/>
  <c r="R24" i="6"/>
  <c r="D8" i="74"/>
  <c r="D7" i="74"/>
  <c r="I69" i="39"/>
  <c r="J67" i="39"/>
  <c r="I63" i="40"/>
  <c r="H65" i="40"/>
  <c r="I58" i="21"/>
  <c r="J58" i="21" s="1"/>
  <c r="K58" i="21" s="1"/>
  <c r="L58" i="21" s="1"/>
  <c r="M58" i="21" s="1"/>
  <c r="N58" i="21" s="1"/>
  <c r="O58" i="21" s="1"/>
  <c r="H7" i="21" s="1"/>
  <c r="J7" i="21"/>
  <c r="F7" i="21"/>
  <c r="J48" i="35"/>
  <c r="C14" i="83"/>
  <c r="C31" i="11" l="1"/>
  <c r="J13" i="67"/>
  <c r="J23" i="67" s="1"/>
  <c r="J16" i="67" s="1"/>
  <c r="J25" i="67" s="1"/>
  <c r="C19" i="15"/>
  <c r="C20" i="15" s="1"/>
  <c r="C26" i="15" s="1"/>
  <c r="C30" i="67"/>
  <c r="C39" i="67" s="1"/>
  <c r="Q69" i="67" s="1"/>
  <c r="C18" i="83"/>
  <c r="C15" i="83"/>
  <c r="C64" i="67"/>
  <c r="Q70" i="67"/>
  <c r="C75" i="67"/>
  <c r="C56" i="67"/>
  <c r="C65" i="67" s="1"/>
  <c r="L46" i="67"/>
  <c r="C18" i="12"/>
  <c r="D31" i="6"/>
  <c r="I5" i="6" s="1"/>
  <c r="P14" i="1"/>
  <c r="P16" i="1" s="1"/>
  <c r="C11" i="12" s="1"/>
  <c r="C12" i="12" s="1"/>
  <c r="C19" i="68"/>
  <c r="D37" i="68"/>
  <c r="C37" i="68" s="1"/>
  <c r="D12" i="71"/>
  <c r="C11" i="71"/>
  <c r="S19" i="6"/>
  <c r="S27" i="6" s="1"/>
  <c r="I27" i="6"/>
  <c r="H19" i="6"/>
  <c r="N16" i="1"/>
  <c r="C34" i="11"/>
  <c r="L16" i="1"/>
  <c r="C34" i="68"/>
  <c r="C19" i="69"/>
  <c r="C24" i="69" s="1"/>
  <c r="D37" i="69"/>
  <c r="C37" i="69" s="1"/>
  <c r="C33" i="69"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40" i="67" l="1"/>
  <c r="D2" i="67" s="1"/>
  <c r="C80" i="67"/>
  <c r="C79" i="67" s="1"/>
  <c r="C58" i="67"/>
  <c r="C67" i="67" s="1"/>
  <c r="C68" i="67" s="1"/>
  <c r="C71" i="67" s="1"/>
  <c r="C19" i="83"/>
  <c r="C20" i="83" s="1"/>
  <c r="C23" i="15"/>
  <c r="C29" i="15" s="1"/>
  <c r="Q68" i="67"/>
  <c r="I6" i="6"/>
  <c r="C15" i="12"/>
  <c r="C16" i="12" s="1"/>
  <c r="C21" i="12" s="1"/>
  <c r="C22" i="12" s="1"/>
  <c r="C30" i="12" s="1"/>
  <c r="C28" i="12" s="1"/>
  <c r="C20" i="69"/>
  <c r="C28" i="69" s="1"/>
  <c r="C27" i="69" s="1"/>
  <c r="C35" i="68"/>
  <c r="C38" i="68"/>
  <c r="H27" i="6"/>
  <c r="R19" i="6"/>
  <c r="C39" i="69"/>
  <c r="C43" i="69" s="1"/>
  <c r="C42" i="69"/>
  <c r="C38" i="11"/>
  <c r="C35" i="11"/>
  <c r="F50" i="11"/>
  <c r="F50" i="68"/>
  <c r="F50" i="69"/>
  <c r="D11" i="71"/>
  <c r="C10" i="71"/>
  <c r="C24" i="68"/>
  <c r="L67" i="39"/>
  <c r="K69" i="39"/>
  <c r="W7" i="35"/>
  <c r="AC7" i="35"/>
  <c r="V38" i="35" s="1"/>
  <c r="I38" i="35" s="1"/>
  <c r="J65" i="40"/>
  <c r="K63" i="40"/>
  <c r="I52" i="21"/>
  <c r="J52" i="21" s="1"/>
  <c r="U7" i="35"/>
  <c r="AB7" i="35"/>
  <c r="T38" i="35" s="1"/>
  <c r="G38" i="35" s="1"/>
  <c r="R49" i="21"/>
  <c r="E48" i="21"/>
  <c r="G52" i="21"/>
  <c r="H52" i="21" s="1"/>
  <c r="G53" i="21"/>
  <c r="H53" i="21" s="1"/>
  <c r="F7" i="35"/>
  <c r="C43" i="67"/>
  <c r="Q56" i="67"/>
  <c r="L51" i="67"/>
  <c r="Q67" i="67" l="1"/>
  <c r="L57" i="67"/>
  <c r="L60" i="67" s="1"/>
  <c r="Q65" i="67"/>
  <c r="Q47" i="67"/>
  <c r="Q53" i="67" s="1"/>
  <c r="C45" i="67"/>
  <c r="C46" i="67" s="1"/>
  <c r="C83" i="67"/>
  <c r="C82" i="67" s="1"/>
  <c r="C26" i="83"/>
  <c r="C23" i="83"/>
  <c r="J14" i="15"/>
  <c r="J19" i="15"/>
  <c r="C13" i="15"/>
  <c r="C36" i="15"/>
  <c r="J59" i="15"/>
  <c r="J60" i="15" s="1"/>
  <c r="Q48" i="15" s="1"/>
  <c r="Q49" i="15"/>
  <c r="C57" i="15"/>
  <c r="R27" i="6"/>
  <c r="R6" i="1"/>
  <c r="C33" i="11"/>
  <c r="C39" i="11" s="1"/>
  <c r="C25" i="69"/>
  <c r="C22" i="69" s="1"/>
  <c r="C31" i="69" s="1"/>
  <c r="C33" i="68"/>
  <c r="C39" i="68" s="1"/>
  <c r="C27" i="12"/>
  <c r="C25" i="12" s="1"/>
  <c r="C32" i="12" s="1"/>
  <c r="B2" i="12" s="1"/>
  <c r="B3" i="12" s="1"/>
  <c r="C41" i="69"/>
  <c r="C42" i="11"/>
  <c r="C46" i="69"/>
  <c r="C45" i="69" s="1"/>
  <c r="D10" i="71"/>
  <c r="C9"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21" i="15"/>
  <c r="F35" i="83"/>
  <c r="M21" i="83"/>
  <c r="F35" i="15"/>
  <c r="C29" i="83" l="1"/>
  <c r="J19" i="83" s="1"/>
  <c r="C61" i="15"/>
  <c r="C64" i="15"/>
  <c r="Q70" i="15"/>
  <c r="C56" i="15"/>
  <c r="C65" i="15" s="1"/>
  <c r="C75" i="15"/>
  <c r="C37" i="15"/>
  <c r="J22" i="15"/>
  <c r="J13" i="15"/>
  <c r="J23" i="15" s="1"/>
  <c r="J20" i="83"/>
  <c r="F63" i="83"/>
  <c r="C62" i="83" s="1"/>
  <c r="C34" i="83"/>
  <c r="C31" i="83" s="1"/>
  <c r="F63" i="15"/>
  <c r="C62" i="15" s="1"/>
  <c r="C34" i="15"/>
  <c r="C31" i="15" s="1"/>
  <c r="J20" i="15"/>
  <c r="J17" i="15" s="1"/>
  <c r="R16" i="1"/>
  <c r="C42" i="68"/>
  <c r="C49" i="69"/>
  <c r="C51" i="69" s="1"/>
  <c r="C52" i="69" s="1"/>
  <c r="B2" i="69" s="1"/>
  <c r="B3" i="69" s="1"/>
  <c r="C8" i="71"/>
  <c r="T9" i="71"/>
  <c r="D9" i="71"/>
  <c r="U9" i="71" s="1"/>
  <c r="C46" i="11"/>
  <c r="C45" i="11" s="1"/>
  <c r="C43" i="11"/>
  <c r="C41" i="11" s="1"/>
  <c r="C46" i="68"/>
  <c r="C45" i="68" s="1"/>
  <c r="C43" i="68"/>
  <c r="M69" i="39"/>
  <c r="N67" i="39"/>
  <c r="R39" i="35"/>
  <c r="E38" i="35"/>
  <c r="M63" i="40"/>
  <c r="L65" i="40"/>
  <c r="J17" i="83" l="1"/>
  <c r="J14" i="83"/>
  <c r="J13" i="83" s="1"/>
  <c r="J23" i="83" s="1"/>
  <c r="C57" i="83"/>
  <c r="C64" i="83" s="1"/>
  <c r="C13" i="83"/>
  <c r="Q70" i="83" s="1"/>
  <c r="J59" i="83"/>
  <c r="J60" i="83" s="1"/>
  <c r="L46" i="83" s="1"/>
  <c r="Q49" i="83"/>
  <c r="C36" i="83"/>
  <c r="C30" i="15"/>
  <c r="C39" i="15" s="1"/>
  <c r="C40" i="15" s="1"/>
  <c r="J16" i="15"/>
  <c r="J25" i="15" s="1"/>
  <c r="C59" i="15"/>
  <c r="C58" i="15" s="1"/>
  <c r="C67" i="15" s="1"/>
  <c r="C68" i="15" s="1"/>
  <c r="C71" i="15" s="1"/>
  <c r="L57" i="15"/>
  <c r="L60" i="15" s="1"/>
  <c r="C49" i="11"/>
  <c r="C51" i="11" s="1"/>
  <c r="C52" i="11" s="1"/>
  <c r="B2" i="11" s="1"/>
  <c r="B3" i="11" s="1"/>
  <c r="C41" i="68"/>
  <c r="C49" i="68" s="1"/>
  <c r="C51" i="68" s="1"/>
  <c r="D8" i="71"/>
  <c r="C7" i="71"/>
  <c r="C57" i="69"/>
  <c r="C56" i="69" s="1"/>
  <c r="O67" i="39"/>
  <c r="O69" i="39" s="1"/>
  <c r="N69" i="39"/>
  <c r="F7" i="39"/>
  <c r="C39" i="35"/>
  <c r="B2" i="35" s="1"/>
  <c r="B3" i="35" s="1"/>
  <c r="C38" i="35"/>
  <c r="N63" i="40"/>
  <c r="M65" i="40"/>
  <c r="E43" i="35"/>
  <c r="F43" i="35" s="1"/>
  <c r="E42" i="35"/>
  <c r="F42" i="35" s="1"/>
  <c r="I43" i="35"/>
  <c r="J43" i="35" s="1"/>
  <c r="L51" i="15"/>
  <c r="C75" i="83" l="1"/>
  <c r="C61" i="83"/>
  <c r="C59" i="83" s="1"/>
  <c r="J22" i="83"/>
  <c r="J16" i="83" s="1"/>
  <c r="J25" i="83" s="1"/>
  <c r="Q48" i="83"/>
  <c r="C56" i="83"/>
  <c r="C65" i="83" s="1"/>
  <c r="C37" i="83"/>
  <c r="C30" i="83" s="1"/>
  <c r="C39" i="83" s="1"/>
  <c r="Q67" i="15"/>
  <c r="Q69" i="15"/>
  <c r="Q68" i="15" s="1"/>
  <c r="C80" i="15"/>
  <c r="C79" i="15" s="1"/>
  <c r="C46" i="15"/>
  <c r="L46" i="15"/>
  <c r="B2" i="15" s="1"/>
  <c r="Q66" i="15"/>
  <c r="Q57" i="15"/>
  <c r="Q65" i="15"/>
  <c r="Q47" i="15"/>
  <c r="Q53" i="15" s="1"/>
  <c r="Q56" i="15"/>
  <c r="C83" i="15"/>
  <c r="C82" i="15" s="1"/>
  <c r="C43" i="15"/>
  <c r="C56" i="11"/>
  <c r="C57" i="11" s="1"/>
  <c r="C6" i="71"/>
  <c r="D7" i="71"/>
  <c r="H7" i="39"/>
  <c r="J7" i="39"/>
  <c r="S7" i="39"/>
  <c r="AA7" i="39"/>
  <c r="R47" i="39" s="1"/>
  <c r="O63" i="40"/>
  <c r="O65" i="40" s="1"/>
  <c r="N65" i="40"/>
  <c r="AO6" i="1"/>
  <c r="L51" i="83"/>
  <c r="C58" i="83" l="1"/>
  <c r="C67" i="83" s="1"/>
  <c r="C68" i="83" s="1"/>
  <c r="C71" i="83" s="1"/>
  <c r="Q67" i="83"/>
  <c r="Q69" i="83"/>
  <c r="Q68" i="83" s="1"/>
  <c r="C40" i="83"/>
  <c r="C80" i="83"/>
  <c r="C79" i="83" s="1"/>
  <c r="B6" i="70"/>
  <c r="B3" i="15"/>
  <c r="Q62" i="15"/>
  <c r="Q75" i="15"/>
  <c r="C5" i="71"/>
  <c r="D6" i="71"/>
  <c r="W7" i="39"/>
  <c r="AC7" i="39"/>
  <c r="V47" i="39" s="1"/>
  <c r="I47" i="39" s="1"/>
  <c r="E47" i="39"/>
  <c r="U7" i="39"/>
  <c r="AB7" i="39"/>
  <c r="T47" i="39" s="1"/>
  <c r="G47" i="39" s="1"/>
  <c r="J7" i="40"/>
  <c r="F7" i="40"/>
  <c r="H7" i="40"/>
  <c r="C46" i="83" l="1"/>
  <c r="Q65" i="83"/>
  <c r="Q75" i="83" s="1"/>
  <c r="C43" i="83"/>
  <c r="B2" i="83"/>
  <c r="C83" i="83"/>
  <c r="C82" i="83" s="1"/>
  <c r="Q56" i="83"/>
  <c r="Q62" i="83" s="1"/>
  <c r="Q47" i="83"/>
  <c r="Q53" i="83" s="1"/>
  <c r="R48" i="39"/>
  <c r="C48" i="39" s="1"/>
  <c r="D5" i="71"/>
  <c r="M20" i="43"/>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7" i="70" l="1"/>
  <c r="B2" i="70" s="1"/>
  <c r="B3" i="83"/>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F65" i="39"/>
  <c r="B2" i="39" s="1"/>
  <c r="C42" i="40"/>
  <c r="C43" i="40"/>
  <c r="E47" i="40"/>
  <c r="F47" i="40" s="1"/>
  <c r="E46" i="40"/>
  <c r="F46" i="40" s="1"/>
  <c r="I47" i="40"/>
  <c r="J47" i="40" s="1"/>
  <c r="D20" i="9"/>
  <c r="D103" i="9" l="1"/>
  <c r="B3" i="39"/>
  <c r="C6" i="68"/>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2" i="68" l="1"/>
  <c r="C28" i="68"/>
  <c r="C27" i="68" s="1"/>
  <c r="C31" i="68" l="1"/>
  <c r="C52" i="68" s="1"/>
  <c r="C57" i="68" s="1"/>
  <c r="C56" i="68" s="1"/>
  <c r="B2" i="68" l="1"/>
  <c r="C19" i="9"/>
  <c r="C21" i="9" l="1"/>
  <c r="D22" i="9"/>
  <c r="C102" i="9"/>
  <c r="G19" i="9"/>
  <c r="I20" i="9" s="1"/>
  <c r="B3" i="68"/>
  <c r="D34" i="9"/>
  <c r="C20" i="9"/>
  <c r="D35" i="9"/>
  <c r="G21" i="9" l="1"/>
  <c r="C103" i="9"/>
  <c r="G20" i="9"/>
  <c r="C32" i="9" s="1"/>
  <c r="H118" i="9" s="1"/>
  <c r="C35" i="9" l="1"/>
  <c r="C34" i="9" s="1"/>
  <c r="D118" i="9" s="1"/>
  <c r="H101" i="9"/>
  <c r="D14" i="74"/>
  <c r="I118" i="9"/>
  <c r="C104" i="9"/>
  <c r="H119" i="9"/>
  <c r="H5" i="52" s="1"/>
  <c r="H4" i="52"/>
  <c r="F118" i="9" l="1"/>
  <c r="F4" i="52" s="1"/>
  <c r="B51" i="72" s="1"/>
  <c r="F14" i="74"/>
  <c r="B5" i="74"/>
  <c r="E14" i="74"/>
  <c r="M48" i="9"/>
  <c r="D5" i="53"/>
  <c r="H107" i="9"/>
  <c r="D45" i="9"/>
  <c r="H102" i="9"/>
  <c r="D7" i="53" s="1"/>
  <c r="B21" i="72" s="1"/>
  <c r="C105" i="9"/>
  <c r="I4" i="52"/>
  <c r="D4" i="52"/>
  <c r="B47" i="72" s="1"/>
  <c r="D119" i="9"/>
  <c r="D5" i="52" s="1"/>
  <c r="B49" i="72" s="1"/>
  <c r="G118" i="9" l="1"/>
  <c r="G4" i="52" s="1"/>
  <c r="B52" i="72" s="1"/>
  <c r="F119" i="9"/>
  <c r="F5" i="52" s="1"/>
  <c r="B53" i="72" s="1"/>
  <c r="D55" i="9"/>
  <c r="M53" i="9" s="1"/>
  <c r="C78" i="9"/>
  <c r="C73" i="9" s="1"/>
  <c r="C72" i="9"/>
  <c r="D52" i="9"/>
  <c r="C93" i="9"/>
  <c r="C86" i="9" s="1"/>
  <c r="C85" i="9"/>
  <c r="C64" i="9"/>
  <c r="C63" i="9" s="1"/>
  <c r="C67" i="9" s="1"/>
  <c r="D53" i="9"/>
  <c r="D5" i="74"/>
  <c r="C5" i="74"/>
  <c r="D122" i="9"/>
  <c r="H108" i="9"/>
  <c r="D15" i="53" s="1"/>
  <c r="B31" i="72" s="1"/>
  <c r="M49" i="9"/>
  <c r="D13" i="53"/>
  <c r="D6" i="53"/>
  <c r="B22" i="72" s="1"/>
  <c r="B20" i="72"/>
  <c r="E118" i="9" l="1"/>
  <c r="E4" i="52" s="1"/>
  <c r="B48" i="72" s="1"/>
  <c r="C79" i="9"/>
  <c r="C80" i="9" s="1"/>
  <c r="E80" i="9" s="1"/>
  <c r="E81" i="9" s="1"/>
  <c r="C68" i="9"/>
  <c r="D54" i="9" s="1"/>
  <c r="D59" i="9"/>
  <c r="M55" i="9" s="1"/>
  <c r="D8" i="52"/>
  <c r="G14" i="74"/>
  <c r="B6" i="74" s="1"/>
  <c r="D123" i="9"/>
  <c r="D9" i="52" s="1"/>
  <c r="B30" i="72"/>
  <c r="D14" i="53"/>
  <c r="B32" i="72" s="1"/>
  <c r="C95" i="9"/>
  <c r="L63" i="9"/>
  <c r="M63" i="9" s="1"/>
  <c r="L67" i="9"/>
  <c r="M67" i="9" s="1"/>
  <c r="L68" i="9"/>
  <c r="M68" i="9" s="1"/>
  <c r="L66" i="9"/>
  <c r="M66" i="9" s="1"/>
  <c r="L64" i="9"/>
  <c r="M64" i="9" s="1"/>
  <c r="L65" i="9"/>
  <c r="M65" i="9" s="1"/>
  <c r="M69" i="9" l="1"/>
  <c r="N69" i="9" s="1"/>
  <c r="C81" i="9"/>
  <c r="C96" i="9"/>
  <c r="E96" i="9" s="1"/>
  <c r="E97" i="9" s="1"/>
  <c r="D6" i="74"/>
  <c r="C6" i="74"/>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xs-sy</author>
    <author>User</author>
  </authors>
  <commentList>
    <comment ref="F7" authorId="0">
      <text>
        <r>
          <rPr>
            <sz val="9"/>
            <rFont val="宋体"/>
            <family val="3"/>
            <charset val="134"/>
          </rPr>
          <t>xs-sy:
资源面积588</t>
        </r>
      </text>
    </comment>
    <comment ref="F8" authorId="0">
      <text>
        <r>
          <rPr>
            <sz val="9"/>
            <rFont val="宋体"/>
            <family val="3"/>
            <charset val="134"/>
          </rPr>
          <t>xs-sy:
资源面积588</t>
        </r>
      </text>
    </comment>
    <comment ref="H8" authorId="0">
      <text>
        <r>
          <rPr>
            <sz val="9"/>
            <rFont val="宋体"/>
            <family val="3"/>
            <charset val="134"/>
          </rPr>
          <t>xs-sy:
资源面积835</t>
        </r>
      </text>
    </comment>
    <comment ref="H9" authorId="0">
      <text>
        <r>
          <rPr>
            <sz val="9"/>
            <rFont val="宋体"/>
            <family val="3"/>
            <charset val="134"/>
          </rPr>
          <t>xs-sy:
资源面积925</t>
        </r>
      </text>
    </comment>
    <comment ref="F11" authorId="0">
      <text>
        <r>
          <rPr>
            <sz val="9"/>
            <rFont val="宋体"/>
            <family val="3"/>
            <charset val="134"/>
          </rPr>
          <t>xs-sy:
资源面积554</t>
        </r>
      </text>
    </comment>
    <comment ref="E12" authorId="1">
      <text>
        <r>
          <rPr>
            <sz val="9"/>
            <rFont val="宋体"/>
            <family val="3"/>
            <charset val="134"/>
          </rPr>
          <t>User:
签约面积1019.82</t>
        </r>
      </text>
    </comment>
    <comment ref="F12" authorId="1">
      <text>
        <r>
          <rPr>
            <sz val="9"/>
            <rFont val="宋体"/>
            <family val="3"/>
            <charset val="134"/>
          </rPr>
          <t>User:
实测面积584</t>
        </r>
      </text>
    </comment>
    <comment ref="E13" authorId="0">
      <text>
        <r>
          <rPr>
            <sz val="9"/>
            <rFont val="宋体"/>
            <family val="3"/>
            <charset val="134"/>
          </rPr>
          <t>xs-sy:
资源面积911.51</t>
        </r>
      </text>
    </comment>
    <comment ref="H13" authorId="1">
      <text>
        <r>
          <rPr>
            <sz val="9"/>
            <rFont val="宋体"/>
            <family val="3"/>
            <charset val="134"/>
          </rPr>
          <t>User:
实测面积596</t>
        </r>
      </text>
    </comment>
    <comment ref="H14" authorId="1">
      <text>
        <r>
          <rPr>
            <sz val="9"/>
            <rFont val="宋体"/>
            <family val="3"/>
            <charset val="134"/>
          </rPr>
          <t>User:
实测面积596</t>
        </r>
      </text>
    </comment>
    <comment ref="E16" authorId="1">
      <text>
        <r>
          <rPr>
            <sz val="9"/>
            <rFont val="宋体"/>
            <family val="3"/>
            <charset val="134"/>
          </rPr>
          <t>User:
签约面积710.67</t>
        </r>
      </text>
    </comment>
    <comment ref="E17" authorId="1">
      <text>
        <r>
          <rPr>
            <sz val="9"/>
            <rFont val="宋体"/>
            <family val="3"/>
            <charset val="134"/>
          </rPr>
          <t>User:
中式办公层实测面积13451.14</t>
        </r>
      </text>
    </comment>
    <comment ref="J17" authorId="0">
      <text>
        <r>
          <rPr>
            <sz val="9"/>
            <rFont val="宋体"/>
            <family val="3"/>
            <charset val="134"/>
          </rPr>
          <t>xs-sy:
包含B2易洗车186平</t>
        </r>
      </text>
    </comment>
  </commentList>
</comments>
</file>

<file path=xl/comments5.xml><?xml version="1.0" encoding="utf-8"?>
<comments xmlns="http://schemas.openxmlformats.org/spreadsheetml/2006/main">
  <authors>
    <author>Administrator</author>
  </authors>
  <commentList>
    <comment ref="J11" authorId="0">
      <text>
        <r>
          <rPr>
            <b/>
            <sz val="9"/>
            <rFont val="Tahoma"/>
            <family val="2"/>
          </rPr>
          <t>Administrator:</t>
        </r>
        <r>
          <rPr>
            <sz val="9"/>
            <rFont val="Tahoma"/>
            <family val="2"/>
          </rPr>
          <t xml:space="preserve">
45</t>
        </r>
        <r>
          <rPr>
            <sz val="9"/>
            <rFont val="宋体"/>
            <family val="3"/>
            <charset val="134"/>
          </rPr>
          <t>个月零</t>
        </r>
        <r>
          <rPr>
            <sz val="9"/>
            <rFont val="Tahoma"/>
            <family val="2"/>
          </rPr>
          <t>5</t>
        </r>
        <r>
          <rPr>
            <sz val="9"/>
            <rFont val="宋体"/>
            <family val="3"/>
            <charset val="134"/>
          </rPr>
          <t>天</t>
        </r>
      </text>
    </comment>
    <comment ref="K11" authorId="0">
      <text>
        <r>
          <rPr>
            <b/>
            <sz val="9"/>
            <rFont val="Tahoma"/>
            <family val="2"/>
          </rPr>
          <t>Administrator:</t>
        </r>
        <r>
          <rPr>
            <sz val="9"/>
            <rFont val="Tahoma"/>
            <family val="2"/>
          </rPr>
          <t xml:space="preserve">
2017.02.10-2018.11.14
161.21</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2018.11.15-2020.11.14
178.40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19" authorId="0">
      <text>
        <r>
          <rPr>
            <b/>
            <sz val="9"/>
            <rFont val="Tahoma"/>
            <family val="2"/>
          </rPr>
          <t>Administrator:</t>
        </r>
        <r>
          <rPr>
            <sz val="9"/>
            <rFont val="Tahoma"/>
            <family val="2"/>
          </rPr>
          <t xml:space="preserve">
2017.05.01-2020.04.30
162.92</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2020.05.01-2022.04.30
194.86</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J28" authorId="0">
      <text>
        <r>
          <rPr>
            <b/>
            <sz val="9"/>
            <rFont val="Tahoma"/>
            <family val="2"/>
          </rPr>
          <t>Administrator:</t>
        </r>
        <r>
          <rPr>
            <sz val="9"/>
            <rFont val="Tahoma"/>
            <family val="2"/>
          </rPr>
          <t xml:space="preserve">
22</t>
        </r>
        <r>
          <rPr>
            <sz val="9"/>
            <rFont val="宋体"/>
            <family val="3"/>
            <charset val="134"/>
          </rPr>
          <t>个月</t>
        </r>
        <r>
          <rPr>
            <sz val="9"/>
            <rFont val="Tahoma"/>
            <family val="2"/>
          </rPr>
          <t>05</t>
        </r>
        <r>
          <rPr>
            <sz val="9"/>
            <rFont val="宋体"/>
            <family val="3"/>
            <charset val="134"/>
          </rPr>
          <t>天</t>
        </r>
      </text>
    </comment>
    <comment ref="K35" authorId="0">
      <text>
        <r>
          <rPr>
            <b/>
            <sz val="9"/>
            <rFont val="Tahoma"/>
            <family val="2"/>
          </rPr>
          <t>Administrator:</t>
        </r>
        <r>
          <rPr>
            <sz val="9"/>
            <rFont val="Tahoma"/>
            <family val="2"/>
          </rPr>
          <t xml:space="preserve">
2018.06.01-2021.05.31
137.29</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2021.06.01-2023.05.31
162.38</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45" authorId="0">
      <text>
        <r>
          <rPr>
            <b/>
            <sz val="9"/>
            <rFont val="Tahoma"/>
            <family val="2"/>
          </rPr>
          <t>Administrator:</t>
        </r>
        <r>
          <rPr>
            <sz val="9"/>
            <rFont val="Tahoma"/>
            <family val="2"/>
          </rPr>
          <t xml:space="preserve">
2018.04.01-2021.03.31
304.17</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2021.04.01-2023.03.31
349.80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57" authorId="0">
      <text>
        <r>
          <rPr>
            <b/>
            <sz val="9"/>
            <rFont val="Tahoma"/>
            <family val="2"/>
          </rPr>
          <t>Administrator:</t>
        </r>
        <r>
          <rPr>
            <sz val="9"/>
            <rFont val="Tahoma"/>
            <family val="2"/>
          </rPr>
          <t xml:space="preserve">
2017.12.20-2020.12.19   130.13</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2020.12.20-2022.12.19
153.40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99" authorId="0">
      <text>
        <r>
          <rPr>
            <b/>
            <sz val="9"/>
            <rFont val="Tahoma"/>
            <family val="2"/>
          </rPr>
          <t>Administrator:</t>
        </r>
        <r>
          <rPr>
            <sz val="9"/>
            <rFont val="Tahoma"/>
            <family val="2"/>
          </rPr>
          <t xml:space="preserve">
2017.03.25-2020.03.24
158.17</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2020.03.25-2022.03.24
181.90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<sst xmlns="http://schemas.openxmlformats.org/spreadsheetml/2006/main" count="10408" uniqueCount="4238">
  <si>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</si>
  <si>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</si>
  <si>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</si>
  <si>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</si>
  <si>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</si>
  <si>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</si>
  <si>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</si>
  <si>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</si>
  <si>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</si>
  <si>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</si>
  <si>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</si>
  <si>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</si>
  <si>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</si>
  <si>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</si>
  <si>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</si>
  <si>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</si>
  <si>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</si>
  <si>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</si>
  <si>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</si>
  <si>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</si>
  <si>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</si>
  <si>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</si>
  <si>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</si>
  <si>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</si>
  <si>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</si>
  <si>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</si>
  <si>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</si>
  <si>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</si>
  <si>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</si>
  <si>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</si>
  <si>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</si>
  <si>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</si>
  <si>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</si>
  <si>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</si>
  <si>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</si>
  <si>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</si>
  <si>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</si>
  <si>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</si>
  <si>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</si>
  <si>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</si>
  <si>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</si>
  <si>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</si>
  <si>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</si>
  <si>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</si>
  <si>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</si>
  <si>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</si>
  <si>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</si>
  <si>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</si>
  <si>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</si>
  <si>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</si>
  <si>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</si>
  <si>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</si>
  <si>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</si>
  <si>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</si>
  <si>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</si>
  <si>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</si>
  <si>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</si>
  <si>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</si>
  <si>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</si>
  <si>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</si>
  <si>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</si>
  <si>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</si>
  <si>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</si>
  <si>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</si>
  <si>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</si>
  <si>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</si>
  <si>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</si>
  <si>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</si>
  <si>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</si>
  <si>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</si>
  <si>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</si>
  <si>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</si>
  <si>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</si>
  <si>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</si>
  <si>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</si>
  <si>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</si>
  <si>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</si>
  <si>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</si>
  <si>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</si>
  <si>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</si>
  <si>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</si>
  <si>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</si>
  <si>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</si>
  <si>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</si>
  <si>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</si>
  <si>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</si>
  <si>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</si>
  <si>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</si>
  <si>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</si>
  <si>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</si>
  <si>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</si>
  <si>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</si>
  <si>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</si>
  <si>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</si>
  <si>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</si>
  <si>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</si>
  <si>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</si>
  <si>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</si>
  <si>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</si>
  <si>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</si>
  <si>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</si>
  <si>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</si>
  <si>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</si>
  <si>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</si>
  <si>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</si>
  <si>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</si>
  <si>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</si>
  <si>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</si>
  <si>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</si>
  <si>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</si>
  <si>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</si>
  <si>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</si>
  <si>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</si>
  <si>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</si>
  <si>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</si>
  <si>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</si>
  <si>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</si>
  <si>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</si>
  <si>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</si>
  <si>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</si>
  <si>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</si>
  <si>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</si>
  <si>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</si>
  <si>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</si>
  <si>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</si>
  <si>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</si>
  <si>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</si>
  <si>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</si>
  <si>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</si>
  <si>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</si>
  <si>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</si>
  <si>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</si>
  <si>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</si>
  <si>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</si>
  <si>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</si>
  <si>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</si>
  <si>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</si>
  <si>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</si>
  <si>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</si>
  <si>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</si>
  <si>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</si>
  <si>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</si>
  <si>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</si>
  <si>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</si>
  <si>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</si>
  <si>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</si>
  <si>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</si>
  <si>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</si>
  <si>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</si>
  <si>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</si>
  <si>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</si>
  <si>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</si>
  <si>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</si>
  <si>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</si>
  <si>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</si>
  <si>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</si>
  <si>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</si>
  <si>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</si>
  <si>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</si>
  <si>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</si>
  <si>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</si>
  <si>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</si>
  <si>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</si>
  <si>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</si>
  <si>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</si>
  <si>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</si>
  <si>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</si>
  <si>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</si>
  <si>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</si>
  <si>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</si>
  <si>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</si>
  <si>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</si>
  <si>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</si>
  <si>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</si>
  <si>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</si>
  <si>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</si>
  <si>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</si>
  <si>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</si>
  <si>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</si>
  <si>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</si>
  <si>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</si>
  <si>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</si>
  <si>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</si>
  <si>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</si>
  <si>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</si>
  <si>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</si>
  <si>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</si>
  <si>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</si>
  <si>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</si>
  <si>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</si>
  <si>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</si>
  <si>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</si>
  <si>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</si>
  <si>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</si>
  <si>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</si>
  <si>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</si>
  <si>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</si>
  <si>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</si>
  <si>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</si>
  <si>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</si>
  <si>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</si>
  <si>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</si>
  <si>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</si>
  <si>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</si>
  <si>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</si>
  <si>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</si>
  <si>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</si>
  <si>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</si>
  <si>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</si>
  <si>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</si>
  <si>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</si>
  <si>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</si>
  <si>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</si>
  <si>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</si>
  <si>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</si>
  <si>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</si>
  <si>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</si>
  <si>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</si>
  <si>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</si>
  <si>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</si>
  <si>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</si>
  <si>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</si>
  <si>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</si>
  <si>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</si>
  <si>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</si>
  <si>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</si>
  <si>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</si>
  <si>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</si>
  <si>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</si>
  <si>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</si>
  <si>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</si>
  <si>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</si>
  <si>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</si>
  <si>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</si>
  <si>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</si>
  <si>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</si>
  <si>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</si>
  <si>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</si>
  <si>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</si>
  <si>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</si>
  <si>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</si>
  <si>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</si>
  <si>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</si>
  <si>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</si>
  <si>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</si>
  <si>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</si>
  <si>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</si>
  <si>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</si>
  <si>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</si>
  <si>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</si>
  <si>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</si>
  <si>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</si>
  <si>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</si>
  <si>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</si>
  <si>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</si>
  <si>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</si>
  <si>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</si>
  <si>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</si>
  <si>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</si>
  <si>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</si>
  <si>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</si>
  <si>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</si>
  <si>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</si>
  <si>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</si>
  <si>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</si>
  <si>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</si>
  <si>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</si>
  <si>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</si>
  <si>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</si>
  <si>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</si>
  <si>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</si>
  <si>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</si>
  <si>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</si>
  <si>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</si>
  <si>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</si>
  <si>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</si>
  <si>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</si>
  <si>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</si>
  <si>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</si>
  <si>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</si>
  <si>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</si>
  <si>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</si>
  <si>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</si>
  <si>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</si>
  <si>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</si>
  <si>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</si>
  <si>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</si>
  <si>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</si>
  <si>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</si>
  <si>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</si>
  <si>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</si>
  <si>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</si>
  <si>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</si>
  <si>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</si>
  <si>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</si>
  <si>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</si>
  <si>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</si>
  <si>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</si>
  <si>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</si>
  <si>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</si>
  <si>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</si>
  <si>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</si>
  <si>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</si>
  <si>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</si>
  <si>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</si>
  <si>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</si>
  <si>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</si>
  <si>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</si>
  <si>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</si>
  <si>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</si>
  <si>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</si>
  <si>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</si>
  <si>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</si>
  <si>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</si>
  <si>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</si>
  <si>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</si>
  <si>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</si>
  <si>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</si>
  <si>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</si>
  <si>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</si>
  <si>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</si>
  <si>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</si>
  <si>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</si>
  <si>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</si>
  <si>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</si>
  <si>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</si>
  <si>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</si>
  <si>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</si>
  <si>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</si>
  <si>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</si>
  <si>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</si>
  <si>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</si>
  <si>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</si>
  <si>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</si>
  <si>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</si>
  <si>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</si>
  <si>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</si>
  <si>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</si>
  <si>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</si>
  <si>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</si>
  <si>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</si>
  <si>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</si>
  <si>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</si>
  <si>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</si>
  <si>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</si>
  <si>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</si>
  <si>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</si>
  <si>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</si>
  <si>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</si>
  <si>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</si>
  <si>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</si>
  <si>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</si>
  <si>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</si>
  <si>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</si>
  <si>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</si>
  <si>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</si>
  <si>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</si>
  <si>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</si>
  <si>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</si>
  <si>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</si>
  <si>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</si>
  <si>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</si>
  <si>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</si>
  <si>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</si>
  <si>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</si>
  <si>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</si>
  <si>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</si>
  <si>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</si>
  <si>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</si>
  <si>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</si>
  <si>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</si>
  <si>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</si>
  <si>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</si>
  <si>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</si>
  <si>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</si>
  <si>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</si>
  <si>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</si>
  <si>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</si>
  <si>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</si>
  <si>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</si>
  <si>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</si>
  <si>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</si>
  <si>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</si>
  <si>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</si>
  <si>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</si>
  <si>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</si>
  <si>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</si>
  <si>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</si>
  <si>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</si>
  <si>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</si>
  <si>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</si>
  <si>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</si>
  <si>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</si>
  <si>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</si>
  <si>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</si>
  <si>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</si>
  <si>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</si>
  <si>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</si>
  <si>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</si>
  <si>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</si>
  <si>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</si>
  <si>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</si>
  <si>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</si>
  <si>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</si>
  <si>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</si>
  <si>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</si>
  <si>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</si>
  <si>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</si>
  <si>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</si>
  <si>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</si>
  <si>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</si>
  <si>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</si>
  <si>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</si>
  <si>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</si>
  <si>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</si>
  <si>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</si>
  <si>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</si>
  <si>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</si>
  <si>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</si>
  <si>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</si>
  <si>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</si>
  <si>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</si>
  <si>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</si>
  <si>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</si>
  <si>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</si>
  <si>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</si>
  <si>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</si>
  <si>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</si>
  <si>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</si>
  <si>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</si>
  <si>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</si>
  <si>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</si>
  <si>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</si>
  <si>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</si>
  <si>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</si>
  <si>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</si>
  <si>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</si>
  <si>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</si>
  <si>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</si>
  <si>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</si>
  <si>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</si>
  <si>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</si>
  <si>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</si>
  <si>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</si>
  <si>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</si>
  <si>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</si>
  <si>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</si>
  <si>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</si>
  <si>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</si>
  <si>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</si>
  <si>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</si>
  <si>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</si>
  <si>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</si>
  <si>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</si>
  <si>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</si>
  <si>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</si>
  <si>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</si>
  <si>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</si>
  <si>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</si>
  <si>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</si>
  <si>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</si>
  <si>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</si>
  <si>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</si>
  <si>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</si>
  <si>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</si>
  <si>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</si>
  <si>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</si>
  <si>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</si>
  <si>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</si>
  <si>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</si>
  <si>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</si>
  <si>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</si>
  <si>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</si>
  <si>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</si>
  <si>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</si>
  <si>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</si>
  <si>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</si>
  <si>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</si>
  <si>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</si>
  <si>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</si>
  <si>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</si>
  <si>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</si>
  <si>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</si>
  <si>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</si>
  <si>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</si>
  <si>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</si>
  <si>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</si>
  <si>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</si>
  <si>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</si>
  <si>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</si>
  <si>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</si>
  <si>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</si>
  <si>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</si>
  <si>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</si>
  <si>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</si>
  <si>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</si>
  <si>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</si>
  <si>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</si>
  <si>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</si>
  <si>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</si>
  <si>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</si>
  <si>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</si>
  <si>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</si>
  <si>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</si>
  <si>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</si>
  <si>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</si>
  <si>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</si>
  <si>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</si>
  <si>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</si>
  <si>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</si>
  <si>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</si>
  <si>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</si>
  <si>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</si>
  <si>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</si>
  <si>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</si>
  <si>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</si>
  <si>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</si>
  <si>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</si>
  <si>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</si>
  <si>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</si>
  <si>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</si>
  <si>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</si>
  <si>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</si>
  <si>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</si>
  <si>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</si>
  <si>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</si>
  <si>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</si>
  <si>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</si>
  <si>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</si>
  <si>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</si>
  <si>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</si>
  <si>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</si>
  <si>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</si>
  <si>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</si>
  <si>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</si>
  <si>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</si>
  <si>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</si>
  <si>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</si>
  <si>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</si>
  <si>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</si>
  <si>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</si>
  <si>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</si>
  <si>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</si>
  <si>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</si>
  <si>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</si>
  <si>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</si>
  <si>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</si>
  <si>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</si>
  <si>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</si>
  <si>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</si>
  <si>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</si>
  <si>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</si>
  <si>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</si>
  <si>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</si>
  <si>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</si>
  <si>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</si>
  <si>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</si>
  <si>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</si>
  <si>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</si>
  <si>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</si>
  <si>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</si>
  <si>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</si>
  <si>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</si>
  <si>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</si>
  <si>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</si>
  <si>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</si>
  <si>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</si>
  <si>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</si>
  <si>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</si>
  <si>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</si>
  <si>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</si>
  <si>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</si>
  <si>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</si>
  <si>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</si>
  <si>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</si>
  <si>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</si>
  <si>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</si>
  <si>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</si>
  <si>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</si>
  <si>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</si>
  <si>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</si>
  <si>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</si>
  <si>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</si>
  <si>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</si>
  <si>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</si>
  <si>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</si>
  <si>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</si>
  <si>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</si>
  <si>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</si>
  <si>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</si>
  <si>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</si>
  <si>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</si>
  <si>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</si>
  <si>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</si>
  <si>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</si>
  <si>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</si>
  <si>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</si>
  <si>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</si>
  <si>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</si>
  <si>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</si>
  <si>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</si>
  <si>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</si>
  <si>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</si>
  <si>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</si>
  <si>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</si>
  <si>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</si>
  <si>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</si>
  <si>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</si>
  <si>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</si>
  <si>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</si>
  <si>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</si>
  <si>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</si>
  <si>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</si>
  <si>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</si>
  <si>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</si>
  <si>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</si>
  <si>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</si>
  <si>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</si>
  <si>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</si>
  <si>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</si>
  <si>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</si>
  <si>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</si>
  <si>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</si>
  <si>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</si>
  <si>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</si>
  <si>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</si>
  <si>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</si>
  <si>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</si>
  <si>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</si>
  <si>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</si>
  <si>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</si>
  <si>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</si>
  <si>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</si>
  <si>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</si>
  <si>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</si>
  <si>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</si>
  <si>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</si>
  <si>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</si>
  <si>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</si>
  <si>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</si>
  <si>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</si>
  <si>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</si>
  <si>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</si>
  <si>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</si>
  <si>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</si>
  <si>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</si>
  <si>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</si>
  <si>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</si>
  <si>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</si>
  <si>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</si>
  <si>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</si>
  <si>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</si>
  <si>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</si>
  <si>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</si>
  <si>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</si>
  <si>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</si>
  <si>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</si>
  <si>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</si>
  <si>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</si>
  <si>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</si>
  <si>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</si>
  <si>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</si>
  <si>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</si>
  <si>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</si>
  <si>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</si>
  <si>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</si>
  <si>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</si>
  <si>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</si>
  <si>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</si>
  <si>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</si>
  <si>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</si>
  <si>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</si>
  <si>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</si>
  <si>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</si>
  <si>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</si>
  <si>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</si>
  <si>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</si>
  <si>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</si>
  <si>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</si>
  <si>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</si>
  <si>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</si>
  <si>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</si>
  <si>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</si>
  <si>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</si>
  <si>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</si>
  <si>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</si>
  <si>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</si>
  <si>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</si>
  <si>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</si>
  <si>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</si>
  <si>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</si>
  <si>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</si>
  <si>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</si>
  <si>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</si>
  <si>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</si>
  <si>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</si>
  <si>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</si>
  <si>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</si>
  <si>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</si>
  <si>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</si>
  <si>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</si>
  <si>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</si>
  <si>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</si>
  <si>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</si>
  <si>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</si>
  <si>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</si>
  <si>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</si>
  <si>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</si>
  <si>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</si>
  <si>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</si>
  <si>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</si>
  <si>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</si>
  <si>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</si>
  <si>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</si>
  <si>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</si>
  <si>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</si>
  <si>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</si>
  <si>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</si>
  <si>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</si>
  <si>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</si>
  <si>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</si>
  <si>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</si>
  <si>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</si>
  <si>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</si>
  <si>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</si>
  <si>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</si>
  <si>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</si>
  <si>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</si>
  <si>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</si>
  <si>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</si>
  <si>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</si>
  <si>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</si>
  <si>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</si>
  <si>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</si>
  <si>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</si>
  <si>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</si>
  <si>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</si>
  <si>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</si>
  <si>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</si>
  <si>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</si>
  <si>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</si>
  <si>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</si>
  <si>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</si>
  <si>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</si>
  <si>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</si>
  <si>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</si>
  <si>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</si>
  <si>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</si>
  <si>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</si>
  <si>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</si>
  <si>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</si>
  <si>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</si>
  <si>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</si>
  <si>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</si>
  <si>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</si>
  <si>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</si>
  <si>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</si>
  <si>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</si>
  <si>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</si>
  <si>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</si>
  <si>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</si>
  <si>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</si>
  <si>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</si>
  <si>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</si>
  <si>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</si>
  <si>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</si>
  <si>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</si>
  <si>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</si>
  <si>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</si>
  <si>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</si>
  <si>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</si>
  <si>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</si>
  <si>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</si>
  <si>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</si>
  <si>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</si>
  <si>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</si>
  <si>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</si>
  <si>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</si>
  <si>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</si>
  <si>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</si>
  <si>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</si>
  <si>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</si>
  <si>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</si>
  <si>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</si>
  <si>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</si>
  <si>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</si>
  <si>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</si>
  <si>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</si>
  <si>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</si>
  <si>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</si>
  <si>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</si>
  <si>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</si>
  <si>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</si>
  <si>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</si>
  <si>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</si>
  <si>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</si>
  <si>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</si>
  <si>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</si>
  <si>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</si>
  <si>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</si>
  <si>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</si>
  <si>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</si>
  <si>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</si>
  <si>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</si>
  <si>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</si>
  <si>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</si>
  <si>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</si>
  <si>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</si>
  <si>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</si>
  <si>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</si>
  <si>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</si>
  <si>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</si>
  <si>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</si>
  <si>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</si>
  <si>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</si>
  <si>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</si>
  <si>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</si>
  <si>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</si>
  <si>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</si>
  <si>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</si>
  <si>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</si>
  <si>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</si>
  <si>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</si>
  <si>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</si>
  <si>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</si>
  <si>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</si>
  <si>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</si>
  <si>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</si>
  <si>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</si>
  <si>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</si>
  <si>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</si>
  <si>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</si>
  <si>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</si>
  <si>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</si>
  <si>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</si>
  <si>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</si>
  <si>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</si>
  <si>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</si>
  <si>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</si>
  <si>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</si>
  <si>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</si>
  <si>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</si>
  <si>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</si>
  <si>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</si>
  <si>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</si>
  <si>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</si>
  <si>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</si>
  <si>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</si>
  <si>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</si>
  <si>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</si>
  <si>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</si>
  <si>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</si>
  <si>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</si>
  <si>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</si>
  <si>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</si>
  <si>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</si>
  <si>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</si>
  <si>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</si>
  <si>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</si>
  <si>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</si>
  <si>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</si>
  <si>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</si>
  <si>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</si>
  <si>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</si>
  <si>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</si>
  <si>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</si>
  <si>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</si>
  <si>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</si>
  <si>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</si>
  <si>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</si>
  <si>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</si>
  <si>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</si>
  <si>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</si>
  <si>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</si>
  <si>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</si>
  <si>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</si>
  <si>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</si>
  <si>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</si>
  <si>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</si>
  <si>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</si>
  <si>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</si>
  <si>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</si>
  <si>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</si>
  <si>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</si>
  <si>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</si>
  <si>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</si>
  <si>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</si>
  <si>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</si>
  <si>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</si>
  <si>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</si>
  <si>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</si>
  <si>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</si>
  <si>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</si>
  <si>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</si>
  <si>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</si>
  <si>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</si>
  <si>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</si>
  <si>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</si>
  <si>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</si>
  <si>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</si>
  <si>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</si>
  <si>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</si>
  <si>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</si>
  <si>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</si>
  <si>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</si>
  <si>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</si>
  <si>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</si>
  <si>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</si>
  <si>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</si>
  <si>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</si>
  <si>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</si>
  <si>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</si>
  <si>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</si>
  <si>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</si>
  <si>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</si>
  <si>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</si>
  <si>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</si>
  <si>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</si>
  <si>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</si>
  <si>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</si>
  <si>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</si>
  <si>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</si>
  <si>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</si>
  <si>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</si>
  <si>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</si>
  <si>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</si>
  <si>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</si>
  <si>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</si>
  <si>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</si>
  <si>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</si>
  <si>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</si>
  <si>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</si>
  <si>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</si>
  <si>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</si>
  <si>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</si>
  <si>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</si>
  <si>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</si>
  <si>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</si>
  <si>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</si>
  <si>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</si>
  <si>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</si>
  <si>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</si>
  <si>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</si>
  <si>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</si>
  <si>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</si>
  <si>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</si>
  <si>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</si>
  <si>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</si>
  <si>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</si>
  <si>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</si>
  <si>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</si>
  <si>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</si>
  <si>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</si>
  <si>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</si>
  <si>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</si>
  <si>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</si>
  <si>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</si>
  <si>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</si>
  <si>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</si>
  <si>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</si>
  <si>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</si>
  <si>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</si>
  <si>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</si>
  <si>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</si>
  <si>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</si>
  <si>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</si>
  <si>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</si>
  <si>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</si>
  <si>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</si>
  <si>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</si>
  <si>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</si>
  <si>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</si>
  <si>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</si>
  <si>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</si>
  <si>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</si>
  <si>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</si>
  <si>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</si>
  <si>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</si>
  <si>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</si>
  <si>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</si>
  <si>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</si>
  <si>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</si>
  <si>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</si>
  <si>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</si>
  <si>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</si>
  <si>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</si>
  <si>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</si>
  <si>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</si>
  <si>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</si>
  <si>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</si>
  <si>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</si>
  <si>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</si>
  <si>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</si>
  <si>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</si>
  <si>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</si>
  <si>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</si>
  <si>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</si>
  <si>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</si>
  <si>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</si>
  <si>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</si>
  <si>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</si>
  <si>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</si>
  <si>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</si>
  <si>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</si>
  <si>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</si>
  <si>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</si>
  <si>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</si>
  <si>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</si>
  <si>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</si>
  <si>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</si>
  <si>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</si>
  <si>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</si>
  <si>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</si>
  <si>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</si>
  <si>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</si>
  <si>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</si>
  <si>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</si>
  <si>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</si>
  <si>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</si>
  <si>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</si>
  <si>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</si>
  <si>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</si>
  <si>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</si>
  <si>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</si>
  <si>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</si>
  <si>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</si>
  <si>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</si>
  <si>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</si>
  <si>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</si>
  <si>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</si>
  <si>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</si>
  <si>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</si>
  <si>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</si>
  <si>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</si>
  <si>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</si>
  <si>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</si>
  <si>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</si>
  <si>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</si>
  <si>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</si>
  <si>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</si>
  <si>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</si>
  <si>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</si>
  <si>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</si>
  <si>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</si>
  <si>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</si>
  <si>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</si>
  <si>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</si>
  <si>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</si>
  <si>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</si>
  <si>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</si>
  <si>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</si>
  <si>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</si>
  <si>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</si>
  <si>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</si>
  <si>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</si>
  <si>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</si>
  <si>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</si>
  <si>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</si>
  <si>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</si>
  <si>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</si>
  <si>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</si>
  <si>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</si>
  <si>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</si>
  <si>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</si>
  <si>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</si>
  <si>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</si>
  <si>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</si>
  <si>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</si>
  <si>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</si>
  <si>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</si>
  <si>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</si>
  <si>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</si>
  <si>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</si>
  <si>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</si>
  <si>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</si>
  <si>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</si>
  <si>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</si>
  <si>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</si>
  <si>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</si>
  <si>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</si>
  <si>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</si>
  <si>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</si>
  <si>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</si>
  <si>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</si>
  <si>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</si>
  <si>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</si>
  <si>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</si>
  <si>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</si>
  <si>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</si>
  <si>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</si>
  <si>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</si>
  <si>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</si>
  <si>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</si>
  <si>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</si>
  <si>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</si>
  <si>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</si>
  <si>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</si>
  <si>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</si>
  <si>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</si>
  <si>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</si>
  <si>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</si>
  <si>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</si>
  <si>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</si>
  <si>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</si>
  <si>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</si>
  <si>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</si>
  <si>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</si>
  <si>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</si>
  <si>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</si>
  <si>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</si>
  <si>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</si>
  <si>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</si>
  <si>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</si>
  <si>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</si>
  <si>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</si>
  <si>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</si>
  <si>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</si>
  <si>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</si>
  <si>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</si>
  <si>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</si>
  <si>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</si>
  <si>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</si>
  <si>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</si>
  <si>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</si>
  <si>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</si>
  <si>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</si>
  <si>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</si>
  <si>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</si>
  <si>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</si>
  <si>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</si>
  <si>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</si>
  <si>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</si>
  <si>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</si>
  <si>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</si>
  <si>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</si>
  <si>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</si>
  <si>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</si>
  <si>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</si>
  <si>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</si>
  <si>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</si>
  <si>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</si>
  <si>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</si>
  <si>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</si>
  <si>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</si>
  <si>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</si>
  <si>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</si>
  <si>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</si>
  <si>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</si>
  <si>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</si>
  <si>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</si>
  <si>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</si>
  <si>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</si>
  <si>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</si>
  <si>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</si>
  <si>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</si>
  <si>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</si>
  <si>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</si>
  <si>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</si>
  <si>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</si>
  <si>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</si>
  <si>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</si>
  <si>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</si>
  <si>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</si>
  <si>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</si>
  <si>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</si>
  <si>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</si>
  <si>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</si>
  <si>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</si>
  <si>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</si>
  <si>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</si>
  <si>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</si>
  <si>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</si>
  <si>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</si>
  <si>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</si>
  <si>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</si>
  <si>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</si>
  <si>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</si>
  <si>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</si>
  <si>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</si>
  <si>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</si>
  <si>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</si>
  <si>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</si>
  <si>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</si>
  <si>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</si>
  <si>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</si>
  <si>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</si>
  <si>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</si>
  <si>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</si>
  <si>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</si>
  <si>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</si>
  <si>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</si>
  <si>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</si>
  <si>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</si>
  <si>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</si>
  <si>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</si>
  <si>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</si>
  <si>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</si>
  <si>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</si>
  <si>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</si>
  <si>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</si>
  <si>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</si>
  <si>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</si>
  <si>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</si>
  <si>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</si>
  <si>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</si>
  <si>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</si>
  <si>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</si>
  <si>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</si>
  <si>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</si>
  <si>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</si>
  <si>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</si>
  <si>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</si>
  <si>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</si>
  <si>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</si>
  <si>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</si>
  <si>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</si>
  <si>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</si>
  <si>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</si>
  <si>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</si>
  <si>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</si>
  <si>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</si>
  <si>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</si>
  <si>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</si>
  <si>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</si>
  <si>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</si>
  <si>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</si>
  <si>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</si>
  <si>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</si>
  <si>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</si>
  <si>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</si>
  <si>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</si>
  <si>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</si>
  <si>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</si>
  <si>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</si>
  <si>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</si>
  <si>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</si>
  <si>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</si>
  <si>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</si>
  <si>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</si>
  <si>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</si>
  <si>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</si>
  <si>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</si>
  <si>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</si>
  <si>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</si>
  <si>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</si>
  <si>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</si>
  <si>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</si>
  <si>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</si>
  <si>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</si>
  <si>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</si>
  <si>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</si>
  <si>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</si>
  <si>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</si>
  <si>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</si>
  <si>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</si>
  <si>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</si>
  <si>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</si>
  <si>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</si>
  <si>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</si>
  <si>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</si>
  <si>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</si>
  <si>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</si>
  <si>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</si>
  <si>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</si>
  <si>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</si>
  <si>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</si>
  <si>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</si>
  <si>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</si>
  <si>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</si>
  <si>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</si>
  <si>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</si>
  <si>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</si>
  <si>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</si>
  <si>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</si>
  <si>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</si>
  <si>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</si>
  <si>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</si>
  <si>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</si>
  <si>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</si>
  <si>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</si>
  <si>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</si>
  <si>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</si>
  <si>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</si>
  <si>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</si>
  <si>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</si>
  <si>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</si>
  <si>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</si>
  <si>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</si>
  <si>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</si>
  <si>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</si>
  <si>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</si>
  <si>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</si>
  <si>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</si>
  <si>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</si>
  <si>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</si>
  <si>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</si>
  <si>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</si>
  <si>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</si>
  <si>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</si>
  <si>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</si>
  <si>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</si>
  <si>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</si>
  <si>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</si>
  <si>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</si>
  <si>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</si>
  <si>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</si>
  <si>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</si>
  <si>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</si>
  <si>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</si>
  <si>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</si>
  <si>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</si>
  <si>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</si>
  <si>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</si>
  <si>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</si>
  <si>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</si>
  <si>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</si>
  <si>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</si>
  <si>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</si>
  <si>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</si>
  <si>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</si>
  <si>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</si>
  <si>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</si>
  <si>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</si>
  <si>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</si>
  <si>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</si>
  <si>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</si>
  <si>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</si>
  <si>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</si>
  <si>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</si>
  <si>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</si>
  <si>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</si>
  <si>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</si>
  <si>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</si>
  <si>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</si>
  <si>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</si>
  <si>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</si>
  <si>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</si>
  <si>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</si>
  <si>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</si>
  <si>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</si>
  <si>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</si>
  <si>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</si>
  <si>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</si>
  <si>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</si>
  <si>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</si>
  <si>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</si>
  <si>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</si>
  <si>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</si>
  <si>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</si>
  <si>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</si>
  <si>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</si>
  <si>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</si>
  <si>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</si>
  <si>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</si>
  <si>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</si>
  <si>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</si>
  <si>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</si>
  <si>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</si>
  <si>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</si>
  <si>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</si>
  <si>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</si>
  <si>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</si>
  <si>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</si>
  <si>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</si>
  <si>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</si>
  <si>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</si>
  <si>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</si>
  <si>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</si>
  <si>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</si>
  <si>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</si>
  <si>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</si>
  <si>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</si>
  <si>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</si>
  <si>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</si>
  <si>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</si>
  <si>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</si>
  <si>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</si>
  <si>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</si>
  <si>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</si>
  <si>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</si>
  <si>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</si>
  <si>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</si>
  <si>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</si>
  <si>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</si>
  <si>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</si>
  <si>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</si>
  <si>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</si>
  <si>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</si>
  <si>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</si>
  <si>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</si>
  <si>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</si>
  <si>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</si>
  <si>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</si>
  <si>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</si>
  <si>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</si>
  <si>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</si>
  <si>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</si>
  <si>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</si>
  <si>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</si>
  <si>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</si>
  <si>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</si>
  <si>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</si>
  <si>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</si>
  <si>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</si>
  <si>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</si>
  <si>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</si>
  <si>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</si>
  <si>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</si>
  <si>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</si>
  <si>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</si>
  <si>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</si>
  <si>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</si>
  <si>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</si>
  <si>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</si>
  <si>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</si>
  <si>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</si>
  <si>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</si>
  <si>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</si>
  <si>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</si>
  <si>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</si>
  <si>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</si>
  <si>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</si>
  <si>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</si>
  <si>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</si>
  <si>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</si>
  <si>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</si>
  <si>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</si>
  <si>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</si>
  <si>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</si>
  <si>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</si>
  <si>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</si>
  <si>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</si>
  <si>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</si>
  <si>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</si>
  <si>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</si>
  <si>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</si>
  <si>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</si>
  <si>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</si>
  <si>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</si>
  <si>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</si>
  <si>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</si>
  <si>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</si>
  <si>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</si>
  <si>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</si>
  <si>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</si>
  <si>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</si>
  <si>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</si>
  <si>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</si>
  <si>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</si>
  <si>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</si>
  <si>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</si>
  <si>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</si>
  <si>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</si>
  <si>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</si>
  <si>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</si>
  <si>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</si>
  <si>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</si>
  <si>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</si>
  <si>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</si>
  <si>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</si>
  <si>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</si>
  <si>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</si>
  <si>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</si>
  <si>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</si>
  <si>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</si>
  <si>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</si>
  <si>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</si>
  <si>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</si>
  <si>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</si>
  <si>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</si>
  <si>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</si>
  <si>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</si>
  <si>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</si>
  <si>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</si>
  <si>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</si>
  <si>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</si>
  <si>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</si>
  <si>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</si>
  <si>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</si>
  <si>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</si>
  <si>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</si>
  <si>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</si>
  <si>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</si>
  <si>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</si>
  <si>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</si>
  <si>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</si>
  <si>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</si>
  <si>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</si>
  <si>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</si>
  <si>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</si>
  <si>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</si>
  <si>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</si>
  <si>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</si>
  <si>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</si>
  <si>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</si>
  <si>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</si>
  <si>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</si>
  <si>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</si>
  <si>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</si>
  <si>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</si>
  <si>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</si>
  <si>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</si>
  <si>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</si>
  <si>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</si>
  <si>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</si>
  <si>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</si>
  <si>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</si>
  <si>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</si>
  <si>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</si>
  <si>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</si>
  <si>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</si>
  <si>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</si>
  <si>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</si>
  <si>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</si>
  <si>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</si>
  <si>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</si>
  <si>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</si>
  <si>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</si>
  <si>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</si>
  <si>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</si>
  <si>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</si>
  <si>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</si>
  <si>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</si>
  <si>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</si>
  <si>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</si>
  <si>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</si>
  <si>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</si>
  <si>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</si>
  <si>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</si>
  <si>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</si>
  <si>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</si>
  <si>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</si>
  <si>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</si>
  <si>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</si>
  <si>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</si>
  <si>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</si>
  <si>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</si>
  <si>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</si>
  <si>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</si>
  <si>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</si>
  <si>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</si>
  <si>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</si>
  <si>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</si>
  <si>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</si>
  <si>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</si>
  <si>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</si>
  <si>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</si>
  <si>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</si>
  <si>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</si>
  <si>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</si>
  <si>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</si>
  <si>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</si>
  <si>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</si>
  <si>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</si>
  <si>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</si>
  <si>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</si>
  <si>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</si>
  <si>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</si>
  <si>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</si>
  <si>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</si>
  <si>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</si>
  <si>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</si>
  <si>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</si>
  <si>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</si>
  <si>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</si>
  <si>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</si>
  <si>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</si>
  <si>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</si>
  <si>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</si>
  <si>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</si>
  <si>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</si>
  <si>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</si>
  <si>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</si>
  <si>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</si>
  <si>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</si>
  <si>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</si>
  <si>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</si>
  <si>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</si>
  <si>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</si>
  <si>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</si>
  <si>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</si>
  <si>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</si>
  <si>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</si>
  <si>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</si>
  <si>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</si>
  <si>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</si>
  <si>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</si>
  <si>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</si>
  <si>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</si>
  <si>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</si>
  <si>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</si>
  <si>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</si>
  <si>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</si>
  <si>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</si>
  <si>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</si>
  <si>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</si>
  <si>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</si>
  <si>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</si>
  <si>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</si>
  <si>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</si>
  <si>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</si>
  <si>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</si>
  <si>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</si>
  <si>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</si>
  <si>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</si>
  <si>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</si>
  <si>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</si>
  <si>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</si>
  <si>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</si>
  <si>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</si>
  <si>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</si>
  <si>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</si>
  <si>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</si>
  <si>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</si>
  <si>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</si>
  <si>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</si>
  <si>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</si>
  <si>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</si>
  <si>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</si>
  <si>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</si>
  <si>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</si>
  <si>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</si>
  <si>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</si>
  <si>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</si>
  <si>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</si>
  <si>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</si>
  <si>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</si>
  <si>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</si>
  <si>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</si>
  <si>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</si>
  <si>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</si>
  <si>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</si>
  <si>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</si>
  <si>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</si>
  <si>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</si>
  <si>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</si>
  <si>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</si>
  <si>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</si>
  <si>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</si>
  <si>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</si>
  <si>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</si>
  <si>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</si>
  <si>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</si>
  <si>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</si>
  <si>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</si>
  <si>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</si>
  <si>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</si>
  <si>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</si>
  <si>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</si>
  <si>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</si>
  <si>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</si>
  <si>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</si>
  <si>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</si>
  <si>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</si>
  <si>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</si>
  <si>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</si>
  <si>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</si>
  <si>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</si>
  <si>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</si>
  <si>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</si>
  <si>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</si>
  <si>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</si>
  <si>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</si>
  <si>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</si>
  <si>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</si>
  <si>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</si>
  <si>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</si>
  <si>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</si>
  <si>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</si>
  <si>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</si>
  <si>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</si>
  <si>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</si>
  <si>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</si>
  <si>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</si>
  <si>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</si>
  <si>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</si>
  <si>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</si>
  <si>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</si>
  <si>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</si>
  <si>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</si>
  <si>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</si>
  <si>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</si>
  <si>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</si>
  <si>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</si>
  <si>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</si>
  <si>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</si>
  <si>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</si>
  <si>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</si>
  <si>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</si>
  <si>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</si>
  <si>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</si>
  <si>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</si>
  <si>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</si>
  <si>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</si>
  <si>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</si>
  <si>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</si>
  <si>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</si>
  <si>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</si>
  <si>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</si>
  <si>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</si>
  <si>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</si>
  <si>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</si>
  <si>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</si>
  <si>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</si>
  <si>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</si>
  <si>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</si>
  <si>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</si>
  <si>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</si>
  <si>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</si>
  <si>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</si>
  <si>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</si>
  <si>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</si>
  <si>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</si>
  <si>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</si>
  <si>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</si>
  <si>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</si>
  <si>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</si>
  <si>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</si>
  <si>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</si>
  <si>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</si>
  <si>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</si>
  <si>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</si>
  <si>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</si>
  <si>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</si>
  <si>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</si>
  <si>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</si>
  <si>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</si>
  <si>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</si>
  <si>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</si>
  <si>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</si>
  <si>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</si>
  <si>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</si>
  <si>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</si>
  <si>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</si>
  <si>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</si>
  <si>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</si>
  <si>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</si>
  <si>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</si>
  <si>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</si>
  <si>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</si>
  <si>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</si>
  <si>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</si>
  <si>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</si>
  <si>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</si>
  <si>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</si>
  <si>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</si>
  <si>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</si>
  <si>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</si>
  <si>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</si>
  <si>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</si>
  <si>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</si>
  <si>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</si>
  <si>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</si>
  <si>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</si>
  <si>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</si>
  <si>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</si>
  <si>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</si>
  <si>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</si>
  <si>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</si>
  <si>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</si>
  <si>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</si>
  <si>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</si>
  <si>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</si>
  <si>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</si>
  <si>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</si>
  <si>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</si>
  <si>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</si>
  <si>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</si>
  <si>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</si>
  <si>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</si>
  <si>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</si>
  <si>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</si>
  <si>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</si>
  <si>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</si>
  <si>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</si>
  <si>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</si>
  <si>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</si>
  <si>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</si>
  <si>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</si>
  <si>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</si>
  <si>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</si>
  <si>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</si>
  <si>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</si>
  <si>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</si>
  <si>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</si>
  <si>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</si>
  <si>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</si>
  <si>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</si>
  <si>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</si>
  <si>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</si>
  <si>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</si>
  <si>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</si>
  <si>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</si>
  <si>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</si>
  <si>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</si>
  <si>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</si>
  <si>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</si>
  <si>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</si>
  <si>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</si>
  <si>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</si>
  <si>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</si>
  <si>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</si>
  <si>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</si>
  <si>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</si>
  <si>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</si>
  <si>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</si>
  <si>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</si>
  <si>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</si>
  <si>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</si>
  <si>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</si>
  <si>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</si>
  <si>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</si>
  <si>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</si>
  <si>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</si>
  <si>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</si>
  <si>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</si>
  <si>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</si>
  <si>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</si>
  <si>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</si>
  <si>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</si>
  <si>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</si>
  <si>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</si>
  <si>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</si>
  <si>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</si>
  <si>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</si>
  <si>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</si>
  <si>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</si>
  <si>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</si>
  <si>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</si>
  <si>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</si>
  <si>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</si>
  <si>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</si>
  <si>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</si>
  <si>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</si>
  <si>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</si>
  <si>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</si>
  <si>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</si>
  <si>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</si>
  <si>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</si>
  <si>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</si>
  <si>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</si>
  <si>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</si>
  <si>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</si>
  <si>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</si>
  <si>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</si>
  <si>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</si>
  <si>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</si>
  <si>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</si>
  <si>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</si>
  <si>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</si>
  <si>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</si>
  <si>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</si>
  <si>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</si>
  <si>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</si>
  <si>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</si>
  <si>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</si>
  <si>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</si>
  <si>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</si>
  <si>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</si>
  <si>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</si>
  <si>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</si>
  <si>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</si>
  <si>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</si>
  <si>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</si>
  <si>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</si>
  <si>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</si>
  <si>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</si>
  <si>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</si>
  <si>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</si>
  <si>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</si>
  <si>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</si>
  <si>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</si>
  <si>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</si>
  <si>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</si>
  <si>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</si>
  <si>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</si>
  <si>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</si>
  <si>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</si>
  <si>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</si>
  <si>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</si>
  <si>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</si>
  <si>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</si>
  <si>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</si>
  <si>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</si>
  <si>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</si>
  <si>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</si>
  <si>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</si>
  <si>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</si>
  <si>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</si>
  <si>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</si>
  <si>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</si>
  <si>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</si>
  <si>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</si>
  <si>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</si>
  <si>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</si>
  <si>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</si>
  <si>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</si>
  <si>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</si>
  <si>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</si>
  <si>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</si>
  <si>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</si>
  <si>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</si>
  <si>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</si>
  <si>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</si>
  <si>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</si>
  <si>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</si>
  <si>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</si>
  <si>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</si>
  <si>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</si>
  <si>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</si>
  <si>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</si>
  <si>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</si>
  <si>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</si>
  <si>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</si>
  <si>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</si>
  <si>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</si>
  <si>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</si>
  <si>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</si>
  <si>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</si>
  <si>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</si>
  <si>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</si>
  <si>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</si>
  <si>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</si>
  <si>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</si>
  <si>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</si>
  <si>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</si>
  <si>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</si>
  <si>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</si>
  <si>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</si>
  <si>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</si>
  <si>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</si>
  <si>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</si>
  <si>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</si>
  <si>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</si>
  <si>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</si>
  <si>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</si>
  <si>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</si>
  <si>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</si>
  <si>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</si>
  <si>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</si>
  <si>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</si>
  <si>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</si>
  <si>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</si>
  <si>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</si>
  <si>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</si>
  <si>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</si>
  <si>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</si>
  <si>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</si>
  <si>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</si>
  <si>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</si>
  <si>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</si>
  <si>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</si>
  <si>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</si>
  <si>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</si>
  <si>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</si>
  <si>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</si>
  <si>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</si>
  <si>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</si>
  <si>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</si>
  <si>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</si>
  <si>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</si>
  <si>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</si>
  <si>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</si>
  <si>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</si>
  <si>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</si>
  <si>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</si>
  <si>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</si>
  <si>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</si>
  <si>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</si>
  <si>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</si>
  <si>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</si>
  <si>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</si>
  <si>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</si>
  <si>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</si>
  <si>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</si>
  <si>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</si>
  <si>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</si>
  <si>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</si>
  <si>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</si>
  <si>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</si>
  <si>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</si>
  <si>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</si>
  <si>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</si>
  <si>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</si>
  <si>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</si>
  <si>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</si>
  <si>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</si>
  <si>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</si>
  <si>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</si>
  <si>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</si>
  <si>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</si>
  <si>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</si>
  <si>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</si>
  <si>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</si>
  <si>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</si>
  <si>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</si>
  <si>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</si>
  <si>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</si>
  <si>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</si>
  <si>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</si>
  <si>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</si>
  <si>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</si>
  <si>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</si>
  <si>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</si>
  <si>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</si>
  <si>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</si>
  <si>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</si>
  <si>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</si>
  <si>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</si>
  <si>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</si>
  <si>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</si>
  <si>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</si>
  <si>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</si>
  <si>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</si>
  <si>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</si>
  <si>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</si>
  <si>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</si>
  <si>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</si>
  <si>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</si>
  <si>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</si>
  <si>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</si>
  <si>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</si>
  <si>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</si>
  <si>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</si>
  <si>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</si>
  <si>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</si>
  <si>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</si>
  <si>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</si>
  <si>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</si>
  <si>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</si>
  <si>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</si>
  <si>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</si>
  <si>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</si>
  <si>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</si>
  <si>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</si>
  <si>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</si>
  <si>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</si>
  <si>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</si>
  <si>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</si>
  <si>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</si>
  <si>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</si>
  <si>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</si>
  <si>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</si>
  <si>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</si>
  <si>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</si>
  <si>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</si>
  <si>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</si>
  <si>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</si>
  <si>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</si>
  <si>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</si>
  <si>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</si>
  <si>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</si>
  <si>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</si>
  <si>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</si>
  <si>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</si>
  <si>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</si>
  <si>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</si>
  <si>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</si>
  <si>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</si>
  <si>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</si>
  <si>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</si>
  <si>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</si>
  <si>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</si>
  <si>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</si>
  <si>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</si>
  <si>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</si>
  <si>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</si>
  <si>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</si>
  <si>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</si>
  <si>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</si>
  <si>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</si>
  <si>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</si>
  <si>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</si>
  <si>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</si>
  <si>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</si>
  <si>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</si>
  <si>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</si>
  <si>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</si>
  <si>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</si>
  <si>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</si>
  <si>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</si>
  <si>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</si>
  <si>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</si>
  <si>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</si>
  <si>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</si>
  <si>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</si>
  <si>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</si>
  <si>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</si>
  <si>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</si>
  <si>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</si>
  <si>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</si>
  <si>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</si>
  <si>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</si>
  <si>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</si>
  <si>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</si>
  <si>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</si>
  <si>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</si>
  <si>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</si>
  <si>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</si>
  <si>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</si>
  <si>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</si>
  <si>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</si>
  <si>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</si>
  <si>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</si>
  <si>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</si>
  <si>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</si>
  <si>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</si>
  <si>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</si>
  <si>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</si>
  <si>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</si>
  <si>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</si>
  <si>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</si>
  <si>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</si>
  <si>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</si>
  <si>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</si>
  <si>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</si>
  <si>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</si>
  <si>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</si>
  <si>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</si>
  <si>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</si>
  <si>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</si>
  <si>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</si>
  <si>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</si>
  <si>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</si>
  <si>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</si>
  <si>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</si>
  <si>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</si>
  <si>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</si>
  <si>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</si>
  <si>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</si>
  <si>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</si>
  <si>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</si>
  <si>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</si>
  <si>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</si>
  <si>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</si>
  <si>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</si>
  <si>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</si>
  <si>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</si>
  <si>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</si>
  <si>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</si>
  <si>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</si>
  <si>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</si>
  <si>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</si>
  <si>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</si>
  <si>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</si>
  <si>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</si>
  <si>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</si>
  <si>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</si>
  <si>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</si>
  <si>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</si>
  <si>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</si>
  <si>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</si>
  <si>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</si>
  <si>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</si>
  <si>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</si>
  <si>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</si>
  <si>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</si>
  <si>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</si>
  <si>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</si>
  <si>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</si>
  <si>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</si>
  <si>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</si>
  <si>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</si>
  <si>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</si>
  <si>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</si>
  <si>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</si>
  <si>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</si>
  <si>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</si>
  <si>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</si>
  <si>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</si>
  <si>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</si>
  <si>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</si>
  <si>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</si>
  <si>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</si>
  <si>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</si>
  <si>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</si>
  <si>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</si>
  <si>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</si>
  <si>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</si>
  <si>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</si>
  <si>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</si>
  <si>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</si>
  <si>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</si>
  <si>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</si>
  <si>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</si>
  <si>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</si>
  <si>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</si>
  <si>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</si>
  <si>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</si>
  <si>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</si>
  <si>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</si>
  <si>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</si>
  <si>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</si>
  <si>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</si>
  <si>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</si>
  <si>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</si>
  <si>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</si>
  <si>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</si>
  <si>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</si>
  <si>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</si>
  <si>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</si>
  <si>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</si>
  <si>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</si>
  <si>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</si>
  <si>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</si>
  <si>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</si>
  <si>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</si>
  <si>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</si>
  <si>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</si>
  <si>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</si>
  <si>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</si>
  <si>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</si>
  <si>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</si>
  <si>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</si>
  <si>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</si>
  <si>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</si>
  <si>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</si>
  <si>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</si>
  <si>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</si>
  <si>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</si>
  <si>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</si>
  <si>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</si>
  <si>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</si>
  <si>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</si>
  <si>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</si>
  <si>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</si>
  <si>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</si>
  <si>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</si>
  <si>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</si>
  <si>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</si>
  <si>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</si>
  <si>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</si>
  <si>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</si>
  <si>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</si>
  <si>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</si>
  <si>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</si>
  <si>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</si>
  <si>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</si>
  <si>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</si>
  <si>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</si>
  <si>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</si>
  <si>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</si>
  <si>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</si>
  <si>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</si>
  <si>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</si>
  <si>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</si>
  <si>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</si>
  <si>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</si>
  <si>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</si>
  <si>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</si>
  <si>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</si>
  <si>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</si>
  <si>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</si>
  <si>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</si>
  <si>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</si>
  <si>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</si>
  <si>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</si>
  <si>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</si>
  <si>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</si>
  <si>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</si>
  <si>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</si>
  <si>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</si>
  <si>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</si>
  <si>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</si>
  <si>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</si>
  <si>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</si>
  <si>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</si>
  <si>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</si>
  <si>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</si>
  <si>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</si>
  <si>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</si>
  <si>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</si>
  <si>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</si>
  <si>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</si>
  <si>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</si>
  <si>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</si>
  <si>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</si>
  <si>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</si>
  <si>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</si>
  <si>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</si>
  <si>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</si>
  <si>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</si>
  <si>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</si>
  <si>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</si>
  <si>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</si>
  <si>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</si>
  <si>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</si>
  <si>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</si>
  <si>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</si>
  <si>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</si>
  <si>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</si>
  <si>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</si>
  <si>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</si>
  <si>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</si>
  <si>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</si>
  <si>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</si>
  <si>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</si>
  <si>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</si>
  <si>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</si>
  <si>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</si>
  <si>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</si>
  <si>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</si>
  <si>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</si>
  <si>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</si>
  <si>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</si>
  <si>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</si>
  <si>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</si>
  <si>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</si>
  <si>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</si>
  <si>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</si>
  <si>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</si>
  <si>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</si>
  <si>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</si>
  <si>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</si>
  <si>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</si>
  <si>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</si>
  <si>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</si>
  <si>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</si>
  <si>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</si>
  <si>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</si>
  <si>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</si>
  <si>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</si>
  <si>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</si>
  <si>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</si>
  <si>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</si>
  <si>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</si>
  <si>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</si>
  <si>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</si>
  <si>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</si>
  <si>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</si>
  <si>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</si>
  <si>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</si>
  <si>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</si>
  <si>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</si>
  <si>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</si>
  <si>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</si>
  <si>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</si>
  <si>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</si>
  <si>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</si>
  <si>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</si>
  <si>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</si>
  <si>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</si>
  <si>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</si>
  <si>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</si>
  <si>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</si>
  <si>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</si>
  <si>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</si>
  <si>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</si>
  <si>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</si>
  <si>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</si>
  <si>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</si>
  <si>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</si>
  <si>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</si>
  <si>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</si>
  <si>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</si>
  <si>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</si>
  <si>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</si>
  <si>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</si>
  <si>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</si>
  <si>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</si>
  <si>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</si>
  <si>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</si>
  <si>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</si>
  <si>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</si>
  <si>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</si>
  <si>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</si>
  <si>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</si>
  <si>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</si>
  <si>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</si>
  <si>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</si>
  <si>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</si>
  <si>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</si>
  <si>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</si>
  <si>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</si>
  <si>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</si>
  <si>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</si>
  <si>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</si>
  <si>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</si>
  <si>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</si>
  <si>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</si>
  <si>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</si>
  <si>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</si>
  <si>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</si>
  <si>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</si>
  <si>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</si>
  <si>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</si>
  <si>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</si>
  <si>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</si>
  <si>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</si>
  <si>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</si>
  <si>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</si>
  <si>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</si>
  <si>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</si>
  <si>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</si>
  <si>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</si>
  <si>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</si>
  <si>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</si>
  <si>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</si>
  <si>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</si>
  <si>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</si>
  <si>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</si>
  <si>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</si>
  <si>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</si>
  <si>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</si>
  <si>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</si>
  <si>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</si>
  <si>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</si>
  <si>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</si>
  <si>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</si>
  <si>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</si>
  <si>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</si>
  <si>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</si>
  <si>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</si>
  <si>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</si>
  <si>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</si>
  <si>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</si>
  <si>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</si>
  <si>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</si>
  <si>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</si>
  <si>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</si>
  <si>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</si>
  <si>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</si>
  <si>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</si>
  <si>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</si>
  <si>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</si>
  <si>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</si>
  <si>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</si>
  <si>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</si>
  <si>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</si>
  <si>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</si>
  <si>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</si>
  <si>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</si>
  <si>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</si>
  <si>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</si>
  <si>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</si>
  <si>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</si>
  <si>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</si>
  <si>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</si>
  <si>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</si>
  <si>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</si>
  <si>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</si>
  <si>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</si>
  <si>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</si>
  <si>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</si>
  <si>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</si>
  <si>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</si>
  <si>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</si>
  <si>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</si>
  <si>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</si>
  <si>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</si>
  <si>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</si>
  <si>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</si>
  <si>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</si>
  <si>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</si>
  <si>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</si>
  <si>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</si>
  <si>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</si>
  <si>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</si>
  <si>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</si>
  <si>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</si>
  <si>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</si>
  <si>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</si>
  <si>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</si>
  <si>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</si>
  <si>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</si>
  <si>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</si>
  <si>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</si>
  <si>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</si>
  <si>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</si>
  <si>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</si>
  <si>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</si>
  <si>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</si>
  <si>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</si>
  <si>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</si>
  <si>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</si>
  <si>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</si>
  <si>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</si>
  <si>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</si>
  <si>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</si>
  <si>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</si>
  <si>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</si>
  <si>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</si>
  <si>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</si>
  <si>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</si>
  <si>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</si>
  <si>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</si>
  <si>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</si>
  <si>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</si>
  <si>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</si>
  <si>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</si>
  <si>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</si>
  <si>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</si>
  <si>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</si>
  <si>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</si>
  <si>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</si>
  <si>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</si>
  <si>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</si>
  <si>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</si>
  <si>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</si>
  <si>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</si>
  <si>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</si>
  <si>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</si>
  <si>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</si>
  <si>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</si>
  <si>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</si>
  <si>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</si>
  <si>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</si>
  <si>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</si>
  <si>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</si>
  <si>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</si>
  <si>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</si>
  <si>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</si>
  <si>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</si>
  <si>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</si>
  <si>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</si>
  <si>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</si>
  <si>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</si>
  <si>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</si>
  <si>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</si>
  <si>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</si>
  <si>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</si>
  <si>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</si>
  <si>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</si>
  <si>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</si>
  <si>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</si>
  <si>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</si>
  <si>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</si>
  <si>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</si>
  <si>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</si>
  <si>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</si>
  <si>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</si>
  <si>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</si>
  <si>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</si>
  <si>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</si>
  <si>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</si>
  <si>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</si>
  <si>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</si>
  <si>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</si>
  <si>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</si>
  <si>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</si>
  <si>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</si>
  <si>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</si>
  <si>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</si>
  <si>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</si>
  <si>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</si>
  <si>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</si>
  <si>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</si>
  <si>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</si>
  <si>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</si>
  <si>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</si>
  <si>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</si>
  <si>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</si>
  <si>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</si>
  <si>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</si>
  <si>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</si>
  <si>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</si>
  <si>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</si>
  <si>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</si>
  <si>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</si>
  <si>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</si>
  <si>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</si>
  <si>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</si>
  <si>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</si>
  <si>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</si>
  <si>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</si>
  <si>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</si>
  <si>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</si>
  <si>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</si>
  <si>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</si>
  <si>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</si>
  <si>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</si>
  <si>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</si>
  <si>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</si>
  <si>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</si>
  <si>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</si>
  <si>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</si>
  <si>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</si>
  <si>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</si>
  <si>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</si>
  <si>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</si>
  <si>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</si>
  <si>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</si>
  <si>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</si>
  <si>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</si>
  <si>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</si>
  <si>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</si>
  <si>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</si>
  <si>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</si>
  <si>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</si>
  <si>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</si>
  <si>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</si>
  <si>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</si>
  <si>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</si>
  <si>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</si>
  <si>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</si>
  <si>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</si>
  <si>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</si>
  <si>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</si>
  <si>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</si>
  <si>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</si>
  <si>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</si>
  <si>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</si>
  <si>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</si>
  <si>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</si>
  <si>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</si>
  <si>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</si>
  <si>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</si>
  <si>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</si>
  <si>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</si>
  <si>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</si>
  <si>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</si>
  <si>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</si>
  <si>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</si>
  <si>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</si>
  <si>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</si>
  <si>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</si>
  <si>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</si>
  <si>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</si>
  <si>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</si>
  <si>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</si>
  <si>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</si>
  <si>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</si>
  <si>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</si>
  <si>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</si>
  <si>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</si>
  <si>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</si>
  <si>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</si>
  <si>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</si>
  <si>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</si>
  <si>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</si>
  <si>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</si>
  <si>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</si>
  <si>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</si>
  <si>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</si>
  <si>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</si>
  <si>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</si>
  <si>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</si>
  <si>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</si>
  <si>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</si>
  <si>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</si>
  <si>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</si>
  <si>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</si>
  <si>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</si>
  <si>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</si>
  <si>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</si>
  <si>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</si>
  <si>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</si>
  <si>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</si>
  <si>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</si>
  <si>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</si>
  <si>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</si>
  <si>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</si>
  <si>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</si>
  <si>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</si>
  <si>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</si>
  <si>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</si>
  <si>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</si>
  <si>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</si>
  <si>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</si>
  <si>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</si>
  <si>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</si>
  <si>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</si>
  <si>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</si>
  <si>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</si>
  <si>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</si>
  <si>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</si>
  <si>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</si>
  <si>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</si>
  <si>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</si>
  <si>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</si>
  <si>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</si>
  <si>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</si>
  <si>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</si>
  <si>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</si>
  <si>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</si>
  <si>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</si>
  <si>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</si>
  <si>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</si>
  <si>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</si>
  <si>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</si>
  <si>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</si>
  <si>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</si>
  <si>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</si>
  <si>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</si>
  <si>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</si>
  <si>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</si>
  <si>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</si>
  <si>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</si>
  <si>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</si>
  <si>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</si>
  <si>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</si>
  <si>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</si>
  <si>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</si>
  <si>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</si>
  <si>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</si>
  <si>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</si>
  <si>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</si>
  <si>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</si>
  <si>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</si>
  <si>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</si>
  <si>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</si>
  <si>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</si>
  <si>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</si>
  <si>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</si>
  <si>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</si>
  <si>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</si>
  <si>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</si>
  <si>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</si>
  <si>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</si>
  <si>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</si>
  <si>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</si>
  <si>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</si>
  <si>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</si>
  <si>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</si>
  <si>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</si>
  <si>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</si>
  <si>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</si>
  <si>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</si>
  <si>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</si>
  <si>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</si>
  <si>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</si>
  <si>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</si>
  <si>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</si>
  <si>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</si>
  <si>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</si>
  <si>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</si>
  <si>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</si>
  <si>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</si>
  <si>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</si>
  <si>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</si>
  <si>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</si>
  <si>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</si>
  <si>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</si>
  <si>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</si>
  <si>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</si>
  <si>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</si>
  <si>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</si>
  <si>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</si>
  <si>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</si>
  <si>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</si>
  <si>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</si>
  <si>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</si>
  <si>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</si>
  <si>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</si>
  <si>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</si>
  <si>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</si>
  <si>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</si>
  <si>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</si>
  <si>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</si>
  <si>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</si>
  <si>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</si>
  <si>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</si>
  <si>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</si>
  <si>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</si>
  <si>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</si>
  <si>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</si>
  <si>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</si>
  <si>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</si>
  <si>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</si>
  <si>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</si>
  <si>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</si>
  <si>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</si>
  <si>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</si>
  <si>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</si>
  <si>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</si>
  <si>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</si>
  <si>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</si>
  <si>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</si>
  <si>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</si>
  <si>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</si>
  <si>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</si>
  <si>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</si>
  <si>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</si>
  <si>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</si>
  <si>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</si>
  <si>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</si>
  <si>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</si>
  <si>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</si>
  <si>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</si>
  <si>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</si>
  <si>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</si>
  <si>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</si>
  <si>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</si>
  <si>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</si>
  <si>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</si>
  <si>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</si>
  <si>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</si>
  <si>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</si>
  <si>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</si>
  <si>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</si>
  <si>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</si>
  <si>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</si>
  <si>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</si>
  <si>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</si>
  <si>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</si>
  <si>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</si>
  <si>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</si>
  <si>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</si>
  <si>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</si>
  <si>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</si>
  <si>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</si>
  <si>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</si>
  <si>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</si>
  <si>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</si>
  <si>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</si>
  <si>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</si>
  <si>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</si>
  <si>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</si>
  <si>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</si>
  <si>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</si>
  <si>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</si>
  <si>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</si>
  <si>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</si>
  <si>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</si>
  <si>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</si>
  <si>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</si>
  <si>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</si>
  <si>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</si>
  <si>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</si>
  <si>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</si>
  <si>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</si>
  <si>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</si>
  <si>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</si>
  <si>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</si>
  <si>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</si>
  <si>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</si>
  <si>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</si>
  <si>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</si>
  <si>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</si>
  <si>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</si>
  <si>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</si>
  <si>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</si>
  <si>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</si>
  <si>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</si>
  <si>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</si>
  <si>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</si>
  <si>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</si>
  <si>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</si>
  <si>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</si>
  <si>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</si>
  <si>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</si>
  <si>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</si>
  <si>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</si>
  <si>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</si>
  <si>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</si>
  <si>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</si>
  <si>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</si>
  <si>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</si>
  <si>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</si>
  <si>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</si>
  <si>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</si>
  <si>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</si>
  <si>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</si>
  <si>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</si>
  <si>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</si>
  <si>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</si>
  <si>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</si>
  <si>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</si>
  <si>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</si>
  <si>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</si>
  <si>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</si>
  <si>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</si>
  <si>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</si>
  <si>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</si>
  <si>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</si>
  <si>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</si>
  <si>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</si>
  <si>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</si>
  <si>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</si>
  <si>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</si>
  <si>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</si>
  <si>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</si>
  <si>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</si>
  <si>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</si>
  <si>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</si>
  <si>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</si>
  <si>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</si>
  <si>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</si>
  <si>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</si>
  <si>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</si>
  <si>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</si>
  <si>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</si>
  <si>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</si>
  <si>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</si>
  <si>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</si>
  <si>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</si>
  <si>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</si>
  <si>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</si>
  <si>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</si>
  <si>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</si>
  <si>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</si>
  <si>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</si>
  <si>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</si>
  <si>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</si>
  <si>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</si>
  <si>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</si>
  <si>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</si>
  <si>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</si>
  <si>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</si>
  <si>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</si>
  <si>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</si>
  <si>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</si>
  <si>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</si>
  <si>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</si>
  <si>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</si>
  <si>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</si>
  <si>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</si>
  <si>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</si>
  <si>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</si>
  <si>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</si>
  <si>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</si>
  <si>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</si>
  <si>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</si>
  <si>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</si>
  <si>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</si>
  <si>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</si>
  <si>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</si>
  <si>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</si>
  <si>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</si>
  <si>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</si>
  <si>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</si>
  <si>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</si>
  <si>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</si>
  <si>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</si>
  <si>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</si>
  <si>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</si>
  <si>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</si>
  <si>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</si>
  <si>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</si>
  <si>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</si>
  <si>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</si>
  <si>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</si>
  <si>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</si>
  <si>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</si>
  <si>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</si>
  <si>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</si>
  <si>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</si>
  <si>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</si>
  <si>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</si>
  <si>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</si>
  <si>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</si>
  <si>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</si>
  <si>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</si>
  <si>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</si>
  <si>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</si>
  <si>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</si>
  <si>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</si>
  <si>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</si>
  <si>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</si>
  <si>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</si>
  <si>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</si>
  <si>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</si>
  <si>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</si>
  <si>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</si>
  <si>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</si>
  <si>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</si>
  <si>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</si>
  <si>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</si>
  <si>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</si>
  <si>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</si>
  <si>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</si>
  <si>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</si>
  <si>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</si>
  <si>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</si>
  <si>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</si>
  <si>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</si>
  <si>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</si>
  <si>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</si>
  <si>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</si>
  <si>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</si>
  <si>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</si>
  <si>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</si>
  <si>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</si>
  <si>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</si>
  <si>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</si>
  <si>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</si>
  <si>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</si>
  <si>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</si>
  <si>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</si>
  <si>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</si>
  <si>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</si>
  <si>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</si>
  <si>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</si>
  <si>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</si>
  <si>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</si>
  <si>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</si>
  <si>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</si>
  <si>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</si>
  <si>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</si>
  <si>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</si>
  <si>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</si>
  <si>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</si>
  <si>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</si>
  <si>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</si>
  <si>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</si>
  <si>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</si>
  <si>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</si>
  <si>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</si>
  <si>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</si>
  <si>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</si>
  <si>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</si>
  <si>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</si>
  <si>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</si>
  <si>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</si>
  <si>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</si>
  <si>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</si>
  <si>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</si>
  <si>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</si>
  <si>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</si>
  <si>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</si>
  <si>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</si>
  <si>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</si>
  <si>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</si>
  <si>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</si>
  <si>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</si>
  <si>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</si>
  <si>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</si>
  <si>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</si>
  <si>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</si>
  <si>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</si>
  <si>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</si>
  <si>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</si>
  <si>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</si>
  <si>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</si>
  <si>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</si>
  <si>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</si>
  <si>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</si>
  <si>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</si>
  <si>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</si>
  <si>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</si>
  <si>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</si>
  <si>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</si>
  <si>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</si>
  <si>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</si>
  <si>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</si>
  <si>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</si>
  <si>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</si>
  <si>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</si>
  <si>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</si>
  <si>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</si>
  <si>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</si>
  <si>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</si>
  <si>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</si>
  <si>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</si>
  <si>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</si>
  <si>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</si>
  <si>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</si>
  <si>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</si>
  <si>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</si>
  <si>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</si>
  <si>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</si>
  <si>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</si>
  <si>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</si>
  <si>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</si>
  <si>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</si>
  <si>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</si>
  <si>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</si>
  <si>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</si>
  <si>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</si>
  <si>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</si>
  <si>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</si>
  <si>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</si>
  <si>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</si>
  <si>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</si>
  <si>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</si>
  <si>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</si>
  <si>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</si>
  <si>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</si>
  <si>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</si>
  <si>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</si>
  <si>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</si>
  <si>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</si>
  <si>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</si>
  <si>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</si>
  <si>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</si>
  <si>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</si>
  <si>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</si>
  <si>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</si>
  <si>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</si>
  <si>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</si>
  <si>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</si>
  <si>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</si>
  <si>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</si>
  <si>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</si>
  <si>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</si>
  <si>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</si>
  <si>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</si>
  <si>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</si>
  <si>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</si>
  <si>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</si>
  <si>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</si>
  <si>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</si>
  <si>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</si>
  <si>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</si>
  <si>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</si>
  <si>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</si>
  <si>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</si>
  <si>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</si>
  <si>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</si>
  <si>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</si>
  <si>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</si>
  <si>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</si>
  <si>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</si>
  <si>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</si>
  <si>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</si>
  <si>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</si>
  <si>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</si>
  <si>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</si>
  <si>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</si>
  <si>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</si>
  <si>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</si>
  <si>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</si>
  <si>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</si>
  <si>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</si>
  <si>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</si>
  <si>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</si>
  <si>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</si>
  <si>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</si>
  <si>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</si>
  <si>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</si>
  <si>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</si>
  <si>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</si>
  <si>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</si>
  <si>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</si>
  <si>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</si>
  <si>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</si>
  <si>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</si>
  <si>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</si>
  <si>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</si>
  <si>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</si>
  <si>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</si>
  <si>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</si>
  <si>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</si>
  <si>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</si>
  <si>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</si>
  <si>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</si>
  <si>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</si>
  <si>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</si>
  <si>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</si>
  <si>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</si>
  <si>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</si>
  <si>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</si>
  <si>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</si>
  <si>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</si>
  <si>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</si>
  <si>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</si>
  <si>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</si>
  <si>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</si>
  <si>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</si>
  <si>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</si>
  <si>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</si>
  <si>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</si>
  <si>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</si>
  <si>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</si>
  <si>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</si>
  <si>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</si>
  <si>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</si>
  <si>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</si>
  <si>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</si>
  <si>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</si>
  <si>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</si>
  <si>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</si>
  <si>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</si>
  <si>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</si>
  <si>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</si>
  <si>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</si>
  <si>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</si>
  <si>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</si>
  <si>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序号</t>
  </si>
  <si>
    <t>楼号</t>
  </si>
  <si>
    <t>坐落</t>
  </si>
  <si>
    <t>房屋所有权证</t>
  </si>
  <si>
    <t>测绘地上建筑面积㎡</t>
  </si>
  <si>
    <t>屋面附属用房面积㎡</t>
  </si>
  <si>
    <t>测绘地上总建筑面积㎡</t>
  </si>
  <si>
    <t>测绘地下建筑面积㎡</t>
  </si>
  <si>
    <t>测绘总面积㎡</t>
  </si>
  <si>
    <t>产证总建筑面积㎡</t>
  </si>
  <si>
    <t>1号楼</t>
  </si>
  <si>
    <t>X京房权证丰字第454527号</t>
  </si>
  <si>
    <t>研发楼</t>
  </si>
  <si>
    <t>2号楼</t>
  </si>
  <si>
    <t>X京房权证丰字第454420号</t>
  </si>
  <si>
    <t>3号楼</t>
  </si>
  <si>
    <t>X京房权证丰字第454419号</t>
  </si>
  <si>
    <t>4号楼</t>
  </si>
  <si>
    <t>丰台区南四环西路186号四区4号楼1至9层101</t>
  </si>
  <si>
    <t>X京房权证丰字第454526号</t>
  </si>
  <si>
    <t>5号楼</t>
  </si>
  <si>
    <t>丰台区南四环西路186号四区5号楼1至9层101</t>
  </si>
  <si>
    <t>X京房权证丰字第454523号</t>
  </si>
  <si>
    <t>6号楼</t>
  </si>
  <si>
    <t>丰台区南四环西路186号四区6号楼1至9层101</t>
  </si>
  <si>
    <t>X京房权证丰字第454524号</t>
  </si>
  <si>
    <t>7号楼</t>
  </si>
  <si>
    <t>丰台区南四环西路186号四区7号楼1至9层101</t>
  </si>
  <si>
    <t>X京房权证丰字第454528号</t>
  </si>
  <si>
    <t>8号楼</t>
  </si>
  <si>
    <t>丰台区南四环西路186号四区8号楼1至9层101</t>
  </si>
  <si>
    <t>X京房权证丰字第454525号</t>
  </si>
  <si>
    <t>9号楼</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</si>
  <si>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</si>
  <si>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</si>
  <si>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</si>
  <si>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</si>
  <si>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</si>
  <si>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</si>
  <si>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</si>
  <si>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</si>
  <si>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</si>
  <si>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</si>
  <si>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</si>
  <si>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</si>
  <si>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</si>
  <si>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</si>
  <si>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高新技术产业服务配套及库房、自行车库、设备用房、机动车库</t>
  </si>
  <si>
    <t>京丰国用2015出第00176号</t>
  </si>
  <si>
    <t>丰台区科技园区E地块</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</si>
  <si>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</si>
  <si>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</si>
  <si>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</si>
  <si>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</si>
  <si>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</si>
  <si>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</si>
  <si>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</si>
  <si>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</si>
  <si>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</si>
  <si>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</si>
  <si>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</si>
  <si>
    <t>销售可租面积</t>
  </si>
  <si>
    <r>
      <rPr>
        <b/>
        <sz val="10"/>
        <color theme="0"/>
        <rFont val="Arial"/>
        <family val="2"/>
      </rPr>
      <t>M</t>
    </r>
    <r>
      <rPr>
        <b/>
        <sz val="10"/>
        <color indexed="9"/>
        <rFont val="宋体"/>
        <family val="3"/>
        <charset val="134"/>
      </rPr>
      <t>层</t>
    </r>
    <r>
      <rPr>
        <b/>
        <sz val="10"/>
        <color indexed="9"/>
        <rFont val="Arial"/>
        <family val="2"/>
      </rPr>
      <t xml:space="preserve">                 </t>
    </r>
  </si>
  <si>
    <r>
      <rPr>
        <b/>
        <sz val="10"/>
        <color theme="0"/>
        <rFont val="Arial"/>
        <family val="2"/>
      </rPr>
      <t>B1</t>
    </r>
    <r>
      <rPr>
        <b/>
        <sz val="10"/>
        <color indexed="9"/>
        <rFont val="宋体"/>
        <family val="3"/>
        <charset val="134"/>
      </rPr>
      <t>层</t>
    </r>
    <r>
      <rPr>
        <b/>
        <sz val="10"/>
        <color indexed="9"/>
        <rFont val="Arial"/>
        <family val="2"/>
      </rPr>
      <t xml:space="preserve">               </t>
    </r>
  </si>
  <si>
    <r>
      <rPr>
        <sz val="10"/>
        <rFont val="Arial"/>
        <family val="2"/>
      </rPr>
      <t>1#</t>
    </r>
    <r>
      <rPr>
        <sz val="10"/>
        <rFont val="宋体"/>
        <family val="3"/>
        <charset val="134"/>
      </rPr>
      <t>楼</t>
    </r>
  </si>
  <si>
    <r>
      <rPr>
        <sz val="10"/>
        <rFont val="Arial"/>
        <family val="2"/>
      </rPr>
      <t>2#</t>
    </r>
    <r>
      <rPr>
        <sz val="10"/>
        <rFont val="宋体"/>
        <family val="3"/>
        <charset val="134"/>
      </rPr>
      <t>楼</t>
    </r>
  </si>
  <si>
    <r>
      <rPr>
        <sz val="10"/>
        <rFont val="Arial"/>
        <family val="2"/>
      </rPr>
      <t>3#</t>
    </r>
    <r>
      <rPr>
        <sz val="10"/>
        <rFont val="宋体"/>
        <family val="3"/>
        <charset val="134"/>
      </rPr>
      <t>楼</t>
    </r>
  </si>
  <si>
    <r>
      <rPr>
        <sz val="10"/>
        <rFont val="Arial"/>
        <family val="2"/>
      </rPr>
      <t>4#</t>
    </r>
    <r>
      <rPr>
        <sz val="10"/>
        <rFont val="宋体"/>
        <family val="3"/>
        <charset val="134"/>
      </rPr>
      <t>楼</t>
    </r>
  </si>
  <si>
    <r>
      <rPr>
        <sz val="10"/>
        <rFont val="Arial"/>
        <family val="2"/>
      </rPr>
      <t>5#</t>
    </r>
    <r>
      <rPr>
        <sz val="10"/>
        <rFont val="宋体"/>
        <family val="3"/>
        <charset val="134"/>
      </rPr>
      <t>楼</t>
    </r>
  </si>
  <si>
    <r>
      <rPr>
        <sz val="10"/>
        <rFont val="Arial"/>
        <family val="2"/>
      </rPr>
      <t>6#</t>
    </r>
    <r>
      <rPr>
        <sz val="10"/>
        <rFont val="宋体"/>
        <family val="3"/>
        <charset val="134"/>
      </rPr>
      <t>楼</t>
    </r>
  </si>
  <si>
    <r>
      <rPr>
        <sz val="10"/>
        <rFont val="Arial"/>
        <family val="2"/>
      </rPr>
      <t>7#</t>
    </r>
    <r>
      <rPr>
        <sz val="10"/>
        <rFont val="宋体"/>
        <family val="3"/>
        <charset val="134"/>
      </rPr>
      <t>楼</t>
    </r>
  </si>
  <si>
    <r>
      <rPr>
        <sz val="10"/>
        <rFont val="Arial"/>
        <family val="2"/>
      </rPr>
      <t>8#</t>
    </r>
    <r>
      <rPr>
        <sz val="10"/>
        <rFont val="宋体"/>
        <family val="3"/>
        <charset val="134"/>
      </rPr>
      <t>楼</t>
    </r>
  </si>
  <si>
    <r>
      <rPr>
        <sz val="10"/>
        <rFont val="Arial"/>
        <family val="2"/>
      </rPr>
      <t>9#</t>
    </r>
    <r>
      <rPr>
        <sz val="10"/>
        <rFont val="宋体"/>
        <family val="3"/>
        <charset val="134"/>
      </rPr>
      <t>楼</t>
    </r>
  </si>
  <si>
    <r>
      <rPr>
        <sz val="10"/>
        <rFont val="Arial"/>
        <family val="2"/>
      </rPr>
      <t>10#</t>
    </r>
    <r>
      <rPr>
        <sz val="10"/>
        <rFont val="宋体"/>
        <family val="3"/>
        <charset val="134"/>
      </rPr>
      <t>楼</t>
    </r>
  </si>
  <si>
    <r>
      <rPr>
        <sz val="10"/>
        <rFont val="Arial"/>
        <family val="2"/>
      </rPr>
      <t>11#</t>
    </r>
    <r>
      <rPr>
        <sz val="10"/>
        <rFont val="宋体"/>
        <family val="3"/>
        <charset val="134"/>
      </rPr>
      <t>楼</t>
    </r>
  </si>
  <si>
    <r>
      <rPr>
        <sz val="10"/>
        <rFont val="Arial"/>
        <family val="2"/>
      </rP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</si>
  <si>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</si>
  <si>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</si>
  <si>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</si>
  <si>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</si>
  <si>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</si>
  <si>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</si>
  <si>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</si>
  <si>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</si>
  <si>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rPr>
        <b/>
        <sz val="10"/>
        <color indexed="10"/>
        <rFont val="Arial"/>
        <family val="2"/>
      </rPr>
      <t>1</t>
    </r>
    <r>
      <rPr>
        <b/>
        <sz val="10"/>
        <color indexed="10"/>
        <rFont val="宋体"/>
        <family val="3"/>
        <charset val="134"/>
      </rPr>
      <t>号楼</t>
    </r>
  </si>
  <si>
    <t>9m</t>
  </si>
  <si>
    <t>9</t>
  </si>
  <si>
    <r>
      <rPr>
        <sz val="10"/>
        <rFont val="宋体"/>
        <family val="3"/>
        <charset val="134"/>
      </rPr>
      <t>跃层出租</t>
    </r>
  </si>
  <si>
    <t>8m</t>
  </si>
  <si>
    <t>8</t>
  </si>
  <si>
    <t>7m</t>
  </si>
  <si>
    <t>6m</t>
  </si>
  <si>
    <t>6</t>
  </si>
  <si>
    <r>
      <rPr>
        <sz val="10"/>
        <rFont val="宋体"/>
        <family val="3"/>
        <charset val="134"/>
      </rPr>
      <t>自用跃层</t>
    </r>
  </si>
  <si>
    <r>
      <rPr>
        <b/>
        <sz val="10"/>
        <rFont val="宋体"/>
        <family val="3"/>
        <charset val="134"/>
      </rPr>
      <t>小计</t>
    </r>
  </si>
  <si>
    <r>
      <rPr>
        <b/>
        <sz val="10"/>
        <color indexed="10"/>
        <rFont val="Arial"/>
        <family val="2"/>
      </rPr>
      <t>2</t>
    </r>
    <r>
      <rPr>
        <b/>
        <sz val="10"/>
        <color indexed="10"/>
        <rFont val="宋体"/>
        <family val="3"/>
        <charset val="134"/>
      </rPr>
      <t>号楼</t>
    </r>
  </si>
  <si>
    <t>9M</t>
  </si>
  <si>
    <t>8M</t>
  </si>
  <si>
    <t>7M</t>
  </si>
  <si>
    <t>7</t>
  </si>
  <si>
    <t>6M</t>
  </si>
  <si>
    <t>5</t>
  </si>
  <si>
    <t>3</t>
  </si>
  <si>
    <t>2</t>
  </si>
  <si>
    <r>
      <rPr>
        <b/>
        <sz val="10"/>
        <color indexed="10"/>
        <rFont val="Arial"/>
        <family val="2"/>
      </rPr>
      <t>3</t>
    </r>
    <r>
      <rPr>
        <b/>
        <sz val="10"/>
        <color indexed="10"/>
        <rFont val="宋体"/>
        <family val="3"/>
        <charset val="134"/>
      </rPr>
      <t>号楼</t>
    </r>
  </si>
  <si>
    <r>
      <rPr>
        <b/>
        <sz val="10"/>
        <color indexed="10"/>
        <rFont val="Arial"/>
        <family val="2"/>
      </rPr>
      <t>4</t>
    </r>
    <r>
      <rPr>
        <b/>
        <sz val="10"/>
        <color indexed="10"/>
        <rFont val="宋体"/>
        <family val="3"/>
        <charset val="134"/>
      </rPr>
      <t>号楼</t>
    </r>
  </si>
  <si>
    <r>
      <rPr>
        <b/>
        <sz val="10"/>
        <color indexed="10"/>
        <rFont val="Arial"/>
        <family val="2"/>
      </rPr>
      <t>5</t>
    </r>
    <r>
      <rPr>
        <b/>
        <sz val="10"/>
        <color indexed="10"/>
        <rFont val="宋体"/>
        <family val="3"/>
        <charset val="134"/>
      </rPr>
      <t>号楼</t>
    </r>
  </si>
  <si>
    <r>
      <rPr>
        <sz val="10"/>
        <color indexed="8"/>
        <rFont val="宋体"/>
        <family val="3"/>
        <charset val="134"/>
      </rPr>
      <t>跃层出租</t>
    </r>
  </si>
  <si>
    <r>
      <rPr>
        <b/>
        <sz val="10"/>
        <color indexed="10"/>
        <rFont val="Arial"/>
        <family val="2"/>
      </rPr>
      <t>6</t>
    </r>
    <r>
      <rPr>
        <b/>
        <sz val="10"/>
        <color indexed="10"/>
        <rFont val="宋体"/>
        <family val="3"/>
        <charset val="134"/>
      </rPr>
      <t>号楼</t>
    </r>
  </si>
  <si>
    <r>
      <rPr>
        <b/>
        <sz val="10"/>
        <color indexed="10"/>
        <rFont val="Arial"/>
        <family val="2"/>
      </rPr>
      <t>7</t>
    </r>
    <r>
      <rPr>
        <b/>
        <sz val="10"/>
        <color indexed="10"/>
        <rFont val="宋体"/>
        <family val="3"/>
        <charset val="134"/>
      </rPr>
      <t>号楼</t>
    </r>
  </si>
  <si>
    <r>
      <rPr>
        <b/>
        <sz val="10"/>
        <color indexed="10"/>
        <rFont val="Arial"/>
        <family val="2"/>
      </rPr>
      <t>8</t>
    </r>
    <r>
      <rPr>
        <b/>
        <sz val="10"/>
        <color indexed="10"/>
        <rFont val="宋体"/>
        <family val="3"/>
        <charset val="134"/>
      </rPr>
      <t>号楼</t>
    </r>
  </si>
  <si>
    <r>
      <rPr>
        <b/>
        <sz val="10"/>
        <color indexed="10"/>
        <rFont val="Arial"/>
        <family val="2"/>
      </rPr>
      <t>9</t>
    </r>
    <r>
      <rPr>
        <b/>
        <sz val="10"/>
        <color indexed="10"/>
        <rFont val="宋体"/>
        <family val="3"/>
        <charset val="134"/>
      </rPr>
      <t>号楼</t>
    </r>
  </si>
  <si>
    <r>
      <rPr>
        <b/>
        <sz val="10"/>
        <color indexed="10"/>
        <rFont val="Arial"/>
        <family val="2"/>
      </rPr>
      <t>10</t>
    </r>
    <r>
      <rPr>
        <b/>
        <sz val="10"/>
        <color indexed="10"/>
        <rFont val="宋体"/>
        <family val="3"/>
        <charset val="134"/>
      </rPr>
      <t>号楼</t>
    </r>
  </si>
  <si>
    <r>
      <rPr>
        <b/>
        <sz val="10"/>
        <color indexed="10"/>
        <rFont val="Arial"/>
        <family val="2"/>
      </rPr>
      <t>11</t>
    </r>
    <r>
      <rPr>
        <b/>
        <sz val="10"/>
        <color indexed="10"/>
        <rFont val="宋体"/>
        <family val="3"/>
        <charset val="134"/>
      </rPr>
      <t>号楼</t>
    </r>
  </si>
  <si>
    <r>
      <rPr>
        <b/>
        <sz val="10"/>
        <color indexed="10"/>
        <rFont val="Arial"/>
        <family val="2"/>
      </rP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</si>
  <si>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</si>
  <si>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rPr>
        <b/>
        <sz val="10"/>
        <color indexed="8"/>
        <rFont val="Arial"/>
        <family val="2"/>
      </rPr>
      <t>B1</t>
    </r>
    <r>
      <rPr>
        <b/>
        <sz val="10"/>
        <color indexed="8"/>
        <rFont val="宋体"/>
        <family val="3"/>
        <charset val="134"/>
      </rPr>
      <t>层</t>
    </r>
  </si>
  <si>
    <r>
      <rPr>
        <b/>
        <sz val="10"/>
        <color indexed="8"/>
        <rFont val="Arial"/>
        <family val="2"/>
      </rP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</si>
  <si>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</si>
  <si>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</si>
  <si>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</si>
  <si>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</si>
  <si>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</si>
  <si>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</si>
  <si>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</si>
  <si>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</si>
  <si>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</si>
  <si>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</si>
  <si>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</si>
  <si>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</si>
  <si>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</si>
  <si>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</si>
  <si>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</si>
  <si>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</si>
  <si>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</si>
  <si>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rPr>
        <sz val="10"/>
        <rFont val="Arial"/>
        <family val="2"/>
      </rP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</si>
  <si>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</si>
  <si>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</si>
  <si>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</si>
  <si>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</si>
  <si>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</si>
  <si>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</si>
  <si>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</si>
  <si>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</si>
  <si>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</si>
  <si>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</si>
  <si>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</si>
  <si>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</si>
  <si>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</si>
  <si>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</si>
  <si>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</si>
  <si>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</si>
  <si>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</si>
  <si>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</si>
  <si>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rPr>
        <b/>
        <sz val="10"/>
        <color indexed="8"/>
        <rFont val="Arial"/>
        <family val="2"/>
      </rPr>
      <t>B1</t>
    </r>
    <r>
      <rPr>
        <b/>
        <sz val="10"/>
        <color indexed="8"/>
        <rFont val="宋体"/>
        <family val="3"/>
        <charset val="134"/>
      </rPr>
      <t>层南区</t>
    </r>
  </si>
  <si>
    <r>
      <rPr>
        <sz val="10"/>
        <rFont val="Arial"/>
        <family val="2"/>
      </rPr>
      <t>4B-100</t>
    </r>
    <r>
      <rPr>
        <b/>
        <sz val="10"/>
        <rFont val="Arial"/>
        <family val="2"/>
      </rPr>
      <t>A</t>
    </r>
  </si>
  <si>
    <t>4B-101</t>
  </si>
  <si>
    <t>4B-102</t>
  </si>
  <si>
    <t>4B-103</t>
  </si>
  <si>
    <t>4B-104</t>
  </si>
  <si>
    <t>4B-105</t>
  </si>
  <si>
    <t>4B-106</t>
  </si>
  <si>
    <t>4B-107</t>
  </si>
  <si>
    <t>4B-108</t>
  </si>
  <si>
    <r>
      <rPr>
        <sz val="10"/>
        <color indexed="8"/>
        <rFont val="宋体"/>
        <family val="3"/>
        <charset val="134"/>
      </rPr>
      <t>合计</t>
    </r>
  </si>
  <si>
    <r>
      <rPr>
        <b/>
        <sz val="10"/>
        <color indexed="8"/>
        <rFont val="Arial"/>
        <family val="2"/>
      </rPr>
      <t>B2</t>
    </r>
    <r>
      <rPr>
        <b/>
        <sz val="10"/>
        <color indexed="8"/>
        <rFont val="宋体"/>
        <family val="3"/>
        <charset val="134"/>
      </rPr>
      <t>层</t>
    </r>
  </si>
  <si>
    <r>
      <rPr>
        <sz val="10"/>
        <rFont val="Arial"/>
        <family val="2"/>
      </rPr>
      <t>0</t>
    </r>
    <r>
      <rPr>
        <b/>
        <sz val="10"/>
        <rFont val="Arial"/>
        <family val="2"/>
      </rPr>
      <t>619-0624</t>
    </r>
  </si>
  <si>
    <t>车位</t>
  </si>
  <si>
    <t>业态</t>
  </si>
  <si>
    <t>房间号</t>
  </si>
  <si>
    <t>租户名称</t>
  </si>
  <si>
    <t>租赁面积</t>
  </si>
  <si>
    <t xml:space="preserve">资源面积                   </t>
  </si>
  <si>
    <t>起租日</t>
  </si>
  <si>
    <t>截止日</t>
  </si>
  <si>
    <t>合同总期数</t>
  </si>
  <si>
    <t>月租金</t>
  </si>
  <si>
    <t>日租金</t>
  </si>
  <si>
    <t>其中管理费</t>
  </si>
  <si>
    <t>递增月租金</t>
  </si>
  <si>
    <t>月管理费</t>
  </si>
  <si>
    <t>合同总金额</t>
  </si>
  <si>
    <t>总租金</t>
  </si>
  <si>
    <t>总管理费</t>
  </si>
  <si>
    <r>
      <rPr>
        <sz val="10"/>
        <color indexed="8"/>
        <rFont val="宋体"/>
        <family val="3"/>
        <charset val="134"/>
      </rPr>
      <t>写字楼</t>
    </r>
  </si>
  <si>
    <r>
      <rPr>
        <sz val="10"/>
        <color indexed="8"/>
        <rFont val="Arial"/>
        <family val="2"/>
      </rPr>
      <t>05-06</t>
    </r>
    <r>
      <rPr>
        <sz val="10"/>
        <color indexed="8"/>
        <rFont val="宋体"/>
        <family val="3"/>
        <charset val="134"/>
      </rPr>
      <t>单元</t>
    </r>
  </si>
  <si>
    <r>
      <rPr>
        <sz val="10"/>
        <rFont val="宋体"/>
        <family val="3"/>
        <charset val="134"/>
      </rPr>
      <t>北京云宗科技有限公司</t>
    </r>
  </si>
  <si>
    <r>
      <rPr>
        <sz val="10"/>
        <color indexed="8"/>
        <rFont val="Arial"/>
        <family val="2"/>
      </rP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</si>
  <si>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</si>
  <si>
    <r>
      <rPr>
        <sz val="10"/>
        <color indexed="8"/>
        <rFont val="Arial"/>
        <family val="2"/>
      </rPr>
      <t>06-07</t>
    </r>
    <r>
      <rPr>
        <sz val="10"/>
        <color indexed="8"/>
        <rFont val="宋体"/>
        <family val="3"/>
        <charset val="134"/>
      </rPr>
      <t>单元</t>
    </r>
  </si>
  <si>
    <r>
      <rPr>
        <sz val="10"/>
        <rFont val="宋体"/>
        <family val="3"/>
        <charset val="134"/>
      </rPr>
      <t>上药科园信海医药有限公司</t>
    </r>
  </si>
  <si>
    <r>
      <rPr>
        <sz val="10"/>
        <color indexed="8"/>
        <rFont val="Arial"/>
        <family val="2"/>
      </rPr>
      <t>02-03</t>
    </r>
    <r>
      <rPr>
        <sz val="10"/>
        <color indexed="8"/>
        <rFont val="宋体"/>
        <family val="3"/>
        <charset val="134"/>
      </rPr>
      <t>单元</t>
    </r>
  </si>
  <si>
    <r>
      <rPr>
        <sz val="10"/>
        <rFont val="宋体"/>
        <family val="3"/>
        <charset val="134"/>
      </rPr>
      <t>海思林科（北京）信息技术有限公司</t>
    </r>
  </si>
  <si>
    <r>
      <rPr>
        <sz val="10"/>
        <color indexed="8"/>
        <rFont val="Arial"/>
        <family val="2"/>
      </rPr>
      <t>05</t>
    </r>
    <r>
      <rPr>
        <sz val="10"/>
        <color indexed="8"/>
        <rFont val="宋体"/>
        <family val="3"/>
        <charset val="134"/>
      </rPr>
      <t>单元</t>
    </r>
  </si>
  <si>
    <r>
      <rPr>
        <sz val="10"/>
        <rFont val="宋体"/>
        <family val="3"/>
        <charset val="134"/>
      </rPr>
      <t>北京信海康医药有限责任公司</t>
    </r>
  </si>
  <si>
    <r>
      <rPr>
        <sz val="10"/>
        <color indexed="8"/>
        <rFont val="Arial"/>
        <family val="2"/>
      </rPr>
      <t>01</t>
    </r>
    <r>
      <rPr>
        <sz val="10"/>
        <color indexed="8"/>
        <rFont val="宋体"/>
        <family val="3"/>
        <charset val="134"/>
      </rPr>
      <t>单元</t>
    </r>
  </si>
  <si>
    <r>
      <rPr>
        <sz val="10"/>
        <rFont val="宋体"/>
        <family val="3"/>
        <charset val="134"/>
      </rPr>
      <t>北京信海科园大药房有限公司</t>
    </r>
  </si>
  <si>
    <t>M</t>
  </si>
  <si>
    <r>
      <rPr>
        <sz val="10"/>
        <rFont val="宋体"/>
        <family val="3"/>
        <charset val="134"/>
      </rPr>
      <t>北京京考飞宇图文技术服务有限公司</t>
    </r>
  </si>
  <si>
    <r>
      <rPr>
        <sz val="10"/>
        <rFont val="宋体"/>
        <family val="3"/>
        <charset val="134"/>
      </rPr>
      <t>金管鼎盛（北京）投资管理有限公司</t>
    </r>
  </si>
  <si>
    <r>
      <rPr>
        <sz val="10"/>
        <color indexed="8"/>
        <rFont val="Arial"/>
        <family val="2"/>
      </rP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</si>
  <si>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</si>
  <si>
    <r>
      <rPr>
        <sz val="10"/>
        <color indexed="8"/>
        <rFont val="Arial"/>
        <family val="2"/>
      </rPr>
      <t>02-08</t>
    </r>
    <r>
      <rPr>
        <sz val="10"/>
        <color indexed="8"/>
        <rFont val="宋体"/>
        <family val="3"/>
        <charset val="134"/>
      </rPr>
      <t>单元</t>
    </r>
  </si>
  <si>
    <r>
      <rPr>
        <sz val="10"/>
        <rFont val="宋体"/>
        <family val="3"/>
        <charset val="134"/>
      </rPr>
      <t>中国建筑第五工程局有限公司</t>
    </r>
  </si>
  <si>
    <r>
      <rPr>
        <sz val="10"/>
        <color indexed="8"/>
        <rFont val="Arial"/>
        <family val="2"/>
      </rP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</si>
  <si>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</si>
  <si>
    <r>
      <rPr>
        <sz val="10"/>
        <color indexed="8"/>
        <rFont val="Arial"/>
        <family val="2"/>
      </rPr>
      <t>04-06</t>
    </r>
    <r>
      <rPr>
        <sz val="10"/>
        <color indexed="8"/>
        <rFont val="宋体"/>
        <family val="3"/>
        <charset val="134"/>
      </rPr>
      <t>单元</t>
    </r>
  </si>
  <si>
    <r>
      <rPr>
        <sz val="10"/>
        <rFont val="宋体"/>
        <family val="3"/>
        <charset val="134"/>
      </rPr>
      <t>北京大地同丰科技有限公司</t>
    </r>
  </si>
  <si>
    <r>
      <rPr>
        <sz val="10"/>
        <color indexed="8"/>
        <rFont val="Arial"/>
        <family val="2"/>
      </rP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</si>
  <si>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</si>
  <si>
    <r>
      <rPr>
        <sz val="10"/>
        <color indexed="8"/>
        <rFont val="Arial"/>
        <family val="2"/>
      </rPr>
      <t>18-22</t>
    </r>
    <r>
      <rPr>
        <sz val="10"/>
        <color indexed="8"/>
        <rFont val="宋体"/>
        <family val="3"/>
        <charset val="134"/>
      </rPr>
      <t>单元</t>
    </r>
  </si>
  <si>
    <r>
      <rPr>
        <sz val="10"/>
        <rFont val="宋体"/>
        <family val="3"/>
        <charset val="134"/>
      </rPr>
      <t>大元建业集团股份有限公司</t>
    </r>
  </si>
  <si>
    <r>
      <rPr>
        <sz val="10"/>
        <color indexed="8"/>
        <rFont val="Arial"/>
        <family val="2"/>
      </rPr>
      <t>07-09</t>
    </r>
    <r>
      <rPr>
        <sz val="10"/>
        <color indexed="8"/>
        <rFont val="宋体"/>
        <family val="3"/>
        <charset val="134"/>
      </rPr>
      <t>单元</t>
    </r>
  </si>
  <si>
    <r>
      <rPr>
        <sz val="10"/>
        <rFont val="宋体"/>
        <family val="3"/>
        <charset val="134"/>
      </rPr>
      <t>贵昌科技（北京）有限公司</t>
    </r>
  </si>
  <si>
    <r>
      <rPr>
        <sz val="10"/>
        <color indexed="8"/>
        <rFont val="Arial"/>
        <family val="2"/>
      </rPr>
      <t>01-12</t>
    </r>
    <r>
      <rPr>
        <sz val="10"/>
        <color indexed="8"/>
        <rFont val="宋体"/>
        <family val="3"/>
        <charset val="134"/>
      </rPr>
      <t>单元</t>
    </r>
  </si>
  <si>
    <r>
      <rPr>
        <sz val="10"/>
        <rFont val="宋体"/>
        <family val="3"/>
        <charset val="134"/>
      </rPr>
      <t>北京华瑞环球置业发展有限公司</t>
    </r>
  </si>
  <si>
    <r>
      <rPr>
        <sz val="10"/>
        <color indexed="8"/>
        <rFont val="Arial"/>
        <family val="2"/>
      </rPr>
      <t>01-20</t>
    </r>
    <r>
      <rPr>
        <sz val="10"/>
        <color indexed="8"/>
        <rFont val="宋体"/>
        <family val="3"/>
        <charset val="134"/>
      </rPr>
      <t>单元</t>
    </r>
  </si>
  <si>
    <r>
      <rPr>
        <sz val="10"/>
        <rFont val="宋体"/>
        <family val="3"/>
        <charset val="134"/>
      </rPr>
      <t>北京市联创立源科技有限公司</t>
    </r>
  </si>
  <si>
    <r>
      <rPr>
        <sz val="10"/>
        <color indexed="8"/>
        <rFont val="Arial"/>
        <family val="2"/>
      </rP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</si>
  <si>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</si>
  <si>
    <r>
      <rPr>
        <sz val="10"/>
        <color indexed="8"/>
        <rFont val="Arial"/>
        <family val="2"/>
      </rPr>
      <t>10-11</t>
    </r>
    <r>
      <rPr>
        <sz val="10"/>
        <color indexed="8"/>
        <rFont val="宋体"/>
        <family val="3"/>
        <charset val="134"/>
      </rPr>
      <t>单元</t>
    </r>
  </si>
  <si>
    <r>
      <rPr>
        <sz val="10"/>
        <rFont val="宋体"/>
        <family val="3"/>
        <charset val="134"/>
      </rPr>
      <t>北京海思创能源科技有限公司</t>
    </r>
  </si>
  <si>
    <r>
      <rPr>
        <sz val="10"/>
        <color indexed="8"/>
        <rFont val="Arial"/>
        <family val="2"/>
      </rPr>
      <t>12</t>
    </r>
    <r>
      <rPr>
        <sz val="10"/>
        <color indexed="8"/>
        <rFont val="宋体"/>
        <family val="3"/>
        <charset val="134"/>
      </rPr>
      <t>单元</t>
    </r>
  </si>
  <si>
    <r>
      <rPr>
        <sz val="10"/>
        <rFont val="宋体"/>
        <family val="3"/>
        <charset val="134"/>
      </rPr>
      <t>德密行密封科技（北京）有限公司</t>
    </r>
  </si>
  <si>
    <r>
      <rPr>
        <sz val="10"/>
        <color indexed="8"/>
        <rFont val="Arial"/>
        <family val="2"/>
      </rPr>
      <t>05-07</t>
    </r>
    <r>
      <rPr>
        <sz val="10"/>
        <color indexed="8"/>
        <rFont val="宋体"/>
        <family val="3"/>
        <charset val="134"/>
      </rPr>
      <t>单元</t>
    </r>
  </si>
  <si>
    <r>
      <rPr>
        <sz val="10"/>
        <rFont val="宋体"/>
        <family val="3"/>
        <charset val="134"/>
      </rPr>
      <t>北京腾宇华通网络科技发展有限公司</t>
    </r>
  </si>
  <si>
    <r>
      <rPr>
        <sz val="10"/>
        <color indexed="8"/>
        <rFont val="Arial"/>
        <family val="2"/>
      </rPr>
      <t>02-05</t>
    </r>
    <r>
      <rPr>
        <sz val="10"/>
        <color indexed="8"/>
        <rFont val="宋体"/>
        <family val="3"/>
        <charset val="134"/>
      </rPr>
      <t>单元</t>
    </r>
  </si>
  <si>
    <r>
      <rPr>
        <sz val="10"/>
        <rFont val="宋体"/>
        <family val="3"/>
        <charset val="134"/>
      </rPr>
      <t>汉喜普泰（北京）医院投资管理有限公司</t>
    </r>
  </si>
  <si>
    <r>
      <rPr>
        <sz val="10"/>
        <color indexed="8"/>
        <rFont val="Arial"/>
        <family val="2"/>
      </rPr>
      <t>06</t>
    </r>
    <r>
      <rPr>
        <sz val="10"/>
        <color indexed="8"/>
        <rFont val="宋体"/>
        <family val="3"/>
        <charset val="134"/>
      </rPr>
      <t>单元</t>
    </r>
  </si>
  <si>
    <r>
      <rPr>
        <sz val="10"/>
        <rFont val="宋体"/>
        <family val="3"/>
        <charset val="134"/>
      </rPr>
      <t>北京谦益得科技有限公司</t>
    </r>
  </si>
  <si>
    <r>
      <rPr>
        <sz val="10"/>
        <color indexed="8"/>
        <rFont val="Arial"/>
        <family val="2"/>
      </rP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</si>
  <si>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</si>
  <si>
    <r>
      <rPr>
        <sz val="10"/>
        <color indexed="8"/>
        <rFont val="Arial"/>
        <family val="2"/>
      </rPr>
      <t>09</t>
    </r>
    <r>
      <rPr>
        <sz val="10"/>
        <color indexed="8"/>
        <rFont val="宋体"/>
        <family val="3"/>
        <charset val="134"/>
      </rPr>
      <t>单元</t>
    </r>
  </si>
  <si>
    <r>
      <rPr>
        <sz val="10"/>
        <rFont val="宋体"/>
        <family val="3"/>
        <charset val="134"/>
      </rPr>
      <t>北京三盈拓电气设备有限公司</t>
    </r>
  </si>
  <si>
    <r>
      <rPr>
        <sz val="10"/>
        <color indexed="8"/>
        <rFont val="Arial"/>
        <family val="2"/>
      </rPr>
      <t>23</t>
    </r>
    <r>
      <rPr>
        <sz val="10"/>
        <color indexed="8"/>
        <rFont val="宋体"/>
        <family val="3"/>
        <charset val="134"/>
      </rPr>
      <t>单元</t>
    </r>
  </si>
  <si>
    <r>
      <rPr>
        <sz val="10"/>
        <rFont val="宋体"/>
        <family val="3"/>
        <charset val="134"/>
      </rPr>
      <t>青岛东卡环保工程技术有限公司</t>
    </r>
  </si>
  <si>
    <r>
      <rPr>
        <sz val="10"/>
        <color indexed="8"/>
        <rFont val="Arial"/>
        <family val="2"/>
      </rPr>
      <t>17-22</t>
    </r>
    <r>
      <rPr>
        <sz val="10"/>
        <color indexed="8"/>
        <rFont val="宋体"/>
        <family val="3"/>
        <charset val="134"/>
      </rPr>
      <t>单元</t>
    </r>
  </si>
  <si>
    <r>
      <rPr>
        <sz val="10"/>
        <rFont val="宋体"/>
        <family val="3"/>
        <charset val="134"/>
      </rPr>
      <t>北京雷恒科技有限公司</t>
    </r>
  </si>
  <si>
    <r>
      <rPr>
        <sz val="10"/>
        <color indexed="8"/>
        <rFont val="Arial"/>
        <family val="2"/>
      </rPr>
      <t>02</t>
    </r>
    <r>
      <rPr>
        <sz val="10"/>
        <color indexed="8"/>
        <rFont val="宋体"/>
        <family val="3"/>
        <charset val="134"/>
      </rPr>
      <t>、</t>
    </r>
    <r>
      <rPr>
        <sz val="10"/>
        <color indexed="8"/>
        <rFont val="Arial"/>
        <family val="2"/>
      </rPr>
      <t>03</t>
    </r>
    <r>
      <rPr>
        <sz val="10"/>
        <color indexed="8"/>
        <rFont val="宋体"/>
        <family val="3"/>
        <charset val="134"/>
      </rPr>
      <t>单元</t>
    </r>
  </si>
  <si>
    <t>华汇建设集团有限公司北方分公司</t>
  </si>
  <si>
    <r>
      <rPr>
        <sz val="10"/>
        <color indexed="8"/>
        <rFont val="Arial"/>
        <family val="2"/>
      </rPr>
      <t>04-09</t>
    </r>
    <r>
      <rPr>
        <sz val="10"/>
        <color indexed="8"/>
        <rFont val="宋体"/>
        <family val="3"/>
        <charset val="134"/>
      </rPr>
      <t>单元</t>
    </r>
  </si>
  <si>
    <t>中广核（尚义）风力发电有限公司</t>
  </si>
  <si>
    <r>
      <rPr>
        <sz val="10"/>
        <color indexed="8"/>
        <rFont val="Arial"/>
        <family val="2"/>
      </rPr>
      <t>01</t>
    </r>
    <r>
      <rPr>
        <sz val="10"/>
        <color indexed="8"/>
        <rFont val="宋体"/>
        <family val="3"/>
        <charset val="134"/>
      </rPr>
      <t>、</t>
    </r>
    <r>
      <rPr>
        <sz val="10"/>
        <color indexed="8"/>
        <rFont val="Arial"/>
        <family val="2"/>
      </rPr>
      <t>10-12</t>
    </r>
    <r>
      <rPr>
        <sz val="10"/>
        <color indexed="8"/>
        <rFont val="宋体"/>
        <family val="3"/>
        <charset val="134"/>
      </rPr>
      <t>单元</t>
    </r>
  </si>
  <si>
    <t>北京发尔赛消防工程有限公司</t>
  </si>
  <si>
    <r>
      <rPr>
        <sz val="10"/>
        <color indexed="8"/>
        <rFont val="Arial"/>
        <family val="2"/>
      </rPr>
      <t>13-16</t>
    </r>
    <r>
      <rPr>
        <sz val="10"/>
        <color indexed="8"/>
        <rFont val="宋体"/>
        <family val="3"/>
        <charset val="134"/>
      </rPr>
      <t>、</t>
    </r>
    <r>
      <rPr>
        <sz val="10"/>
        <color indexed="8"/>
        <rFont val="Arial"/>
        <family val="2"/>
      </rPr>
      <t>23-24</t>
    </r>
    <r>
      <rPr>
        <sz val="10"/>
        <color indexed="8"/>
        <rFont val="宋体"/>
        <family val="3"/>
        <charset val="134"/>
      </rPr>
      <t>单元</t>
    </r>
  </si>
  <si>
    <t>青岛东卡环保工程技术有限公司</t>
  </si>
  <si>
    <r>
      <rPr>
        <sz val="10"/>
        <color indexed="8"/>
        <rFont val="Arial"/>
        <family val="2"/>
      </rPr>
      <t>6</t>
    </r>
    <r>
      <rPr>
        <sz val="10"/>
        <color indexed="8"/>
        <rFont val="宋体"/>
        <family val="3"/>
        <charset val="134"/>
      </rPr>
      <t>、</t>
    </r>
    <r>
      <rPr>
        <sz val="10"/>
        <color indexed="8"/>
        <rFont val="Arial"/>
        <family val="2"/>
      </rPr>
      <t>7</t>
    </r>
  </si>
  <si>
    <t>整层</t>
  </si>
  <si>
    <r>
      <rPr>
        <sz val="10"/>
        <rFont val="宋体"/>
        <family val="3"/>
        <charset val="134"/>
      </rPr>
      <t>北京英敦咨询有限责任公司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</si>
  <si>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</si>
  <si>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</si>
  <si>
    <r>
      <rPr>
        <sz val="10"/>
        <color indexed="8"/>
        <rFont val="Arial"/>
        <family val="2"/>
      </rPr>
      <t>03-04</t>
    </r>
    <r>
      <rPr>
        <sz val="10"/>
        <color indexed="8"/>
        <rFont val="宋体"/>
        <family val="3"/>
        <charset val="134"/>
      </rPr>
      <t>单元</t>
    </r>
  </si>
  <si>
    <r>
      <rPr>
        <sz val="10"/>
        <rFont val="宋体"/>
        <family val="3"/>
        <charset val="134"/>
      </rPr>
      <t>高磊</t>
    </r>
  </si>
  <si>
    <r>
      <rPr>
        <sz val="10"/>
        <color indexed="8"/>
        <rFont val="Arial"/>
        <family val="2"/>
      </rPr>
      <t>05-08</t>
    </r>
    <r>
      <rPr>
        <sz val="10"/>
        <color indexed="8"/>
        <rFont val="宋体"/>
        <family val="3"/>
        <charset val="134"/>
      </rPr>
      <t>单元</t>
    </r>
  </si>
  <si>
    <r>
      <rPr>
        <sz val="10"/>
        <rFont val="宋体"/>
        <family val="3"/>
        <charset val="134"/>
      </rPr>
      <t>北京贝奥兰电子商务有限公司</t>
    </r>
  </si>
  <si>
    <r>
      <rPr>
        <sz val="10"/>
        <color indexed="8"/>
        <rFont val="Arial"/>
        <family val="2"/>
      </rP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</si>
  <si>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</si>
  <si>
    <r>
      <rPr>
        <sz val="10"/>
        <color indexed="8"/>
        <rFont val="Arial"/>
        <family val="2"/>
      </rPr>
      <t>04-10</t>
    </r>
    <r>
      <rPr>
        <sz val="10"/>
        <color indexed="8"/>
        <rFont val="宋体"/>
        <family val="3"/>
        <charset val="134"/>
      </rPr>
      <t>单元</t>
    </r>
  </si>
  <si>
    <r>
      <rPr>
        <sz val="10"/>
        <rFont val="宋体"/>
        <family val="3"/>
        <charset val="134"/>
      </rPr>
      <t>北京海鑫高科指纹技术有限公司</t>
    </r>
  </si>
  <si>
    <r>
      <rPr>
        <sz val="10"/>
        <color indexed="8"/>
        <rFont val="Arial"/>
        <family val="2"/>
      </rPr>
      <t>02</t>
    </r>
    <r>
      <rPr>
        <sz val="10"/>
        <color indexed="8"/>
        <rFont val="宋体"/>
        <family val="3"/>
        <charset val="134"/>
      </rPr>
      <t>单元</t>
    </r>
  </si>
  <si>
    <r>
      <rPr>
        <sz val="10"/>
        <rFont val="宋体"/>
        <family val="3"/>
        <charset val="134"/>
      </rPr>
      <t>北京海华鑫安生物信息技术有限责任公司</t>
    </r>
  </si>
  <si>
    <r>
      <rPr>
        <sz val="10"/>
        <rFont val="宋体"/>
        <family val="3"/>
        <charset val="134"/>
      </rPr>
      <t>北京海鑫智圣技术有限公司</t>
    </r>
  </si>
  <si>
    <r>
      <rPr>
        <sz val="10"/>
        <color indexed="8"/>
        <rFont val="Arial"/>
        <family val="2"/>
      </rPr>
      <t>01-09</t>
    </r>
    <r>
      <rPr>
        <sz val="10"/>
        <color indexed="8"/>
        <rFont val="宋体"/>
        <family val="3"/>
        <charset val="134"/>
      </rPr>
      <t>、</t>
    </r>
    <r>
      <rPr>
        <sz val="10"/>
        <color indexed="8"/>
        <rFont val="Arial"/>
        <family val="2"/>
      </rPr>
      <t>12</t>
    </r>
    <r>
      <rPr>
        <sz val="10"/>
        <color indexed="8"/>
        <rFont val="宋体"/>
        <family val="3"/>
        <charset val="134"/>
      </rPr>
      <t>单元</t>
    </r>
  </si>
  <si>
    <r>
      <rPr>
        <sz val="10"/>
        <color indexed="8"/>
        <rFont val="Arial"/>
        <family val="2"/>
      </rPr>
      <t>10</t>
    </r>
    <r>
      <rPr>
        <sz val="10"/>
        <color indexed="8"/>
        <rFont val="宋体"/>
        <family val="3"/>
        <charset val="134"/>
      </rPr>
      <t>单元</t>
    </r>
  </si>
  <si>
    <r>
      <rPr>
        <sz val="10"/>
        <rFont val="宋体"/>
        <family val="3"/>
        <charset val="134"/>
      </rPr>
      <t>北京海鑫科金投资管理有限公司</t>
    </r>
  </si>
  <si>
    <r>
      <rPr>
        <sz val="10"/>
        <color indexed="8"/>
        <rFont val="Arial"/>
        <family val="2"/>
      </rPr>
      <t>11</t>
    </r>
    <r>
      <rPr>
        <sz val="10"/>
        <color indexed="8"/>
        <rFont val="宋体"/>
        <family val="3"/>
        <charset val="134"/>
      </rPr>
      <t>单元</t>
    </r>
  </si>
  <si>
    <r>
      <rPr>
        <sz val="10"/>
        <rFont val="宋体"/>
        <family val="3"/>
        <charset val="134"/>
      </rPr>
      <t>北京海证通科技有限公司</t>
    </r>
  </si>
  <si>
    <r>
      <rPr>
        <sz val="10"/>
        <color indexed="8"/>
        <rFont val="Arial"/>
        <family val="2"/>
      </rPr>
      <t>01-24</t>
    </r>
    <r>
      <rPr>
        <sz val="10"/>
        <color indexed="8"/>
        <rFont val="宋体"/>
        <family val="3"/>
        <charset val="134"/>
      </rPr>
      <t>单元</t>
    </r>
  </si>
  <si>
    <r>
      <rPr>
        <sz val="10"/>
        <color indexed="8"/>
        <rFont val="Arial"/>
        <family val="2"/>
      </rP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</si>
  <si>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</si>
  <si>
    <r>
      <rPr>
        <sz val="10"/>
        <rFont val="宋体"/>
        <family val="3"/>
        <charset val="134"/>
      </rPr>
      <t>中铁联运国储物流股份有限公司</t>
    </r>
  </si>
  <si>
    <r>
      <rPr>
        <sz val="10"/>
        <color indexed="8"/>
        <rFont val="Arial"/>
        <family val="2"/>
      </rPr>
      <t>07</t>
    </r>
    <r>
      <rPr>
        <sz val="10"/>
        <color indexed="8"/>
        <rFont val="宋体"/>
        <family val="3"/>
        <charset val="134"/>
      </rPr>
      <t>单元</t>
    </r>
  </si>
  <si>
    <r>
      <rPr>
        <sz val="10"/>
        <rFont val="宋体"/>
        <family val="3"/>
        <charset val="134"/>
      </rPr>
      <t>北京泽润工程技术有限公司</t>
    </r>
  </si>
  <si>
    <r>
      <rPr>
        <sz val="10"/>
        <color indexed="8"/>
        <rFont val="Arial"/>
        <family val="2"/>
      </rPr>
      <t>03-08</t>
    </r>
    <r>
      <rPr>
        <sz val="10"/>
        <color indexed="8"/>
        <rFont val="宋体"/>
        <family val="3"/>
        <charset val="134"/>
      </rPr>
      <t>单元</t>
    </r>
  </si>
  <si>
    <r>
      <rPr>
        <sz val="10"/>
        <rFont val="宋体"/>
        <family val="3"/>
        <charset val="134"/>
      </rPr>
      <t>徐静</t>
    </r>
  </si>
  <si>
    <t>01-02\09-12</t>
  </si>
  <si>
    <r>
      <rPr>
        <sz val="10"/>
        <rFont val="宋体"/>
        <family val="3"/>
        <charset val="134"/>
      </rPr>
      <t>哈尔滨新光光电科技有限公司</t>
    </r>
  </si>
  <si>
    <r>
      <rPr>
        <sz val="10"/>
        <rFont val="宋体"/>
        <family val="3"/>
        <charset val="134"/>
      </rPr>
      <t>京盟世纪（北京）科技有限公司</t>
    </r>
  </si>
  <si>
    <r>
      <rPr>
        <sz val="10"/>
        <color indexed="8"/>
        <rFont val="Arial"/>
        <family val="2"/>
      </rP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</si>
  <si>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</si>
  <si>
    <r>
      <rPr>
        <sz val="10"/>
        <rFont val="宋体"/>
        <family val="3"/>
        <charset val="134"/>
      </rPr>
      <t>北京一实天勤科技有限公司</t>
    </r>
  </si>
  <si>
    <r>
      <rPr>
        <sz val="10"/>
        <color indexed="8"/>
        <rFont val="Arial"/>
        <family val="2"/>
      </rPr>
      <t>21-23</t>
    </r>
    <r>
      <rPr>
        <sz val="10"/>
        <color indexed="8"/>
        <rFont val="宋体"/>
        <family val="3"/>
        <charset val="134"/>
      </rPr>
      <t>单元</t>
    </r>
  </si>
  <si>
    <r>
      <rPr>
        <sz val="10"/>
        <rFont val="宋体"/>
        <family val="3"/>
        <charset val="134"/>
      </rPr>
      <t>勤智（北京）科技有限公司</t>
    </r>
  </si>
  <si>
    <r>
      <rPr>
        <sz val="10"/>
        <color indexed="8"/>
        <rFont val="Arial"/>
        <family val="2"/>
      </rPr>
      <t>15</t>
    </r>
    <r>
      <rPr>
        <sz val="10"/>
        <color indexed="8"/>
        <rFont val="宋体"/>
        <family val="3"/>
        <charset val="134"/>
      </rPr>
      <t>单元</t>
    </r>
  </si>
  <si>
    <r>
      <rPr>
        <sz val="10"/>
        <rFont val="宋体"/>
        <family val="3"/>
        <charset val="134"/>
      </rPr>
      <t>全友管理顾问（上海）有限公司</t>
    </r>
  </si>
  <si>
    <r>
      <rPr>
        <sz val="10"/>
        <color indexed="8"/>
        <rFont val="Arial"/>
        <family val="2"/>
      </rP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</si>
  <si>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</si>
  <si>
    <r>
      <rPr>
        <sz val="10"/>
        <color indexed="8"/>
        <rFont val="Arial"/>
        <family val="2"/>
      </rPr>
      <t>01-10</t>
    </r>
    <r>
      <rPr>
        <sz val="10"/>
        <color indexed="8"/>
        <rFont val="宋体"/>
        <family val="3"/>
        <charset val="134"/>
      </rPr>
      <t>单元</t>
    </r>
  </si>
  <si>
    <r>
      <rPr>
        <sz val="10"/>
        <rFont val="宋体"/>
        <family val="3"/>
        <charset val="134"/>
      </rPr>
      <t>北京新兴华安智慧科技有限公司</t>
    </r>
  </si>
  <si>
    <r>
      <rPr>
        <sz val="10"/>
        <color indexed="8"/>
        <rFont val="Arial"/>
        <family val="2"/>
      </rP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</si>
  <si>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</si>
  <si>
    <r>
      <rPr>
        <sz val="10"/>
        <color indexed="8"/>
        <rFont val="Arial"/>
        <family val="2"/>
      </rPr>
      <t>13-14</t>
    </r>
    <r>
      <rPr>
        <sz val="10"/>
        <color indexed="8"/>
        <rFont val="宋体"/>
        <family val="3"/>
        <charset val="134"/>
      </rPr>
      <t>单元</t>
    </r>
  </si>
  <si>
    <r>
      <rPr>
        <sz val="10"/>
        <rFont val="宋体"/>
        <family val="3"/>
        <charset val="134"/>
      </rPr>
      <t>禾木（中国）生物工程有限公司</t>
    </r>
  </si>
  <si>
    <r>
      <rPr>
        <sz val="10"/>
        <color indexed="8"/>
        <rFont val="Arial"/>
        <family val="2"/>
      </rPr>
      <t>15-18</t>
    </r>
    <r>
      <rPr>
        <sz val="10"/>
        <color indexed="8"/>
        <rFont val="宋体"/>
        <family val="3"/>
        <charset val="134"/>
      </rPr>
      <t>单元</t>
    </r>
  </si>
  <si>
    <r>
      <rPr>
        <sz val="10"/>
        <rFont val="宋体"/>
        <family val="3"/>
        <charset val="134"/>
      </rPr>
      <t>上海东方龙商务咨询有限公司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</si>
  <si>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</si>
  <si>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</si>
  <si>
    <r>
      <rPr>
        <sz val="10"/>
        <rFont val="宋体"/>
        <family val="3"/>
        <charset val="134"/>
      </rPr>
      <t>掌膳（上海）科技股份有限公司</t>
    </r>
  </si>
  <si>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</si>
  <si>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</si>
  <si>
    <r>
      <rPr>
        <sz val="10"/>
        <rFont val="宋体"/>
        <family val="3"/>
        <charset val="134"/>
      </rPr>
      <t>曾碧云</t>
    </r>
  </si>
  <si>
    <r>
      <rPr>
        <sz val="10"/>
        <color indexed="8"/>
        <rFont val="Arial"/>
        <family val="2"/>
      </rP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</si>
  <si>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</si>
  <si>
    <r>
      <rPr>
        <sz val="10"/>
        <rFont val="宋体"/>
        <family val="3"/>
        <charset val="134"/>
      </rPr>
      <t>北京小崔时代信息服务有限公司</t>
    </r>
  </si>
  <si>
    <r>
      <rPr>
        <sz val="10"/>
        <rFont val="宋体"/>
        <family val="3"/>
        <charset val="134"/>
      </rPr>
      <t>宾肯科技（北京）有限公司</t>
    </r>
  </si>
  <si>
    <r>
      <rPr>
        <sz val="10"/>
        <rFont val="宋体"/>
        <family val="3"/>
        <charset val="134"/>
      </rPr>
      <t>中国电建集团租赁有限公司</t>
    </r>
  </si>
  <si>
    <r>
      <rPr>
        <sz val="10"/>
        <color indexed="8"/>
        <rFont val="Arial"/>
        <family val="2"/>
      </rPr>
      <t>2</t>
    </r>
    <r>
      <rPr>
        <sz val="10"/>
        <color indexed="8"/>
        <rFont val="宋体"/>
        <family val="3"/>
        <charset val="134"/>
      </rPr>
      <t>、</t>
    </r>
    <r>
      <rPr>
        <sz val="10"/>
        <color indexed="8"/>
        <rFont val="Arial"/>
        <family val="2"/>
      </rPr>
      <t>3</t>
    </r>
  </si>
  <si>
    <r>
      <rPr>
        <sz val="10"/>
        <rFont val="宋体"/>
        <family val="3"/>
        <charset val="134"/>
      </rPr>
      <t>中国电子科技网络信息安全有限公司</t>
    </r>
  </si>
  <si>
    <r>
      <rPr>
        <sz val="10"/>
        <rFont val="宋体"/>
        <family val="3"/>
        <charset val="134"/>
      </rPr>
      <t>北京志能祥赢节能环保科技股份有限公司</t>
    </r>
  </si>
  <si>
    <r>
      <rPr>
        <sz val="10"/>
        <rFont val="宋体"/>
        <family val="3"/>
        <charset val="134"/>
      </rPr>
      <t>北京荣丰房地产开发有限公司</t>
    </r>
  </si>
  <si>
    <r>
      <rPr>
        <sz val="10"/>
        <rFont val="宋体"/>
        <family val="3"/>
        <charset val="134"/>
      </rPr>
      <t>中核融资租赁有限公司</t>
    </r>
  </si>
  <si>
    <r>
      <rPr>
        <sz val="10"/>
        <rFont val="宋体"/>
        <family val="3"/>
        <charset val="134"/>
      </rPr>
      <t>北京同洲鼎兴咨询服务有限公司</t>
    </r>
  </si>
  <si>
    <r>
      <rPr>
        <sz val="10"/>
        <color indexed="8"/>
        <rFont val="Arial"/>
        <family val="2"/>
      </rPr>
      <t>04-05</t>
    </r>
    <r>
      <rPr>
        <sz val="10"/>
        <color indexed="8"/>
        <rFont val="宋体"/>
        <family val="3"/>
        <charset val="134"/>
      </rPr>
      <t>单元</t>
    </r>
  </si>
  <si>
    <t>上海岱嘉医学信息系统有限公司北京分公司</t>
  </si>
  <si>
    <r>
      <rPr>
        <sz val="10"/>
        <rFont val="宋体"/>
        <family val="3"/>
        <charset val="134"/>
      </rPr>
      <t>北京蝶禾谊安信息技术有限公司</t>
    </r>
  </si>
  <si>
    <r>
      <rPr>
        <sz val="10"/>
        <rFont val="宋体"/>
        <family val="3"/>
        <charset val="134"/>
      </rPr>
      <t>北京蝶和医疗科技有限公司</t>
    </r>
  </si>
  <si>
    <r>
      <rPr>
        <sz val="10"/>
        <color indexed="8"/>
        <rFont val="Arial"/>
        <family val="2"/>
      </rP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</si>
  <si>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</si>
  <si>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</si>
  <si>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</si>
  <si>
    <r>
      <rPr>
        <sz val="10"/>
        <color indexed="8"/>
        <rFont val="Arial"/>
        <family val="2"/>
      </rPr>
      <t>03</t>
    </r>
    <r>
      <rPr>
        <sz val="10"/>
        <color indexed="8"/>
        <rFont val="宋体"/>
        <family val="3"/>
        <charset val="134"/>
      </rPr>
      <t>单元</t>
    </r>
  </si>
  <si>
    <r>
      <rPr>
        <sz val="10"/>
        <rFont val="宋体"/>
        <family val="3"/>
        <charset val="134"/>
      </rPr>
      <t>普华电务（北京）科技有限公司</t>
    </r>
  </si>
  <si>
    <r>
      <rPr>
        <sz val="10"/>
        <color indexed="8"/>
        <rFont val="Arial"/>
        <family val="2"/>
      </rPr>
      <t>11-20</t>
    </r>
    <r>
      <rPr>
        <sz val="10"/>
        <color indexed="8"/>
        <rFont val="宋体"/>
        <family val="3"/>
        <charset val="134"/>
      </rPr>
      <t>单元</t>
    </r>
  </si>
  <si>
    <t>北京聚师网教育科技有限公司</t>
  </si>
  <si>
    <r>
      <rPr>
        <sz val="10"/>
        <color indexed="8"/>
        <rFont val="Arial"/>
        <family val="2"/>
      </rPr>
      <t>01-02</t>
    </r>
    <r>
      <rPr>
        <sz val="10"/>
        <color indexed="8"/>
        <rFont val="宋体"/>
        <family val="3"/>
        <charset val="134"/>
      </rPr>
      <t>单元</t>
    </r>
  </si>
  <si>
    <r>
      <rPr>
        <sz val="10"/>
        <rFont val="宋体"/>
        <family val="3"/>
        <charset val="134"/>
      </rPr>
      <t>杭州和兮科技有限公司</t>
    </r>
  </si>
  <si>
    <r>
      <rPr>
        <sz val="10"/>
        <rFont val="宋体"/>
        <family val="3"/>
        <charset val="134"/>
      </rPr>
      <t>北京世基和成房地产投资管理有限公司</t>
    </r>
  </si>
  <si>
    <r>
      <rPr>
        <sz val="10"/>
        <rFont val="宋体"/>
        <family val="3"/>
        <charset val="134"/>
      </rPr>
      <t>北京美灵盛世生物科技有限公司</t>
    </r>
  </si>
  <si>
    <r>
      <rPr>
        <sz val="10"/>
        <rFont val="宋体"/>
        <family val="3"/>
        <charset val="134"/>
      </rPr>
      <t>东风（武汉）工程咨询有限公司</t>
    </r>
  </si>
  <si>
    <r>
      <rPr>
        <sz val="10"/>
        <rFont val="宋体"/>
        <family val="3"/>
        <charset val="134"/>
      </rPr>
      <t>北京瑞塔联盟教育咨询有限公司</t>
    </r>
  </si>
  <si>
    <r>
      <rPr>
        <sz val="10"/>
        <rFont val="宋体"/>
        <family val="3"/>
        <charset val="134"/>
      </rPr>
      <t>北京国华新兴节能环保科技有限公司</t>
    </r>
  </si>
  <si>
    <r>
      <rPr>
        <sz val="10"/>
        <color indexed="8"/>
        <rFont val="Arial"/>
        <family val="2"/>
      </rP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</si>
  <si>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</si>
  <si>
    <r>
      <rPr>
        <sz val="10"/>
        <color indexed="8"/>
        <rFont val="Arial"/>
        <family val="2"/>
      </rPr>
      <t>04</t>
    </r>
    <r>
      <rPr>
        <sz val="10"/>
        <color indexed="8"/>
        <rFont val="宋体"/>
        <family val="3"/>
        <charset val="134"/>
      </rPr>
      <t>单元</t>
    </r>
  </si>
  <si>
    <r>
      <rPr>
        <sz val="10"/>
        <rFont val="宋体"/>
        <family val="3"/>
        <charset val="134"/>
      </rPr>
      <t>空网科技（北京）有限公司</t>
    </r>
  </si>
  <si>
    <r>
      <rPr>
        <sz val="10"/>
        <color indexed="8"/>
        <rFont val="Arial"/>
        <family val="2"/>
      </rP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</si>
  <si>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</si>
  <si>
    <r>
      <rPr>
        <sz val="10"/>
        <rFont val="宋体"/>
        <family val="3"/>
        <charset val="134"/>
      </rPr>
      <t>马文婷</t>
    </r>
  </si>
  <si>
    <r>
      <rPr>
        <sz val="10"/>
        <color theme="1"/>
        <rFont val="Arial"/>
        <family val="2"/>
      </rPr>
      <t>13-24</t>
    </r>
    <r>
      <rPr>
        <sz val="10"/>
        <color indexed="8"/>
        <rFont val="宋体"/>
        <family val="3"/>
        <charset val="134"/>
      </rPr>
      <t>单元</t>
    </r>
  </si>
  <si>
    <r>
      <rPr>
        <sz val="10"/>
        <rFont val="宋体"/>
        <family val="3"/>
        <charset val="134"/>
      </rPr>
      <t>北京聚师网教育科技有限公司</t>
    </r>
  </si>
  <si>
    <r>
      <rPr>
        <sz val="10"/>
        <rFont val="宋体"/>
        <family val="3"/>
        <charset val="134"/>
      </rPr>
      <t>北京中能诺泰节能环保技术有限责任公司</t>
    </r>
  </si>
  <si>
    <r>
      <rPr>
        <sz val="10"/>
        <color indexed="8"/>
        <rFont val="Arial"/>
        <family val="2"/>
      </rPr>
      <t>15-20</t>
    </r>
    <r>
      <rPr>
        <sz val="10"/>
        <color indexed="8"/>
        <rFont val="宋体"/>
        <family val="3"/>
        <charset val="134"/>
      </rPr>
      <t>单元</t>
    </r>
  </si>
  <si>
    <r>
      <rPr>
        <sz val="10"/>
        <rFont val="宋体"/>
        <family val="3"/>
        <charset val="134"/>
      </rPr>
      <t>北京京投银泰置业有限公司</t>
    </r>
  </si>
  <si>
    <r>
      <rPr>
        <sz val="10"/>
        <color indexed="8"/>
        <rFont val="Arial"/>
        <family val="2"/>
      </rP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</si>
  <si>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</si>
  <si>
    <r>
      <rPr>
        <sz val="10"/>
        <color indexed="8"/>
        <rFont val="Arial"/>
        <family val="2"/>
      </rP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</si>
  <si>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</si>
  <si>
    <r>
      <rPr>
        <sz val="10"/>
        <color indexed="8"/>
        <rFont val="Arial"/>
        <family val="2"/>
      </rP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</si>
  <si>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</si>
  <si>
    <r>
      <rPr>
        <sz val="10"/>
        <rFont val="宋体"/>
        <family val="3"/>
        <charset val="134"/>
      </rPr>
      <t>北京正力润成环保设备有限公司</t>
    </r>
  </si>
  <si>
    <r>
      <rPr>
        <sz val="10"/>
        <color indexed="8"/>
        <rFont val="Arial"/>
        <family val="2"/>
      </rPr>
      <t>16-19</t>
    </r>
    <r>
      <rPr>
        <sz val="10"/>
        <color indexed="8"/>
        <rFont val="宋体"/>
        <family val="3"/>
        <charset val="134"/>
      </rPr>
      <t>单元</t>
    </r>
  </si>
  <si>
    <r>
      <rPr>
        <sz val="10"/>
        <rFont val="宋体"/>
        <family val="3"/>
        <charset val="134"/>
      </rPr>
      <t>贺之安（北京）科技有限公司</t>
    </r>
  </si>
  <si>
    <r>
      <rPr>
        <sz val="10"/>
        <rFont val="宋体"/>
        <family val="3"/>
        <charset val="134"/>
      </rPr>
      <t>中邮世纪（北京）通信技术有限公司</t>
    </r>
  </si>
  <si>
    <r>
      <rPr>
        <sz val="10"/>
        <color theme="1"/>
        <rFont val="Arial"/>
        <family val="2"/>
      </rPr>
      <t>13-21</t>
    </r>
    <r>
      <rPr>
        <sz val="10"/>
        <color indexed="8"/>
        <rFont val="宋体"/>
        <family val="3"/>
        <charset val="134"/>
      </rPr>
      <t>单元</t>
    </r>
  </si>
  <si>
    <r>
      <rPr>
        <sz val="10"/>
        <rFont val="宋体"/>
        <family val="3"/>
        <charset val="134"/>
      </rPr>
      <t>北京新松建筑设计研究院有限公司</t>
    </r>
  </si>
  <si>
    <r>
      <rPr>
        <sz val="10"/>
        <color theme="1"/>
        <rFont val="Arial"/>
        <family val="2"/>
      </rPr>
      <t>24</t>
    </r>
    <r>
      <rPr>
        <sz val="10"/>
        <color indexed="8"/>
        <rFont val="宋体"/>
        <family val="3"/>
        <charset val="134"/>
      </rPr>
      <t>单元</t>
    </r>
  </si>
  <si>
    <r>
      <rPr>
        <sz val="10"/>
        <rFont val="宋体"/>
        <family val="3"/>
        <charset val="134"/>
      </rPr>
      <t>北京恒益永安投资有限公司</t>
    </r>
  </si>
  <si>
    <r>
      <rPr>
        <sz val="10"/>
        <color theme="1"/>
        <rFont val="Arial"/>
        <family val="2"/>
      </rPr>
      <t>22</t>
    </r>
    <r>
      <rPr>
        <sz val="10"/>
        <color indexed="8"/>
        <rFont val="宋体"/>
        <family val="3"/>
        <charset val="134"/>
      </rPr>
      <t>单元</t>
    </r>
  </si>
  <si>
    <r>
      <rPr>
        <sz val="10"/>
        <rFont val="宋体"/>
        <family val="3"/>
        <charset val="134"/>
      </rPr>
      <t>北京瑞泰丽斯健康管理有限公司</t>
    </r>
  </si>
  <si>
    <r>
      <rPr>
        <sz val="10"/>
        <color theme="1"/>
        <rFont val="Arial"/>
        <family val="2"/>
      </rPr>
      <t>23</t>
    </r>
    <r>
      <rPr>
        <sz val="10"/>
        <color indexed="8"/>
        <rFont val="宋体"/>
        <family val="3"/>
        <charset val="134"/>
      </rPr>
      <t>单元</t>
    </r>
  </si>
  <si>
    <r>
      <rPr>
        <sz val="10"/>
        <rFont val="宋体"/>
        <family val="3"/>
        <charset val="134"/>
      </rPr>
      <t>北京智远天成投资有限公司</t>
    </r>
  </si>
  <si>
    <r>
      <rPr>
        <sz val="10"/>
        <rFont val="宋体"/>
        <family val="3"/>
        <charset val="134"/>
      </rPr>
      <t>北京鹏翔伟业科技有限公司</t>
    </r>
  </si>
  <si>
    <r>
      <rPr>
        <sz val="10"/>
        <color indexed="8"/>
        <rFont val="Arial"/>
        <family val="2"/>
      </rPr>
      <t>13-24</t>
    </r>
    <r>
      <rPr>
        <sz val="10"/>
        <color indexed="8"/>
        <rFont val="宋体"/>
        <family val="3"/>
        <charset val="134"/>
      </rPr>
      <t>单元</t>
    </r>
  </si>
  <si>
    <r>
      <rPr>
        <sz val="10"/>
        <rFont val="宋体"/>
        <family val="3"/>
        <charset val="134"/>
      </rPr>
      <t>信翼在心（北京）科技有限公司</t>
    </r>
  </si>
  <si>
    <r>
      <rPr>
        <sz val="10"/>
        <rFont val="宋体"/>
        <family val="3"/>
        <charset val="134"/>
      </rPr>
      <t>哈尔滨德诚智房地产开发有限责任公司</t>
    </r>
  </si>
  <si>
    <r>
      <rPr>
        <sz val="10"/>
        <rFont val="宋体"/>
        <family val="3"/>
        <charset val="134"/>
      </rPr>
      <t>亚马逊（中国）投资有限公司</t>
    </r>
  </si>
  <si>
    <t>整栋</t>
  </si>
  <si>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</si>
  <si>
    <r>
      <rPr>
        <sz val="10"/>
        <color indexed="8"/>
        <rFont val="Arial"/>
        <family val="2"/>
      </rP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</si>
  <si>
    <r>
      <rPr>
        <sz val="10"/>
        <rFont val="宋体"/>
        <family val="3"/>
        <charset val="134"/>
      </rPr>
      <t>亚马逊卓越有限公司</t>
    </r>
  </si>
  <si>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</si>
  <si>
    <r>
      <rPr>
        <sz val="10"/>
        <rFont val="宋体"/>
        <family val="3"/>
        <charset val="134"/>
      </rPr>
      <t>北京世纪卓越信息技术有限公司</t>
    </r>
  </si>
  <si>
    <t>北京飞渡科技有限公司</t>
  </si>
  <si>
    <r>
      <rPr>
        <sz val="10"/>
        <color indexed="8"/>
        <rFont val="Arial"/>
        <family val="2"/>
      </rPr>
      <t>08-09</t>
    </r>
    <r>
      <rPr>
        <sz val="10"/>
        <color indexed="8"/>
        <rFont val="宋体"/>
        <family val="3"/>
        <charset val="134"/>
      </rPr>
      <t>单元</t>
    </r>
  </si>
  <si>
    <t>上海中智医疗器械有限公司</t>
  </si>
  <si>
    <r>
      <rPr>
        <sz val="10"/>
        <color indexed="8"/>
        <rFont val="Arial"/>
        <family val="2"/>
      </rPr>
      <t>11-12/19-20</t>
    </r>
    <r>
      <rPr>
        <sz val="10"/>
        <color indexed="8"/>
        <rFont val="宋体"/>
        <family val="3"/>
        <charset val="134"/>
      </rPr>
      <t>单元</t>
    </r>
  </si>
  <si>
    <t>凯希能源科技（北京）有限公司</t>
  </si>
  <si>
    <r>
      <rPr>
        <sz val="10"/>
        <color indexed="8"/>
        <rFont val="Arial"/>
        <family val="2"/>
      </rPr>
      <t>08-10</t>
    </r>
    <r>
      <rPr>
        <sz val="10"/>
        <color indexed="8"/>
        <rFont val="宋体"/>
        <family val="3"/>
        <charset val="134"/>
      </rPr>
      <t>单元</t>
    </r>
  </si>
  <si>
    <t>北京瑞标科技有限公司</t>
  </si>
  <si>
    <t>天业广成文化创意（北京）有限公司</t>
  </si>
  <si>
    <r>
      <rPr>
        <sz val="10"/>
        <color indexed="8"/>
        <rFont val="Arial"/>
        <family val="2"/>
      </rPr>
      <t>24</t>
    </r>
    <r>
      <rPr>
        <sz val="10"/>
        <color indexed="8"/>
        <rFont val="宋体"/>
        <family val="3"/>
        <charset val="134"/>
      </rPr>
      <t>单元</t>
    </r>
  </si>
  <si>
    <t>北京悦博新天知识产权代理有限公司</t>
  </si>
  <si>
    <r>
      <rPr>
        <sz val="10"/>
        <color indexed="8"/>
        <rFont val="Arial"/>
        <family val="2"/>
      </rPr>
      <t>7</t>
    </r>
    <r>
      <rPr>
        <sz val="10"/>
        <color indexed="8"/>
        <rFont val="宋体"/>
        <family val="3"/>
        <charset val="134"/>
      </rPr>
      <t>、</t>
    </r>
    <r>
      <rPr>
        <sz val="10"/>
        <color indexed="8"/>
        <rFont val="Arial"/>
        <family val="2"/>
      </rPr>
      <t>8</t>
    </r>
  </si>
  <si>
    <r>
      <rPr>
        <sz val="10"/>
        <color indexed="8"/>
        <rFont val="Arial"/>
        <family val="2"/>
      </rP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</si>
  <si>
    <t>中国水电建设集团新能源开发有限责任公司</t>
  </si>
  <si>
    <r>
      <rPr>
        <sz val="10"/>
        <color indexed="8"/>
        <rFont val="Arial"/>
        <family val="2"/>
      </rPr>
      <t>4M4-</t>
    </r>
    <r>
      <rPr>
        <sz val="10"/>
        <color indexed="8"/>
        <rFont val="宋体"/>
        <family val="3"/>
        <charset val="134"/>
      </rPr>
      <t>（</t>
    </r>
    <r>
      <rPr>
        <sz val="10"/>
        <color indexed="8"/>
        <rFont val="Arial"/>
        <family val="2"/>
      </rPr>
      <t>2A/3A/4A</t>
    </r>
    <r>
      <rPr>
        <sz val="10"/>
        <color indexed="8"/>
        <rFont val="宋体"/>
        <family val="3"/>
        <charset val="134"/>
      </rPr>
      <t>）</t>
    </r>
  </si>
  <si>
    <t>北京艾尚智美科技有限公司</t>
  </si>
  <si>
    <r>
      <rPr>
        <sz val="10"/>
        <color indexed="8"/>
        <rFont val="Arial"/>
        <family val="2"/>
      </rPr>
      <t>4M4-</t>
    </r>
    <r>
      <rPr>
        <sz val="10"/>
        <color indexed="8"/>
        <rFont val="宋体"/>
        <family val="3"/>
        <charset val="134"/>
      </rPr>
      <t>（</t>
    </r>
    <r>
      <rPr>
        <sz val="10"/>
        <color indexed="8"/>
        <rFont val="Arial"/>
        <family val="2"/>
      </rPr>
      <t>1A</t>
    </r>
    <r>
      <rPr>
        <sz val="10"/>
        <color indexed="8"/>
        <rFont val="宋体"/>
        <family val="3"/>
        <charset val="134"/>
      </rPr>
      <t>）</t>
    </r>
  </si>
  <si>
    <t>北京益百科技有限公司</t>
  </si>
  <si>
    <t>中建亚泰消防技术（北京）有限公司</t>
  </si>
  <si>
    <r>
      <rPr>
        <sz val="10"/>
        <rFont val="宋体"/>
        <family val="3"/>
        <charset val="134"/>
      </rPr>
      <t>中安华太消防工程（北京）有限公司</t>
    </r>
  </si>
  <si>
    <r>
      <rPr>
        <sz val="10"/>
        <color indexed="8"/>
        <rFont val="Arial"/>
        <family val="2"/>
      </rPr>
      <t>M</t>
    </r>
    <r>
      <rPr>
        <sz val="10"/>
        <color indexed="8"/>
        <rFont val="宋体"/>
        <family val="3"/>
        <charset val="134"/>
      </rPr>
      <t>层、</t>
    </r>
    <r>
      <rPr>
        <sz val="10"/>
        <color indexed="8"/>
        <rFont val="Arial"/>
        <family val="2"/>
      </rPr>
      <t>2-9</t>
    </r>
    <r>
      <rPr>
        <sz val="10"/>
        <color indexed="8"/>
        <rFont val="宋体"/>
        <family val="3"/>
        <charset val="134"/>
      </rPr>
      <t>层</t>
    </r>
  </si>
  <si>
    <r>
      <rPr>
        <sz val="10"/>
        <rFont val="宋体"/>
        <family val="3"/>
        <charset val="134"/>
      </rPr>
      <t>卓望信息技术（北京）有限公司</t>
    </r>
  </si>
  <si>
    <t>汉喜普泰（北京）医院投资管理有限公司</t>
  </si>
  <si>
    <t>北京三六零健康管理有限公司</t>
  </si>
  <si>
    <r>
      <rPr>
        <sz val="10"/>
        <color indexed="8"/>
        <rFont val="Arial"/>
        <family val="2"/>
      </rPr>
      <t>13</t>
    </r>
    <r>
      <rPr>
        <sz val="10"/>
        <color indexed="8"/>
        <rFont val="宋体"/>
        <family val="3"/>
        <charset val="134"/>
      </rPr>
      <t>、</t>
    </r>
    <r>
      <rPr>
        <sz val="10"/>
        <color indexed="8"/>
        <rFont val="Arial"/>
        <family val="2"/>
      </rPr>
      <t>24</t>
    </r>
    <r>
      <rPr>
        <sz val="10"/>
        <color indexed="8"/>
        <rFont val="宋体"/>
        <family val="3"/>
        <charset val="134"/>
      </rPr>
      <t>单元</t>
    </r>
  </si>
  <si>
    <t>北京市创世宏景专利商标代理有限责任公司</t>
  </si>
  <si>
    <t>科园信海（北京）医疗用品贸易有限公司</t>
  </si>
  <si>
    <t>中国电建集团租赁有限公司</t>
  </si>
  <si>
    <r>
      <rPr>
        <sz val="10"/>
        <color indexed="8"/>
        <rFont val="Arial"/>
        <family val="2"/>
      </rPr>
      <t>04</t>
    </r>
    <r>
      <rPr>
        <sz val="10"/>
        <color indexed="8"/>
        <rFont val="宋体"/>
        <family val="3"/>
        <charset val="134"/>
      </rPr>
      <t>、</t>
    </r>
    <r>
      <rPr>
        <sz val="10"/>
        <color indexed="8"/>
        <rFont val="Arial"/>
        <family val="2"/>
      </rPr>
      <t>05</t>
    </r>
    <r>
      <rPr>
        <sz val="10"/>
        <color indexed="8"/>
        <rFont val="宋体"/>
        <family val="3"/>
        <charset val="134"/>
      </rPr>
      <t>单元</t>
    </r>
  </si>
  <si>
    <t>山东永固结构集团有限公司</t>
  </si>
  <si>
    <r>
      <rPr>
        <sz val="10"/>
        <color indexed="8"/>
        <rFont val="Arial"/>
        <family val="2"/>
      </rPr>
      <t>14</t>
    </r>
    <r>
      <rPr>
        <sz val="10"/>
        <color indexed="8"/>
        <rFont val="宋体"/>
        <family val="3"/>
        <charset val="134"/>
      </rPr>
      <t>单元</t>
    </r>
  </si>
  <si>
    <t>赵宏科</t>
  </si>
  <si>
    <r>
      <rPr>
        <sz val="10"/>
        <color indexed="8"/>
        <rFont val="Arial"/>
        <family val="2"/>
      </rPr>
      <t>13-15</t>
    </r>
    <r>
      <rPr>
        <sz val="10"/>
        <color indexed="8"/>
        <rFont val="宋体"/>
        <family val="3"/>
        <charset val="134"/>
      </rPr>
      <t>、</t>
    </r>
    <r>
      <rPr>
        <sz val="10"/>
        <color indexed="8"/>
        <rFont val="Arial"/>
        <family val="2"/>
      </rPr>
      <t>23-24</t>
    </r>
    <r>
      <rPr>
        <sz val="10"/>
        <color indexed="8"/>
        <rFont val="宋体"/>
        <family val="3"/>
        <charset val="134"/>
      </rPr>
      <t>单元</t>
    </r>
  </si>
  <si>
    <t>汪涛</t>
  </si>
  <si>
    <t>北京金士来企业管理咨询有限公司</t>
  </si>
  <si>
    <r>
      <rPr>
        <sz val="10"/>
        <color indexed="8"/>
        <rFont val="Arial"/>
        <family val="2"/>
      </rPr>
      <t>13-14</t>
    </r>
    <r>
      <rPr>
        <sz val="10"/>
        <color indexed="8"/>
        <rFont val="宋体"/>
        <family val="3"/>
        <charset val="134"/>
      </rPr>
      <t>、</t>
    </r>
    <r>
      <rPr>
        <sz val="10"/>
        <color indexed="8"/>
        <rFont val="Arial"/>
        <family val="2"/>
      </rPr>
      <t>20</t>
    </r>
    <r>
      <rPr>
        <sz val="10"/>
        <color indexed="8"/>
        <rFont val="宋体"/>
        <family val="3"/>
        <charset val="134"/>
      </rPr>
      <t>单元</t>
    </r>
  </si>
  <si>
    <t>北京淘题啦科技有限公司</t>
  </si>
  <si>
    <r>
      <rPr>
        <sz val="10"/>
        <color indexed="8"/>
        <rFont val="Arial"/>
        <family val="2"/>
      </rPr>
      <t>16-19</t>
    </r>
    <r>
      <rPr>
        <sz val="10"/>
        <color indexed="8"/>
        <rFont val="宋体"/>
        <family val="3"/>
        <charset val="134"/>
      </rPr>
      <t>、</t>
    </r>
    <r>
      <rPr>
        <sz val="10"/>
        <color indexed="8"/>
        <rFont val="Arial"/>
        <family val="2"/>
      </rPr>
      <t>21</t>
    </r>
    <r>
      <rPr>
        <sz val="10"/>
        <color indexed="8"/>
        <rFont val="宋体"/>
        <family val="3"/>
        <charset val="134"/>
      </rPr>
      <t>单元</t>
    </r>
  </si>
  <si>
    <t>北京网学时代教育科技有限责任公司</t>
  </si>
  <si>
    <r>
      <rPr>
        <sz val="10"/>
        <color indexed="8"/>
        <rFont val="Arial"/>
        <family val="2"/>
      </rPr>
      <t>07-08</t>
    </r>
    <r>
      <rPr>
        <sz val="10"/>
        <color indexed="8"/>
        <rFont val="宋体"/>
        <family val="3"/>
        <charset val="134"/>
      </rPr>
      <t>单元</t>
    </r>
  </si>
  <si>
    <t>上药科园信海医药有限公司</t>
  </si>
  <si>
    <r>
      <rPr>
        <sz val="10"/>
        <color indexed="8"/>
        <rFont val="Arial"/>
        <family val="2"/>
      </rPr>
      <t>01-03</t>
    </r>
    <r>
      <rPr>
        <sz val="10"/>
        <color indexed="8"/>
        <rFont val="宋体"/>
        <family val="3"/>
        <charset val="134"/>
      </rPr>
      <t>、</t>
    </r>
    <r>
      <rPr>
        <sz val="10"/>
        <color indexed="8"/>
        <rFont val="Arial"/>
        <family val="2"/>
      </rPr>
      <t>10</t>
    </r>
    <r>
      <rPr>
        <sz val="10"/>
        <color indexed="8"/>
        <rFont val="宋体"/>
        <family val="3"/>
        <charset val="134"/>
      </rPr>
      <t>单元</t>
    </r>
  </si>
  <si>
    <r>
      <rPr>
        <sz val="10"/>
        <rFont val="宋体"/>
        <family val="3"/>
        <charset val="134"/>
      </rPr>
      <t>桑珠孜区德琴3</t>
    </r>
    <r>
      <rPr>
        <sz val="10"/>
        <rFont val="宋体"/>
        <family val="3"/>
        <charset val="134"/>
      </rPr>
      <t>900庄园有限公司</t>
    </r>
  </si>
  <si>
    <t>中关村科技园区丰台园管理委员会</t>
  </si>
  <si>
    <t>天涯若比邻（杭州）网络科技有限公司</t>
  </si>
  <si>
    <t>上海七圣网络科技有限公司</t>
  </si>
  <si>
    <t>北京云校大数据技术研究院</t>
  </si>
  <si>
    <t>7/8</t>
  </si>
  <si>
    <r>
      <rPr>
        <sz val="10"/>
        <color indexed="8"/>
        <rFont val="Arial"/>
        <family val="2"/>
      </rP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</si>
  <si>
    <t>云校（北京）科技有限公司</t>
  </si>
  <si>
    <t>云校（北京）文化发展有限公司</t>
  </si>
  <si>
    <t>国能天创（北京）商贸有限公司</t>
  </si>
  <si>
    <r>
      <rPr>
        <sz val="10"/>
        <color indexed="8"/>
        <rFont val="Arial"/>
        <family val="2"/>
      </rPr>
      <t>02-10</t>
    </r>
    <r>
      <rPr>
        <sz val="10"/>
        <color indexed="8"/>
        <rFont val="宋体"/>
        <family val="3"/>
        <charset val="134"/>
      </rPr>
      <t>单元</t>
    </r>
  </si>
  <si>
    <t>中电科（北京）网络信息安全有限公司</t>
  </si>
  <si>
    <t>成都卫士通信息产业股份有限公司</t>
  </si>
  <si>
    <t>贵昌科技（北京）有限公司</t>
  </si>
  <si>
    <r>
      <rPr>
        <sz val="10"/>
        <rFont val="宋体"/>
        <family val="3"/>
        <charset val="134"/>
      </rPr>
      <t>北京金露文化</t>
    </r>
    <r>
      <rPr>
        <sz val="10"/>
        <rFont val="宋体"/>
        <family val="3"/>
        <charset val="134"/>
      </rPr>
      <t>发展有限公司</t>
    </r>
  </si>
  <si>
    <r>
      <rPr>
        <sz val="10"/>
        <color indexed="8"/>
        <rFont val="Arial"/>
        <family val="2"/>
      </rPr>
      <t>01-03</t>
    </r>
    <r>
      <rPr>
        <sz val="10"/>
        <color indexed="8"/>
        <rFont val="宋体"/>
        <family val="3"/>
        <charset val="134"/>
      </rPr>
      <t>、</t>
    </r>
    <r>
      <rPr>
        <sz val="10"/>
        <color indexed="8"/>
        <rFont val="Arial"/>
        <family val="2"/>
      </rPr>
      <t>10-12</t>
    </r>
    <r>
      <rPr>
        <sz val="10"/>
        <color indexed="8"/>
        <rFont val="宋体"/>
        <family val="3"/>
        <charset val="134"/>
      </rPr>
      <t>单元</t>
    </r>
  </si>
  <si>
    <t>东风(武汉）工程咨询有限公司</t>
  </si>
  <si>
    <r>
      <rPr>
        <sz val="10"/>
        <color indexed="8"/>
        <rFont val="Arial"/>
        <family val="2"/>
      </rPr>
      <t>05-08</t>
    </r>
    <r>
      <rPr>
        <sz val="11"/>
        <color indexed="8"/>
        <rFont val="宋体"/>
        <family val="3"/>
        <charset val="134"/>
      </rPr>
      <t>单元</t>
    </r>
  </si>
  <si>
    <t>娄枕岳</t>
  </si>
  <si>
    <t>江苏锦程航空科技有限公司</t>
  </si>
  <si>
    <r>
      <rPr>
        <sz val="10"/>
        <color indexed="8"/>
        <rFont val="Arial"/>
        <family val="2"/>
      </rPr>
      <t>16-20</t>
    </r>
    <r>
      <rPr>
        <sz val="10"/>
        <color indexed="8"/>
        <rFont val="宋体"/>
        <family val="3"/>
        <charset val="134"/>
      </rPr>
      <t>单元</t>
    </r>
  </si>
  <si>
    <t>北京瑞普华养老企业管理有限公司</t>
  </si>
  <si>
    <t>新疆中电建新能源供电有限公司</t>
  </si>
  <si>
    <r>
      <rPr>
        <sz val="10"/>
        <color indexed="8"/>
        <rFont val="Arial"/>
        <family val="2"/>
      </rPr>
      <t>03-06</t>
    </r>
    <r>
      <rPr>
        <sz val="10"/>
        <color indexed="8"/>
        <rFont val="宋体"/>
        <family val="3"/>
        <charset val="134"/>
      </rPr>
      <t>单元</t>
    </r>
  </si>
  <si>
    <t>北京智慧兄弟科技有限公司</t>
  </si>
  <si>
    <r>
      <rPr>
        <sz val="10"/>
        <color indexed="8"/>
        <rFont val="Arial"/>
        <family val="2"/>
      </rPr>
      <t>01-02</t>
    </r>
    <r>
      <rPr>
        <sz val="10"/>
        <color indexed="8"/>
        <rFont val="宋体"/>
        <family val="3"/>
        <charset val="134"/>
      </rPr>
      <t>、</t>
    </r>
    <r>
      <rPr>
        <sz val="10"/>
        <color indexed="8"/>
        <rFont val="Arial"/>
        <family val="2"/>
      </rPr>
      <t>07-12</t>
    </r>
    <r>
      <rPr>
        <sz val="10"/>
        <color indexed="8"/>
        <rFont val="宋体"/>
        <family val="3"/>
        <charset val="134"/>
      </rPr>
      <t>单元</t>
    </r>
  </si>
  <si>
    <t>北京新松融通机器人科技有限公司</t>
  </si>
  <si>
    <r>
      <rPr>
        <sz val="10"/>
        <color indexed="8"/>
        <rFont val="Arial"/>
        <family val="2"/>
      </rPr>
      <t>01-04</t>
    </r>
    <r>
      <rPr>
        <sz val="10"/>
        <color indexed="8"/>
        <rFont val="宋体"/>
        <family val="3"/>
        <charset val="134"/>
      </rPr>
      <t>、</t>
    </r>
    <r>
      <rPr>
        <sz val="10"/>
        <color indexed="8"/>
        <rFont val="Arial"/>
        <family val="2"/>
      </rPr>
      <t>10-12</t>
    </r>
    <r>
      <rPr>
        <sz val="10"/>
        <color indexed="8"/>
        <rFont val="宋体"/>
        <family val="3"/>
        <charset val="134"/>
      </rPr>
      <t>单元</t>
    </r>
  </si>
  <si>
    <t>北京康高特仪器设备有限公司</t>
  </si>
  <si>
    <t>刁亚琼</t>
  </si>
  <si>
    <r>
      <rPr>
        <sz val="10"/>
        <color indexed="8"/>
        <rFont val="Arial"/>
        <family val="2"/>
      </rPr>
      <t>22-23</t>
    </r>
    <r>
      <rPr>
        <sz val="10"/>
        <color indexed="8"/>
        <rFont val="宋体"/>
        <family val="3"/>
        <charset val="134"/>
      </rPr>
      <t>单元</t>
    </r>
  </si>
  <si>
    <t>中国电子商会</t>
  </si>
  <si>
    <t>北京思泰律师事务所</t>
  </si>
  <si>
    <r>
      <rPr>
        <sz val="10"/>
        <color indexed="8"/>
        <rFont val="Arial"/>
        <family val="2"/>
      </rPr>
      <t>16-24</t>
    </r>
    <r>
      <rPr>
        <sz val="10"/>
        <color indexed="8"/>
        <rFont val="宋体"/>
        <family val="3"/>
        <charset val="134"/>
      </rPr>
      <t>单元</t>
    </r>
  </si>
  <si>
    <t>北京思泰工程咨询有限公司</t>
  </si>
  <si>
    <r>
      <rPr>
        <sz val="10"/>
        <color indexed="8"/>
        <rFont val="Arial"/>
        <family val="2"/>
      </rPr>
      <t>13</t>
    </r>
    <r>
      <rPr>
        <sz val="10"/>
        <color indexed="8"/>
        <rFont val="宋体"/>
        <family val="3"/>
        <charset val="134"/>
      </rPr>
      <t>单元</t>
    </r>
  </si>
  <si>
    <t>北京广泰联合科技有限公司</t>
  </si>
  <si>
    <t>北京中财视点绩效评估咨询有限公司</t>
  </si>
  <si>
    <t>中寰华艺影业（北京）有限公司</t>
  </si>
  <si>
    <r>
      <rPr>
        <sz val="10"/>
        <color indexed="8"/>
        <rFont val="Arial"/>
        <family val="2"/>
      </rPr>
      <t>05-06</t>
    </r>
    <r>
      <rPr>
        <sz val="10"/>
        <color indexed="8"/>
        <rFont val="宋体"/>
        <family val="3"/>
        <charset val="134"/>
      </rPr>
      <t>、</t>
    </r>
    <r>
      <rPr>
        <sz val="10"/>
        <color indexed="8"/>
        <rFont val="Arial"/>
        <family val="2"/>
      </rPr>
      <t>11-12</t>
    </r>
    <r>
      <rPr>
        <sz val="10"/>
        <color indexed="8"/>
        <rFont val="宋体"/>
        <family val="3"/>
        <charset val="134"/>
      </rPr>
      <t>单元</t>
    </r>
  </si>
  <si>
    <t>中电科网络空间安全研究院有限公司</t>
  </si>
  <si>
    <t>北京睿烁教育咨询股份有限公司</t>
  </si>
  <si>
    <r>
      <rPr>
        <sz val="10"/>
        <color indexed="8"/>
        <rFont val="Arial"/>
        <family val="2"/>
      </rPr>
      <t>13-21</t>
    </r>
    <r>
      <rPr>
        <sz val="10"/>
        <color indexed="8"/>
        <rFont val="宋体"/>
        <family val="3"/>
        <charset val="134"/>
      </rPr>
      <t>、</t>
    </r>
    <r>
      <rPr>
        <sz val="10"/>
        <color indexed="8"/>
        <rFont val="Arial"/>
        <family val="2"/>
      </rPr>
      <t>24</t>
    </r>
    <r>
      <rPr>
        <sz val="10"/>
        <color indexed="8"/>
        <rFont val="宋体"/>
        <family val="3"/>
        <charset val="134"/>
      </rPr>
      <t>单元</t>
    </r>
  </si>
  <si>
    <t>五岳尚水（北京）科技有限公司</t>
  </si>
  <si>
    <t>海峡联合保险经纪（北京）有限责任公司</t>
  </si>
  <si>
    <r>
      <rPr>
        <sz val="10"/>
        <color indexed="8"/>
        <rFont val="宋体"/>
        <family val="3"/>
        <charset val="134"/>
      </rPr>
      <t>地下</t>
    </r>
    <r>
      <rPr>
        <sz val="10"/>
        <color indexed="8"/>
        <rFont val="Arial"/>
        <family val="2"/>
      </rPr>
      <t>1</t>
    </r>
  </si>
  <si>
    <r>
      <rPr>
        <sz val="10"/>
        <color indexed="8"/>
        <rFont val="Arial"/>
        <family val="2"/>
      </rPr>
      <t>03-04</t>
    </r>
    <r>
      <rPr>
        <sz val="10"/>
        <color indexed="8"/>
        <rFont val="宋体"/>
        <family val="3"/>
        <charset val="134"/>
      </rPr>
      <t>、</t>
    </r>
    <r>
      <rPr>
        <sz val="10"/>
        <color indexed="8"/>
        <rFont val="Arial"/>
        <family val="2"/>
      </rPr>
      <t>09-10</t>
    </r>
    <r>
      <rPr>
        <sz val="10"/>
        <color indexed="8"/>
        <rFont val="宋体"/>
        <family val="3"/>
        <charset val="134"/>
      </rPr>
      <t>单元</t>
    </r>
  </si>
  <si>
    <t>北京阮思乔律师事务所</t>
  </si>
  <si>
    <r>
      <rPr>
        <sz val="10"/>
        <color indexed="8"/>
        <rFont val="Arial"/>
        <family val="2"/>
      </rPr>
      <t>01-04</t>
    </r>
    <r>
      <rPr>
        <sz val="10"/>
        <color indexed="8"/>
        <rFont val="宋体"/>
        <family val="3"/>
        <charset val="134"/>
      </rPr>
      <t>单元</t>
    </r>
  </si>
  <si>
    <t>北京维卓致远医疗科技发展有限责任公司</t>
  </si>
  <si>
    <t>北京吉安乐富商贸有限责任公司</t>
  </si>
  <si>
    <t>北金黄金（深圳）有限公司</t>
  </si>
  <si>
    <t>杉树岭网络科技有限公司</t>
  </si>
  <si>
    <r>
      <rPr>
        <sz val="10"/>
        <color indexed="8"/>
        <rFont val="Arial"/>
        <family val="2"/>
      </rPr>
      <t>21-24</t>
    </r>
    <r>
      <rPr>
        <sz val="10"/>
        <color indexed="8"/>
        <rFont val="宋体"/>
        <family val="3"/>
        <charset val="134"/>
      </rPr>
      <t>单元</t>
    </r>
  </si>
  <si>
    <t>中瑞互联（北京）商贸有限公司</t>
  </si>
  <si>
    <r>
      <rPr>
        <sz val="10"/>
        <color indexed="8"/>
        <rFont val="Arial"/>
        <family val="2"/>
      </rPr>
      <t>20-22</t>
    </r>
    <r>
      <rPr>
        <sz val="10"/>
        <color indexed="8"/>
        <rFont val="宋体"/>
        <family val="3"/>
        <charset val="134"/>
      </rPr>
      <t>单元</t>
    </r>
  </si>
  <si>
    <t>北京众达精电科技有限公司</t>
  </si>
  <si>
    <r>
      <rPr>
        <sz val="10"/>
        <color indexed="8"/>
        <rFont val="宋体"/>
        <family val="3"/>
        <charset val="134"/>
      </rPr>
      <t>商业</t>
    </r>
  </si>
  <si>
    <r>
      <rPr>
        <sz val="10"/>
        <rFont val="宋体"/>
        <family val="3"/>
        <charset val="134"/>
      </rPr>
      <t>中国光大银行股份有限公司北京分行</t>
    </r>
  </si>
  <si>
    <r>
      <rPr>
        <sz val="10"/>
        <rFont val="宋体"/>
        <family val="3"/>
        <charset val="134"/>
      </rPr>
      <t>北京同仁堂苏州街医药有限责任公司</t>
    </r>
  </si>
  <si>
    <r>
      <rPr>
        <sz val="10"/>
        <rFont val="宋体"/>
        <family val="3"/>
        <charset val="134"/>
      </rPr>
      <t>北京市清慧园旅馆有限公司</t>
    </r>
  </si>
  <si>
    <t>B1</t>
  </si>
  <si>
    <r>
      <rPr>
        <sz val="10"/>
        <rFont val="宋体"/>
        <family val="3"/>
        <charset val="134"/>
      </rPr>
      <t>梦龙春（北京）茶文化发展有限公司</t>
    </r>
  </si>
  <si>
    <r>
      <rPr>
        <sz val="10"/>
        <rFont val="宋体"/>
        <family val="3"/>
        <charset val="134"/>
      </rPr>
      <t>张立华</t>
    </r>
  </si>
  <si>
    <r>
      <rPr>
        <sz val="10"/>
        <rFont val="宋体"/>
        <family val="3"/>
        <charset val="134"/>
      </rPr>
      <t>北京华香宝仕珠宝有限公司</t>
    </r>
  </si>
  <si>
    <r>
      <rPr>
        <sz val="10"/>
        <rFont val="宋体"/>
        <family val="3"/>
        <charset val="134"/>
      </rPr>
      <t>北京庆松林餐饮管理有限责任公司</t>
    </r>
  </si>
  <si>
    <r>
      <rPr>
        <sz val="10"/>
        <rFont val="宋体"/>
        <family val="3"/>
        <charset val="134"/>
      </rPr>
      <t>张德祥</t>
    </r>
  </si>
  <si>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</si>
  <si>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</si>
  <si>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</si>
  <si>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</si>
  <si>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</si>
  <si>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</si>
  <si>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</si>
  <si>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</si>
  <si>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</si>
  <si>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</si>
  <si>
    <t>北京科园信海医药经营有限公司</t>
  </si>
  <si>
    <r>
      <rPr>
        <sz val="10"/>
        <rFont val="宋体"/>
        <family val="3"/>
        <charset val="134"/>
      </rPr>
      <t>北京易车生活汽车服务连锁有限公司</t>
    </r>
  </si>
  <si>
    <t>4B-24/25</t>
  </si>
  <si>
    <t>北京恒蓉悦餐饮管理有限公司</t>
  </si>
  <si>
    <r>
      <rPr>
        <sz val="10"/>
        <color indexed="8"/>
        <rFont val="Arial"/>
        <family val="2"/>
      </rPr>
      <t>4B-27</t>
    </r>
    <r>
      <rPr>
        <sz val="10"/>
        <color indexed="8"/>
        <rFont val="宋体"/>
        <family val="3"/>
        <charset val="134"/>
      </rPr>
      <t>号</t>
    </r>
  </si>
  <si>
    <t>北京玛格丽国际时装有限公司</t>
  </si>
  <si>
    <r>
      <rPr>
        <sz val="10"/>
        <color indexed="8"/>
        <rFont val="Arial"/>
        <family val="2"/>
      </rPr>
      <t>4B-P4</t>
    </r>
    <r>
      <rPr>
        <sz val="10"/>
        <color indexed="8"/>
        <rFont val="宋体"/>
        <family val="3"/>
        <charset val="134"/>
      </rPr>
      <t>单元</t>
    </r>
  </si>
  <si>
    <t>禾美万像（北京）摄影有限公司</t>
  </si>
  <si>
    <r>
      <rPr>
        <sz val="10"/>
        <color indexed="8"/>
        <rFont val="Arial"/>
        <family val="2"/>
      </rPr>
      <t>4B-13</t>
    </r>
    <r>
      <rPr>
        <sz val="10"/>
        <color indexed="8"/>
        <rFont val="宋体"/>
        <family val="3"/>
        <charset val="134"/>
      </rPr>
      <t>单元</t>
    </r>
  </si>
  <si>
    <t>中国建筑第五工程局有限公司</t>
  </si>
  <si>
    <r>
      <rPr>
        <sz val="10"/>
        <color indexed="8"/>
        <rFont val="Arial"/>
        <family val="2"/>
      </rPr>
      <t>4B-108</t>
    </r>
    <r>
      <rPr>
        <sz val="10"/>
        <color indexed="8"/>
        <rFont val="宋体"/>
        <family val="3"/>
        <charset val="134"/>
      </rPr>
      <t>单元</t>
    </r>
  </si>
  <si>
    <t>北京爱巢家集成房屋有限公司</t>
  </si>
  <si>
    <t>B2</t>
  </si>
  <si>
    <r>
      <rPr>
        <sz val="10"/>
        <color indexed="8"/>
        <rFont val="Arial"/>
        <family val="2"/>
      </rPr>
      <t>B2-2</t>
    </r>
    <r>
      <rPr>
        <sz val="10"/>
        <color indexed="8"/>
        <rFont val="宋体"/>
        <family val="3"/>
        <charset val="134"/>
      </rPr>
      <t>号库房</t>
    </r>
  </si>
  <si>
    <t>中安华太消防工程（北京）有限公司</t>
  </si>
  <si>
    <r>
      <rPr>
        <sz val="10"/>
        <color indexed="8"/>
        <rFont val="Arial"/>
        <family val="2"/>
      </rPr>
      <t>4B-8</t>
    </r>
    <r>
      <rPr>
        <sz val="10"/>
        <color indexed="8"/>
        <rFont val="宋体"/>
        <family val="3"/>
        <charset val="134"/>
      </rPr>
      <t>单元</t>
    </r>
  </si>
  <si>
    <t>北京聚美优果果品商店</t>
  </si>
  <si>
    <r>
      <rPr>
        <sz val="10"/>
        <color indexed="8"/>
        <rFont val="Arial"/>
        <family val="2"/>
      </rPr>
      <t>4B-25</t>
    </r>
    <r>
      <rPr>
        <sz val="10"/>
        <color indexed="8"/>
        <rFont val="宋体"/>
        <family val="3"/>
        <charset val="134"/>
      </rPr>
      <t>号</t>
    </r>
  </si>
  <si>
    <r>
      <rPr>
        <sz val="10"/>
        <color indexed="8"/>
        <rFont val="Arial"/>
        <family val="2"/>
      </rPr>
      <t>4B-13</t>
    </r>
    <r>
      <rPr>
        <sz val="10"/>
        <color indexed="8"/>
        <rFont val="宋体"/>
        <family val="3"/>
        <charset val="134"/>
      </rPr>
      <t>a</t>
    </r>
  </si>
  <si>
    <t>北京初见花开贸易有限公司</t>
  </si>
  <si>
    <r>
      <rPr>
        <sz val="10"/>
        <color indexed="8"/>
        <rFont val="Arial"/>
        <family val="2"/>
      </rPr>
      <t>M</t>
    </r>
    <r>
      <rPr>
        <sz val="10"/>
        <color indexed="8"/>
        <rFont val="宋体"/>
        <family val="3"/>
        <charset val="134"/>
      </rPr>
      <t>层</t>
    </r>
    <r>
      <rPr>
        <sz val="10"/>
        <color indexed="8"/>
        <rFont val="Arial"/>
        <family val="2"/>
      </rPr>
      <t>4M1-2a</t>
    </r>
  </si>
  <si>
    <t>北京日升天信科技股份有限公司</t>
  </si>
  <si>
    <r>
      <rPr>
        <sz val="10"/>
        <color indexed="8"/>
        <rFont val="Arial"/>
        <family val="2"/>
      </rPr>
      <t>B2-4B2-3</t>
    </r>
    <r>
      <rPr>
        <sz val="10"/>
        <color indexed="8"/>
        <rFont val="宋体"/>
        <family val="3"/>
        <charset val="134"/>
      </rPr>
      <t>号</t>
    </r>
  </si>
  <si>
    <r>
      <rPr>
        <sz val="10"/>
        <color indexed="8"/>
        <rFont val="Arial"/>
        <family val="2"/>
      </rPr>
      <t>4B-4</t>
    </r>
    <r>
      <rPr>
        <sz val="10"/>
        <color indexed="8"/>
        <rFont val="宋体"/>
        <family val="3"/>
        <charset val="134"/>
      </rPr>
      <t>号</t>
    </r>
  </si>
  <si>
    <t>张立华</t>
  </si>
  <si>
    <r>
      <rPr>
        <sz val="10"/>
        <color indexed="8"/>
        <rFont val="宋体"/>
        <family val="3"/>
        <charset val="134"/>
      </rPr>
      <t>中式写字楼</t>
    </r>
  </si>
  <si>
    <t>顶层</t>
  </si>
  <si>
    <r>
      <rPr>
        <sz val="10"/>
        <rFont val="宋体"/>
        <family val="3"/>
        <charset val="134"/>
      </rPr>
      <t>尹飞飞</t>
    </r>
  </si>
  <si>
    <r>
      <rPr>
        <sz val="10"/>
        <rFont val="宋体"/>
        <family val="3"/>
        <charset val="134"/>
      </rPr>
      <t>靳嵩</t>
    </r>
  </si>
  <si>
    <r>
      <rPr>
        <sz val="10"/>
        <rFont val="宋体"/>
        <family val="3"/>
        <charset val="134"/>
      </rPr>
      <t>武汉建明工程造价咨询有限公司</t>
    </r>
  </si>
  <si>
    <r>
      <rPr>
        <sz val="10"/>
        <rFont val="宋体"/>
        <family val="3"/>
        <charset val="134"/>
      </rPr>
      <t>国朋实业有限公司</t>
    </r>
  </si>
  <si>
    <r>
      <rPr>
        <sz val="10"/>
        <rFont val="宋体"/>
        <family val="3"/>
        <charset val="134"/>
      </rPr>
      <t>李瑞国</t>
    </r>
  </si>
  <si>
    <r>
      <rPr>
        <sz val="10"/>
        <rFont val="宋体"/>
        <family val="3"/>
        <charset val="134"/>
      </rPr>
      <t>杭州申昊科技股份有限公司</t>
    </r>
  </si>
  <si>
    <r>
      <rPr>
        <sz val="10"/>
        <rFont val="宋体"/>
        <family val="3"/>
        <charset val="134"/>
      </rPr>
      <t>北京天宝中艺国际文化传媒有限公司</t>
    </r>
  </si>
  <si>
    <r>
      <rPr>
        <sz val="10"/>
        <color indexed="8"/>
        <rFont val="Arial"/>
        <family val="2"/>
      </rPr>
      <t>25</t>
    </r>
    <r>
      <rPr>
        <sz val="10"/>
        <color indexed="8"/>
        <rFont val="宋体"/>
        <family val="3"/>
        <charset val="134"/>
      </rPr>
      <t>单元</t>
    </r>
  </si>
  <si>
    <t>北京极净源环境工程有限公司</t>
  </si>
  <si>
    <r>
      <rPr>
        <sz val="10"/>
        <color indexed="8"/>
        <rFont val="Arial"/>
        <family val="2"/>
      </rPr>
      <t>27</t>
    </r>
    <r>
      <rPr>
        <sz val="10"/>
        <color indexed="8"/>
        <rFont val="宋体"/>
        <family val="3"/>
        <charset val="134"/>
      </rPr>
      <t>单元</t>
    </r>
  </si>
  <si>
    <t>北京聚物网络科技有限公司</t>
  </si>
  <si>
    <r>
      <rPr>
        <sz val="10"/>
        <color indexed="8"/>
        <rFont val="Arial"/>
        <family val="2"/>
      </rPr>
      <t>26</t>
    </r>
    <r>
      <rPr>
        <sz val="10"/>
        <color indexed="8"/>
        <rFont val="宋体"/>
        <family val="3"/>
        <charset val="134"/>
      </rPr>
      <t>单元</t>
    </r>
  </si>
  <si>
    <t>北京正力润成环保设备有限公司</t>
  </si>
  <si>
    <r>
      <rPr>
        <sz val="10"/>
        <color indexed="8"/>
        <rFont val="Arial"/>
        <family val="2"/>
      </rPr>
      <t>21-25</t>
    </r>
    <r>
      <rPr>
        <sz val="10"/>
        <color indexed="8"/>
        <rFont val="宋体"/>
        <family val="3"/>
        <charset val="134"/>
      </rPr>
      <t>单元</t>
    </r>
  </si>
  <si>
    <t>卓望信息技术（北京）有限公司</t>
  </si>
  <si>
    <t>中式写字楼</t>
  </si>
  <si>
    <r>
      <rPr>
        <sz val="10"/>
        <color indexed="8"/>
        <rFont val="Arial"/>
        <family val="2"/>
      </rPr>
      <t>25-30</t>
    </r>
    <r>
      <rPr>
        <sz val="10"/>
        <color indexed="8"/>
        <rFont val="宋体"/>
        <family val="3"/>
        <charset val="134"/>
      </rPr>
      <t>单元</t>
    </r>
  </si>
  <si>
    <t>沈阳中钛装备制造有限公司</t>
  </si>
  <si>
    <t>北京市中能昊龙建设工程有限公司</t>
  </si>
  <si>
    <r>
      <rPr>
        <sz val="10"/>
        <color indexed="8"/>
        <rFont val="Arial"/>
        <family val="2"/>
      </rPr>
      <t>26-30</t>
    </r>
    <r>
      <rPr>
        <sz val="10"/>
        <color indexed="8"/>
        <rFont val="宋体"/>
        <family val="3"/>
        <charset val="134"/>
      </rPr>
      <t>单元</t>
    </r>
  </si>
  <si>
    <t>相慧芬</t>
  </si>
  <si>
    <t>宿州市利民万基房地产开发有限公司</t>
  </si>
  <si>
    <r>
      <rPr>
        <sz val="10"/>
        <color indexed="8"/>
        <rFont val="Arial"/>
        <family val="2"/>
      </rPr>
      <t>8</t>
    </r>
    <r>
      <rPr>
        <sz val="10"/>
        <color indexed="8"/>
        <rFont val="宋体"/>
        <family val="3"/>
        <charset val="134"/>
      </rPr>
      <t>号楼</t>
    </r>
  </si>
  <si>
    <r>
      <rPr>
        <sz val="10"/>
        <color indexed="8"/>
        <rFont val="宋体"/>
        <family val="3"/>
        <charset val="134"/>
      </rPr>
      <t>北京漫创作餐饮管理有限公司</t>
    </r>
  </si>
  <si>
    <r>
      <rPr>
        <sz val="10"/>
        <color indexed="8"/>
        <rFont val="Arial"/>
        <family val="2"/>
      </rPr>
      <t>13</t>
    </r>
    <r>
      <rPr>
        <sz val="10"/>
        <color indexed="8"/>
        <rFont val="宋体"/>
        <family val="3"/>
        <charset val="134"/>
      </rPr>
      <t>号楼</t>
    </r>
  </si>
  <si>
    <r>
      <rPr>
        <sz val="10"/>
        <color indexed="8"/>
        <rFont val="Arial"/>
        <family val="2"/>
      </rPr>
      <t>B1</t>
    </r>
    <r>
      <rPr>
        <sz val="10"/>
        <color indexed="8"/>
        <rFont val="宋体"/>
        <family val="3"/>
        <charset val="134"/>
      </rPr>
      <t>层</t>
    </r>
  </si>
  <si>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</si>
  <si>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</si>
  <si>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</si>
  <si>
    <t>北京世纪星空影业投资有限公司</t>
  </si>
  <si>
    <t>王鹏</t>
  </si>
  <si>
    <t>郑燚</t>
  </si>
  <si>
    <t>抵押</t>
  </si>
  <si>
    <t>房地产抵押价值</t>
  </si>
  <si>
    <t>北京市</t>
  </si>
  <si>
    <t>企业</t>
  </si>
  <si>
    <t>出让</t>
  </si>
  <si>
    <t>《国有土地使用证》[京丰国用（2015）出第00176号]</t>
  </si>
  <si>
    <t>《不动产权证书》[京（2017）丰不动产权第0049587号]、《房屋面积测算技术报告书》</t>
  </si>
  <si>
    <r>
      <rPr>
        <sz val="10"/>
        <color indexed="8"/>
        <rFont val="宋体"/>
        <family val="3"/>
        <charset val="134"/>
      </rPr>
      <t>工商银行</t>
    </r>
  </si>
  <si>
    <r>
      <rPr>
        <sz val="10"/>
        <color indexed="8"/>
        <rFont val="宋体"/>
        <family val="3"/>
        <charset val="134"/>
      </rPr>
      <t>北京世纪星空影业投资有限公司</t>
    </r>
  </si>
  <si>
    <r>
      <rPr>
        <sz val="10"/>
        <color theme="9" tint="-0.249977111117893"/>
        <rFont val="宋体"/>
        <family val="3"/>
        <charset val="134"/>
      </rPr>
      <t>丰台区南四环西路</t>
    </r>
    <r>
      <rPr>
        <sz val="10"/>
        <color theme="9" tint="-0.249977111117893"/>
        <rFont val="Arial"/>
        <family val="2"/>
      </rPr>
      <t>186</t>
    </r>
    <r>
      <rPr>
        <sz val="10"/>
        <color theme="9" tint="-0.249977111117893"/>
        <rFont val="宋体"/>
        <family val="3"/>
        <charset val="134"/>
      </rPr>
      <t>号四区</t>
    </r>
    <r>
      <rPr>
        <sz val="10"/>
        <color theme="9" tint="-0.249977111117893"/>
        <rFont val="Arial"/>
        <family val="2"/>
      </rPr>
      <t>1</t>
    </r>
    <r>
      <rPr>
        <sz val="10"/>
        <color theme="9" tint="-0.249977111117893"/>
        <rFont val="宋体"/>
        <family val="3"/>
        <charset val="134"/>
      </rPr>
      <t>号楼</t>
    </r>
  </si>
  <si>
    <t>是</t>
  </si>
  <si>
    <t>办公项目</t>
  </si>
  <si>
    <t>无</t>
  </si>
  <si>
    <t>否</t>
  </si>
  <si>
    <t>现房</t>
  </si>
  <si>
    <t>通路</t>
  </si>
  <si>
    <t>通电</t>
  </si>
  <si>
    <t>通讯</t>
  </si>
  <si>
    <t>通上水</t>
  </si>
  <si>
    <t>通下水</t>
  </si>
  <si>
    <t>通热</t>
  </si>
  <si>
    <t>燃气</t>
  </si>
  <si>
    <t>地上</t>
  </si>
  <si>
    <t>办公楼</t>
  </si>
  <si>
    <t>地下</t>
  </si>
  <si>
    <t>车库—办公</t>
  </si>
  <si>
    <t>车库</t>
  </si>
  <si>
    <t>研发楼</t>
    <phoneticPr fontId="6" type="noConversion"/>
  </si>
  <si>
    <t>丰台区南四环西路186号四区3号楼1至9层101</t>
    <phoneticPr fontId="140" type="noConversion"/>
  </si>
  <si>
    <t>丰台区南四环西路186号四区1号楼1至9层101</t>
    <phoneticPr fontId="140" type="noConversion"/>
  </si>
  <si>
    <t>丰台区南四环西路186号四区2号楼1至9层101</t>
    <phoneticPr fontId="140" type="noConversion"/>
  </si>
  <si>
    <r>
      <rPr>
        <sz val="10"/>
        <color indexed="8"/>
        <rFont val="宋体"/>
        <family val="3"/>
        <charset val="134"/>
      </rPr>
      <t>办公</t>
    </r>
    <r>
      <rPr>
        <sz val="10"/>
        <color indexed="8"/>
        <rFont val="Arial"/>
        <family val="2"/>
      </rPr>
      <t>-</t>
    </r>
    <r>
      <rPr>
        <sz val="10"/>
        <color indexed="8"/>
        <rFont val="宋体"/>
        <family val="3"/>
        <charset val="134"/>
      </rPr>
      <t>研发楼</t>
    </r>
    <phoneticPr fontId="7" type="noConversion"/>
  </si>
  <si>
    <t>地下车库</t>
    <phoneticPr fontId="7" type="noConversion"/>
  </si>
  <si>
    <t>成新度</t>
  </si>
  <si>
    <t>利息：取LPR加浮动点数</t>
  </si>
  <si>
    <t>收益法</t>
  </si>
  <si>
    <t>办公-研发楼</t>
  </si>
  <si>
    <t>按租金收入计税</t>
  </si>
  <si>
    <t>钢混</t>
  </si>
  <si>
    <t>非生产用房</t>
  </si>
  <si>
    <t>收益法-地下车库</t>
  </si>
  <si>
    <t>收益法-地下车库</t>
    <phoneticPr fontId="16" type="noConversion"/>
  </si>
  <si>
    <t>自定义</t>
  </si>
  <si>
    <t>成本法</t>
  </si>
  <si>
    <t>成本比率</t>
  </si>
  <si>
    <t>总价</t>
  </si>
  <si>
    <t>未包含在土地购买价格中</t>
  </si>
  <si>
    <t>全部缴纳</t>
  </si>
  <si>
    <t>已包含在土地取得成本中</t>
  </si>
  <si>
    <t>研发、办公</t>
  </si>
  <si>
    <t>商业、办公</t>
  </si>
  <si>
    <t>城市快速路</t>
  </si>
  <si>
    <t>主干道</t>
  </si>
  <si>
    <t>次干道</t>
  </si>
  <si>
    <t>支路</t>
  </si>
  <si>
    <t>规则</t>
  </si>
  <si>
    <t>较规则</t>
  </si>
  <si>
    <t>一般</t>
  </si>
  <si>
    <t>较不规则</t>
  </si>
  <si>
    <t>不规则</t>
  </si>
  <si>
    <t>较合适</t>
    <phoneticPr fontId="31" type="noConversion"/>
  </si>
  <si>
    <t>七通</t>
  </si>
  <si>
    <t>六通</t>
  </si>
  <si>
    <t>五通</t>
  </si>
  <si>
    <t>四通</t>
  </si>
  <si>
    <t>三通</t>
  </si>
  <si>
    <t>好</t>
  </si>
  <si>
    <t>较好</t>
  </si>
  <si>
    <t>较差</t>
  </si>
  <si>
    <t>差</t>
  </si>
  <si>
    <t>多面临街</t>
  </si>
  <si>
    <t>名称</t>
  </si>
  <si>
    <t>面积（㎡）</t>
  </si>
  <si>
    <t>诺德中心</t>
  </si>
  <si>
    <r>
      <rPr>
        <sz val="11"/>
        <color theme="1"/>
        <rFont val="宋体"/>
        <family val="3"/>
        <charset val="134"/>
        <scheme val="minor"/>
      </rPr>
      <t>3</t>
    </r>
    <r>
      <rPr>
        <sz val="11"/>
        <color theme="1"/>
        <rFont val="宋体"/>
        <family val="3"/>
        <charset val="134"/>
        <scheme val="minor"/>
      </rPr>
      <t>.9-4.3</t>
    </r>
  </si>
  <si>
    <t>盈坤世纪</t>
  </si>
  <si>
    <r>
      <rPr>
        <sz val="11"/>
        <color theme="1"/>
        <rFont val="宋体"/>
        <family val="3"/>
        <charset val="134"/>
        <scheme val="minor"/>
      </rPr>
      <t>3</t>
    </r>
    <r>
      <rPr>
        <sz val="11"/>
        <color theme="1"/>
        <rFont val="宋体"/>
        <family val="3"/>
        <charset val="134"/>
        <scheme val="minor"/>
      </rPr>
      <t>.5-4.5</t>
    </r>
  </si>
  <si>
    <t>4.2-4.6</t>
  </si>
  <si>
    <t>地块名称</t>
  </si>
  <si>
    <t>城市</t>
  </si>
  <si>
    <t>地块编号</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</si>
  <si>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</si>
  <si>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</si>
  <si>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</si>
  <si>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</si>
  <si>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</si>
  <si>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</si>
  <si>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</si>
  <si>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</si>
  <si>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</si>
  <si>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</si>
  <si>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</si>
  <si>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</si>
  <si>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</si>
  <si>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</si>
  <si>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</si>
  <si>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</si>
  <si>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</si>
  <si>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</si>
  <si>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</si>
  <si>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</si>
  <si>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北京市海淀区西北旺镇永丰产业基地(新)HD00-0403-009地块F3其他类多功能用地</t>
  </si>
  <si>
    <t>京土储挂(海)[2022]063号</t>
  </si>
  <si>
    <t xml:space="preserve"> 商业/办公用地</t>
  </si>
  <si>
    <t xml:space="preserve"> 挂牌</t>
  </si>
  <si>
    <t xml:space="preserve"> F3其他类多功能用地</t>
  </si>
  <si>
    <t xml:space="preserve">-- </t>
  </si>
  <si>
    <t xml:space="preserve"> -- </t>
  </si>
  <si>
    <t xml:space="preserve"> --</t>
  </si>
  <si>
    <t xml:space="preserve"> 已成交</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</si>
  <si>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</si>
  <si>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</si>
  <si>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</si>
  <si>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</si>
  <si>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</si>
  <si>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</si>
  <si>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</si>
  <si>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</si>
  <si>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</si>
  <si>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</si>
  <si>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</si>
  <si>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 xml:space="preserve"> 福建省国有资产管理,闽高速,福建投资</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</si>
  <si>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</si>
  <si>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</si>
  <si>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</si>
  <si>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</si>
  <si>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</si>
  <si>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</si>
  <si>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</si>
  <si>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</si>
  <si>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</si>
  <si>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</si>
  <si>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</si>
  <si>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≤2.8</t>
  </si>
  <si>
    <t xml:space="preserve"> 含租赁住房用地</t>
  </si>
  <si>
    <t xml:space="preserve"> 北京首旅城市副中心投资有限公司  </t>
  </si>
  <si>
    <t xml:space="preserve"> 北京首旅集团</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</si>
  <si>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</si>
  <si>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</si>
  <si>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</si>
  <si>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</si>
  <si>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</si>
  <si>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</si>
  <si>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</si>
  <si>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</si>
  <si>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</si>
  <si>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北京新航城建设实业发展有限公司  </t>
  </si>
  <si>
    <t xml:space="preserve"> 北京新航城</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</si>
  <si>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</si>
  <si>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</si>
  <si>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</si>
  <si>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</si>
  <si>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</si>
  <si>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</si>
  <si>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 xml:space="preserve"> 中国太平洋人寿保险股份有限公司</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</si>
  <si>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</si>
  <si>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</si>
  <si>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</si>
  <si>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</si>
  <si>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</si>
  <si>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</si>
  <si>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</si>
  <si>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</si>
  <si>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</si>
  <si>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</si>
  <si>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</si>
  <si>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</si>
  <si>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</si>
  <si>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</si>
  <si>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</si>
  <si>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</si>
  <si>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</si>
  <si>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</si>
  <si>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</si>
  <si>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</si>
  <si>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</si>
  <si>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</si>
  <si>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</si>
  <si>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</si>
  <si>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</si>
  <si>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</si>
  <si>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</si>
  <si>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</si>
  <si>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</si>
  <si>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</si>
  <si>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</si>
  <si>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</si>
  <si>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</si>
  <si>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</si>
  <si>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</si>
  <si>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</si>
  <si>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北投集团</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</si>
  <si>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</si>
  <si>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</si>
  <si>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</si>
  <si>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</si>
  <si>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</si>
  <si>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</si>
  <si>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</si>
  <si>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</si>
  <si>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</si>
  <si>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</si>
  <si>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</si>
  <si>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</si>
  <si>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</si>
  <si>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</si>
  <si>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</si>
  <si>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</si>
  <si>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</si>
  <si>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</si>
  <si>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</si>
  <si>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</si>
  <si>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</si>
  <si>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</si>
  <si>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</si>
  <si>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</si>
  <si>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</si>
  <si>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</si>
  <si>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</si>
  <si>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</si>
  <si>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</si>
  <si>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</si>
  <si>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</si>
  <si>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</si>
  <si>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</si>
  <si>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</si>
  <si>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</si>
  <si>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</si>
  <si>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</si>
  <si>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</si>
  <si>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</si>
  <si>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</si>
  <si>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</si>
  <si>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</si>
  <si>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</si>
  <si>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</si>
  <si>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</si>
  <si>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</si>
  <si>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</si>
  <si>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</si>
  <si>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</si>
  <si>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</si>
  <si>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</si>
  <si>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</si>
  <si>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</si>
  <si>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</si>
  <si>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</si>
  <si>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</si>
  <si>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</si>
  <si>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</si>
  <si>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</si>
  <si>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</si>
  <si>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</si>
  <si>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</si>
  <si>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北京市海淀区西三旗1811-L04地块B4综合性商业金融服务业用地</t>
  </si>
  <si>
    <t>京土整储挂(海)[2019]015号</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</si>
  <si>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</si>
  <si>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</si>
  <si>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</si>
  <si>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</si>
  <si>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北京实创科技园开发建设股份有限公司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</si>
  <si>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</si>
  <si>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</si>
  <si>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</si>
  <si>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</si>
  <si>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</si>
  <si>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北京市昌平区沙河镇七里渠南北村土地一级开发项目QLQ-004地块B4综合性商业金融服务业用地</t>
  </si>
  <si>
    <t>京土整储挂(昌)[2018]040号</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</si>
  <si>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</si>
  <si>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</si>
  <si>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</si>
  <si>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</si>
  <si>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</si>
  <si>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</si>
  <si>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</si>
  <si>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</si>
  <si>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</si>
  <si>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</si>
  <si>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</si>
  <si>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</si>
  <si>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</si>
  <si>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圣泉投资,泰富德投资集团</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</si>
  <si>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</si>
  <si>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</si>
  <si>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</si>
  <si>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</si>
  <si>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</si>
  <si>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北京市门头沟区永定镇MC00-0018-0060、0061地块B4综合性商业金融服务业用地</t>
  </si>
  <si>
    <t>京土整储挂(门)[2018]002号</t>
  </si>
  <si>
    <t xml:space="preserve"> 金融街融辰(北京)置业有限公司 、北京市京西置地有限责任公司联合体  </t>
  </si>
  <si>
    <t xml:space="preserve"> 金融街</t>
  </si>
  <si>
    <t>北京市石景山区中关村科技园区石景山园北I区1605-636地块B23研发设计用地</t>
  </si>
  <si>
    <t>京土整储挂(石)[2017]098号</t>
  </si>
  <si>
    <t xml:space="preserve"> B23研发设计用地</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</si>
  <si>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</si>
  <si>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</si>
  <si>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</si>
  <si>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</si>
  <si>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</si>
  <si>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</si>
  <si>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</si>
  <si>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</si>
  <si>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</si>
  <si>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</si>
  <si>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</si>
  <si>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</si>
  <si>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</si>
  <si>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</si>
  <si>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</si>
  <si>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</si>
  <si>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 xml:space="preserve"> 华夏人寿</t>
  </si>
  <si>
    <t>北京市门头沟区龙泉镇MC00-0010-6004地块B2商务用地</t>
  </si>
  <si>
    <t>京土整储挂(门)[2017]062号</t>
  </si>
  <si>
    <t xml:space="preserve"> 北京象地房地产开发有限公司  </t>
  </si>
  <si>
    <t xml:space="preserve"> 象地房地产</t>
  </si>
  <si>
    <t>北京经济技术开发区路东区C14C-1、C14C-2、C14S-1地块B4综合性商业金融服务业用地及S41公用停车场用地</t>
  </si>
  <si>
    <t>京土整储挂(开)[2017]058号</t>
  </si>
  <si>
    <t xml:space="preserve"> 北京联茂方泰房地产开发有限公司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</si>
  <si>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</si>
  <si>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</si>
  <si>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</si>
  <si>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</si>
  <si>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通州区马驹桥镇YZ00-0606-0014地块</t>
  </si>
  <si>
    <t>京土整储挂(通)[2017]033号</t>
  </si>
  <si>
    <t xml:space="preserve"> 北京北建通成国际物流有限公司  </t>
  </si>
  <si>
    <t>顺义区高丽营镇02-08-01、02-08-02地块</t>
  </si>
  <si>
    <t>京土整储挂(顺)[2017]032号</t>
  </si>
  <si>
    <t xml:space="preserve"> 北京首都开发股份有限公司 、北京富力通达房地产开发有限公司联合体  </t>
  </si>
  <si>
    <t xml:space="preserve"> 首开股份,富力地产</t>
  </si>
  <si>
    <t>房山区长阳镇FS00-LX10-0092等地块</t>
  </si>
  <si>
    <t>京土整储挂(房)[2017]031号</t>
  </si>
  <si>
    <t xml:space="preserve"> B4综合性商业金融服务业用地、S41公用停车场用地、G3广场用地、F3其他类多功能用地</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</si>
  <si>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</si>
  <si>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</si>
  <si>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</si>
  <si>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</si>
  <si>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</si>
  <si>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</si>
  <si>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</si>
  <si>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</si>
  <si>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</si>
  <si>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</si>
  <si>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</si>
  <si>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</si>
  <si>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</si>
  <si>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</si>
  <si>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</si>
  <si>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</si>
  <si>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</si>
  <si>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</si>
  <si>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</si>
  <si>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</si>
  <si>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</si>
  <si>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</si>
  <si>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</si>
  <si>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</si>
  <si>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</si>
  <si>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大兴开发区北区1号地DX00-0301-0144地块</t>
  </si>
  <si>
    <t>京土整储挂(兴)[2016]027号</t>
  </si>
  <si>
    <t xml:space="preserve"> 北京筑兴房地产开发有限公司  </t>
  </si>
  <si>
    <t xml:space="preserve"> 中建地产</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</si>
  <si>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</si>
  <si>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</si>
  <si>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</si>
  <si>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</si>
  <si>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</si>
  <si>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房山区长阳镇FS00-LX10-0042等地块</t>
  </si>
  <si>
    <t>京土整储挂(房)[2016]023号</t>
  </si>
  <si>
    <t xml:space="preserve"> B4综合性商业金融服务业、S32公交场站设施用地</t>
  </si>
  <si>
    <t xml:space="preserve"> 北京龙湖天行置业有限公司 、北京首都开发股份有限公司  </t>
  </si>
  <si>
    <t>房山区拱辰街道FS00-LX11-0007地块</t>
  </si>
  <si>
    <t>京土整储挂(房)[2016]022号</t>
  </si>
  <si>
    <t xml:space="preserve"> 北京旭辉合创投资有限公司  </t>
  </si>
  <si>
    <t xml:space="preserve"> 旭辉集团</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</si>
  <si>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</si>
  <si>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</si>
  <si>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</si>
  <si>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</si>
  <si>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</si>
  <si>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</si>
  <si>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</si>
  <si>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</si>
  <si>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</si>
  <si>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北京龙湖中佰置业有限公司 、北京龙湖天行置业有限公司联合体  </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</si>
  <si>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</si>
  <si>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</si>
  <si>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</si>
  <si>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</si>
  <si>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</si>
  <si>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</si>
  <si>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</si>
  <si>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</si>
  <si>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</si>
  <si>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</si>
  <si>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朝阳区北土城中路北侧OS-06A、OS-10B地块</t>
  </si>
  <si>
    <t>京土整储招(朝)[2015]081号</t>
  </si>
  <si>
    <t xml:space="preserve"> 北京城建投资发展股份有限公司 、北京新奥集团有限公司联合体  </t>
  </si>
  <si>
    <t>顺义区李桥镇SY00-0029-6012地块</t>
  </si>
  <si>
    <t>京土整储挂(顺)[2015]079号</t>
  </si>
  <si>
    <t xml:space="preserve"> 深耕拓展投资(北京)有限公司  </t>
  </si>
  <si>
    <t xml:space="preserve"> 当代置业</t>
  </si>
  <si>
    <t>大兴区北臧村生物医药基地DX00-0501-0010地块</t>
  </si>
  <si>
    <t>京土整储挂(兴)[2015]074号</t>
  </si>
  <si>
    <t>大兴区北臧村生物医药基地DX00-0501-0009地块</t>
  </si>
  <si>
    <t>京土整储挂(兴)[2015]073号</t>
  </si>
  <si>
    <t>石景山区苹果园交通枢纽M、N地块</t>
  </si>
  <si>
    <t>京土整储挂(石)[2015]061号</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</si>
  <si>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</si>
  <si>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</si>
  <si>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</si>
  <si>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</si>
  <si>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</si>
  <si>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</si>
  <si>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</si>
  <si>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</si>
  <si>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</si>
  <si>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</si>
  <si>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</si>
  <si>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</si>
  <si>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</si>
  <si>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</si>
  <si>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</si>
  <si>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</si>
  <si>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</si>
  <si>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</si>
  <si>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</si>
  <si>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</si>
  <si>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</si>
  <si>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</si>
  <si>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</si>
  <si>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</si>
  <si>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</si>
  <si>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 xml:space="preserve"> 中国中铁</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</si>
  <si>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</si>
  <si>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</si>
  <si>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</si>
  <si>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</si>
  <si>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</si>
  <si>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</si>
  <si>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</si>
  <si>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</si>
  <si>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</si>
  <si>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</si>
  <si>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</si>
  <si>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</si>
  <si>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</si>
  <si>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</si>
  <si>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</si>
  <si>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</si>
  <si>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</si>
  <si>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丰台区丽泽路E-01、E-05、E-06地块</t>
  </si>
  <si>
    <t>京土整储挂(丰)[2015]015号</t>
  </si>
  <si>
    <t xml:space="preserve"> C2商业金融用地</t>
  </si>
  <si>
    <t xml:space="preserve"> 深圳市平轩投资管理有限公司  </t>
  </si>
  <si>
    <t>通州区宋庄镇0301-1201地块</t>
  </si>
  <si>
    <t>京土整储挂(通)[2015]012号</t>
  </si>
  <si>
    <t xml:space="preserve"> 北京市文化置业有限公司  </t>
  </si>
  <si>
    <t>丰台区花乡四合庄(中关村科技园丰台园东区三期)1516-21地块</t>
  </si>
  <si>
    <t>京土整储招(丰)[2015]011号</t>
  </si>
  <si>
    <t xml:space="preserve"> 大连万达商业地产股份有限公司  </t>
  </si>
  <si>
    <t xml:space="preserve"> 大连万达</t>
  </si>
  <si>
    <t>顺义区赵全营镇板桥村F2-01地块</t>
  </si>
  <si>
    <t>京土整储挂(顺)[2015]006号</t>
  </si>
  <si>
    <t xml:space="preserve"> 北京郎园置业有限公司  </t>
  </si>
  <si>
    <t>顺义区顺义新城26街区SY00-0026-6001、6003地块</t>
  </si>
  <si>
    <t>京土整储挂(顺)[2015]005号</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</si>
  <si>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</si>
  <si>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</si>
  <si>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</si>
  <si>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t>京顺街</t>
    <phoneticPr fontId="31" type="noConversion"/>
  </si>
  <si>
    <t>丽泽路</t>
    <phoneticPr fontId="31" type="noConversion"/>
  </si>
  <si>
    <t>丰科路</t>
    <phoneticPr fontId="31" type="noConversion"/>
  </si>
  <si>
    <t>双面临街</t>
  </si>
  <si>
    <t>广渠门外大街</t>
    <phoneticPr fontId="31" type="noConversion"/>
  </si>
  <si>
    <t>汉威国际广场</t>
    <phoneticPr fontId="140" type="noConversion"/>
  </si>
  <si>
    <r>
      <t>1</t>
    </r>
    <r>
      <rPr>
        <sz val="11"/>
        <color theme="1"/>
        <rFont val="宋体"/>
        <family val="3"/>
        <charset val="134"/>
        <scheme val="minor"/>
      </rPr>
      <t>184-14000</t>
    </r>
    <phoneticPr fontId="140" type="noConversion"/>
  </si>
  <si>
    <r>
      <t>4</t>
    </r>
    <r>
      <rPr>
        <sz val="11"/>
        <color theme="1"/>
        <rFont val="宋体"/>
        <family val="3"/>
        <charset val="134"/>
        <scheme val="minor"/>
      </rPr>
      <t>.6-6.5</t>
    </r>
    <phoneticPr fontId="140" type="noConversion"/>
  </si>
  <si>
    <t>245-1078.6</t>
    <phoneticPr fontId="140" type="noConversion"/>
  </si>
  <si>
    <t>3.8-4.6</t>
    <phoneticPr fontId="140" type="noConversion"/>
  </si>
  <si>
    <t>46-650</t>
    <phoneticPr fontId="140" type="noConversion"/>
  </si>
  <si>
    <t>3.9-5.3</t>
    <phoneticPr fontId="140" type="noConversion"/>
  </si>
  <si>
    <r>
      <t>1</t>
    </r>
    <r>
      <rPr>
        <sz val="11"/>
        <color theme="1"/>
        <rFont val="宋体"/>
        <family val="3"/>
        <charset val="134"/>
        <scheme val="minor"/>
      </rPr>
      <t>08-1030</t>
    </r>
    <phoneticPr fontId="140" type="noConversion"/>
  </si>
  <si>
    <r>
      <t>4</t>
    </r>
    <r>
      <rPr>
        <sz val="11"/>
        <color theme="1"/>
        <rFont val="宋体"/>
        <family val="3"/>
        <charset val="134"/>
        <scheme val="minor"/>
      </rPr>
      <t>.5-5.3</t>
    </r>
    <phoneticPr fontId="140" type="noConversion"/>
  </si>
  <si>
    <t>华夏幸福创新中心</t>
    <phoneticPr fontId="140" type="noConversion"/>
  </si>
  <si>
    <t>——</t>
    <phoneticPr fontId="140" type="noConversion"/>
  </si>
  <si>
    <t>58.24-436.96</t>
    <phoneticPr fontId="140" type="noConversion"/>
  </si>
  <si>
    <t>3.4-7.8</t>
    <phoneticPr fontId="140" type="noConversion"/>
  </si>
  <si>
    <t>时代财富天地</t>
    <phoneticPr fontId="140" type="noConversion"/>
  </si>
  <si>
    <r>
      <t>5</t>
    </r>
    <r>
      <rPr>
        <sz val="11"/>
        <color theme="1"/>
        <rFont val="宋体"/>
        <family val="3"/>
        <charset val="134"/>
        <scheme val="minor"/>
      </rPr>
      <t>5-668</t>
    </r>
    <phoneticPr fontId="140" type="noConversion"/>
  </si>
  <si>
    <r>
      <t>3</t>
    </r>
    <r>
      <rPr>
        <sz val="11"/>
        <color theme="1"/>
        <rFont val="宋体"/>
        <family val="3"/>
        <charset val="134"/>
        <scheme val="minor"/>
      </rPr>
      <t>.5-5</t>
    </r>
    <phoneticPr fontId="140" type="noConversion"/>
  </si>
  <si>
    <t>万达广场</t>
    <phoneticPr fontId="140" type="noConversion"/>
  </si>
  <si>
    <t>41-235</t>
    <phoneticPr fontId="140" type="noConversion"/>
  </si>
  <si>
    <t>日租金（元/天·㎡）</t>
    <phoneticPr fontId="140" type="noConversion"/>
  </si>
  <si>
    <t>2019年日租金（元/天·㎡）</t>
    <phoneticPr fontId="140" type="noConversion"/>
  </si>
  <si>
    <t>地上租金</t>
  </si>
  <si>
    <t>商铺</t>
    <phoneticPr fontId="140" type="noConversion"/>
  </si>
  <si>
    <t>地下租金</t>
  </si>
  <si>
    <t>二区面积比</t>
  </si>
  <si>
    <t>四区面积比</t>
  </si>
  <si>
    <t>二区租金</t>
  </si>
  <si>
    <t>四区租金</t>
  </si>
  <si>
    <t>售价（万元）</t>
    <phoneticPr fontId="140" type="noConversion"/>
  </si>
  <si>
    <t>35000-48000</t>
    <phoneticPr fontId="140" type="noConversion"/>
  </si>
  <si>
    <t>23000-26000</t>
    <phoneticPr fontId="140" type="noConversion"/>
  </si>
  <si>
    <t>总部基地</t>
    <phoneticPr fontId="140" type="noConversion"/>
  </si>
  <si>
    <t>28000-42000</t>
    <phoneticPr fontId="140" type="noConversion"/>
  </si>
  <si>
    <t>收益法（汇总）</t>
  </si>
  <si>
    <t>楼面单价</t>
  </si>
  <si>
    <t>地面单价</t>
  </si>
  <si>
    <t>成本法</t>
    <phoneticPr fontId="8" type="noConversion"/>
  </si>
  <si>
    <t>收益法</t>
    <phoneticPr fontId="8" type="noConversion"/>
  </si>
  <si>
    <r>
      <t>2019</t>
    </r>
    <r>
      <rPr>
        <sz val="10"/>
        <color indexed="8"/>
        <rFont val="宋体"/>
        <family val="3"/>
        <charset val="134"/>
      </rPr>
      <t>年</t>
    </r>
    <phoneticPr fontId="8" type="noConversion"/>
  </si>
  <si>
    <t>总价</t>
    <phoneticPr fontId="8" type="noConversion"/>
  </si>
  <si>
    <t>万元</t>
  </si>
  <si>
    <t>元/平方米</t>
  </si>
  <si>
    <t>建筑面积</t>
  </si>
  <si>
    <t>土地面积</t>
  </si>
  <si>
    <t>出让国有建设用地使用权价值</t>
  </si>
  <si>
    <t>建筑物价值</t>
  </si>
  <si>
    <t>https://j.map.baidu.com/16/6Kpu</t>
    <phoneticPr fontId="140"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</si>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</sst>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 #,##0.00_-;_-* &quot;-&quot;_-;_-@_-"/>
    <numFmt numFmtId="198" formatCode="_-* #,##0_-;\-* #,##0_-;_-* &quot;-&quot;_-;_-@_-"/>
    <numFmt numFmtId="199" formatCode="_-* #,##0.00_-;\-* #,##0.00_-;_-* &quot;-&quot;??_-;_-@_-"/>
    <numFmt numFmtId="200" formatCode="#,##0.00_);[Red]\(#,##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4"/>
      <name val="Arial"/>
      <family val="2"/>
    </font>
    <font>
      <b/>
      <sz val="14"/>
      <name val="宋体"/>
      <family val="3"/>
      <charset val="134"/>
    </font>
    <font>
      <b/>
      <sz val="10"/>
      <color indexed="9"/>
      <name val="宋体"/>
      <family val="3"/>
      <charset val="134"/>
    </font>
    <font>
      <b/>
      <sz val="10"/>
      <color indexed="9"/>
      <name val="Arial"/>
      <family val="2"/>
    </font>
    <font>
      <b/>
      <sz val="10"/>
      <color theme="0"/>
      <name val="宋体"/>
      <family val="3"/>
      <charset val="134"/>
    </font>
    <font>
      <b/>
      <sz val="10"/>
      <name val="微软雅黑"/>
      <family val="2"/>
      <charset val="134"/>
    </font>
    <font>
      <b/>
      <sz val="10"/>
      <color indexed="12"/>
      <name val="微软雅黑"/>
      <family val="2"/>
      <charset val="134"/>
    </font>
    <font>
      <b/>
      <sz val="10"/>
      <color indexed="12"/>
      <name val="Arial"/>
      <family val="2"/>
    </font>
    <font>
      <sz val="9"/>
      <color theme="1"/>
      <name val="Arial"/>
      <family val="2"/>
    </font>
    <font>
      <b/>
      <sz val="9"/>
      <name val="Tahoma"/>
      <family val="2"/>
    </font>
    <font>
      <sz val="9"/>
      <name val="Tahoma"/>
      <family val="2"/>
    </font>
    <font>
      <sz val="10"/>
      <color indexed="8"/>
      <name val="Arial"/>
      <family val="3"/>
      <charset val="134"/>
    </font>
    <font>
      <sz val="11"/>
      <color rgb="FF000000"/>
      <name val="Arial"/>
      <family val="2"/>
    </font>
    <font>
      <sz val="12"/>
      <color theme="1"/>
      <name val="宋体"/>
      <family val="2"/>
      <scheme val="minor"/>
    </font>
    <font>
      <sz val="10"/>
      <color theme="1"/>
      <name val="宋体"/>
      <family val="2"/>
      <scheme val="minor"/>
    </font>
    <font>
      <sz val="10"/>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916863"/>
        <bgColor indexed="64"/>
      </patternFill>
    </fill>
    <fill>
      <patternFill patternType="solid">
        <fgColor indexed="2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style="dotted">
        <color theme="3" tint="0.39991454817346722"/>
      </right>
      <top style="dotted">
        <color theme="3" tint="0.39991454817346722"/>
      </top>
      <bottom style="dotted">
        <color theme="3" tint="0.39991454817346722"/>
      </bottom>
      <diagonal/>
    </border>
    <border>
      <left style="dotted">
        <color theme="3" tint="0.39991454817346722"/>
      </left>
      <right style="dotted">
        <color theme="3" tint="0.39991454817346722"/>
      </right>
      <top style="dotted">
        <color theme="3" tint="0.39991454817346722"/>
      </top>
      <bottom style="dotted">
        <color theme="3" tint="0.39991454817346722"/>
      </bottom>
      <diagonal/>
    </border>
    <border>
      <left/>
      <right/>
      <top style="dotted">
        <color theme="3" tint="0.39991454817346722"/>
      </top>
      <bottom style="dotted">
        <color theme="3" tint="0.39991454817346722"/>
      </bottom>
      <diagonal/>
    </border>
  </borders>
  <cellStyleXfs count="26">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41" fontId="134" fillId="0" borderId="0" applyFont="0" applyFill="0" applyBorder="0" applyAlignment="0" applyProtection="0">
      <alignment vertical="center"/>
    </xf>
    <xf numFmtId="0" fontId="37" fillId="0" borderId="0">
      <alignment vertical="center"/>
    </xf>
    <xf numFmtId="0" fontId="134" fillId="0" borderId="0">
      <alignment vertical="center"/>
    </xf>
    <xf numFmtId="43" fontId="134" fillId="0" borderId="0" applyFont="0" applyFill="0" applyBorder="0" applyAlignment="0" applyProtection="0">
      <alignment vertical="center"/>
    </xf>
    <xf numFmtId="43" fontId="37" fillId="0" borderId="0" applyFont="0" applyFill="0" applyBorder="0" applyAlignment="0" applyProtection="0">
      <alignment vertical="center"/>
    </xf>
    <xf numFmtId="0" fontId="134" fillId="0" borderId="0">
      <alignment vertical="center"/>
    </xf>
    <xf numFmtId="0" fontId="268" fillId="0" borderId="0"/>
    <xf numFmtId="0" fontId="271" fillId="0" borderId="0" applyNumberFormat="0" applyFill="0" applyBorder="0" applyAlignment="0" applyProtection="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49" fontId="174" fillId="7" borderId="85"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111" fillId="0" borderId="1" xfId="10" applyFont="1" applyBorder="1" applyAlignment="1">
      <alignment horizontal="center" vertical="center" wrapText="1"/>
    </xf>
    <xf numFmtId="0" fontId="111" fillId="0" borderId="0" xfId="10" applyFont="1" applyAlignment="1">
      <alignment vertical="center" wrapText="1"/>
    </xf>
    <xf numFmtId="0" fontId="111" fillId="0" borderId="1" xfId="10" applyFont="1" applyBorder="1" applyAlignment="1">
      <alignment horizontal="center" vertical="center"/>
    </xf>
    <xf numFmtId="0" fontId="111" fillId="0" borderId="1" xfId="10" applyFont="1" applyBorder="1" applyAlignment="1">
      <alignment horizontal="left" vertical="center"/>
    </xf>
    <xf numFmtId="0" fontId="111" fillId="0" borderId="1" xfId="10" applyFont="1" applyBorder="1" applyAlignment="1">
      <alignment horizontal="right" vertical="center"/>
    </xf>
    <xf numFmtId="0" fontId="111" fillId="0" borderId="0" xfId="10" applyFont="1">
      <alignment vertical="center"/>
    </xf>
    <xf numFmtId="0" fontId="117" fillId="0" borderId="1" xfId="10" applyFont="1" applyBorder="1" applyAlignment="1">
      <alignment horizontal="center" vertical="center"/>
    </xf>
    <xf numFmtId="0" fontId="117" fillId="0" borderId="1" xfId="10" applyFont="1" applyBorder="1">
      <alignment vertical="center"/>
    </xf>
    <xf numFmtId="179" fontId="117" fillId="0" borderId="1" xfId="10" applyNumberFormat="1" applyFont="1" applyBorder="1" applyAlignment="1">
      <alignment horizontal="center" vertical="center"/>
    </xf>
    <xf numFmtId="0" fontId="111" fillId="0" borderId="0" xfId="10" applyFont="1" applyAlignment="1">
      <alignment horizontal="center" vertical="center"/>
    </xf>
    <xf numFmtId="0" fontId="56" fillId="0" borderId="0" xfId="17" applyFont="1">
      <alignment vertical="center"/>
    </xf>
    <xf numFmtId="0" fontId="49" fillId="0" borderId="0" xfId="17" applyFont="1">
      <alignment vertical="center"/>
    </xf>
    <xf numFmtId="0" fontId="56" fillId="0" borderId="0" xfId="17" applyFont="1" applyAlignment="1">
      <alignment horizontal="center" vertical="center"/>
    </xf>
    <xf numFmtId="0" fontId="49" fillId="0" borderId="0" xfId="17" applyFont="1" applyAlignment="1">
      <alignment horizontal="left" vertical="center"/>
    </xf>
    <xf numFmtId="0" fontId="150" fillId="20" borderId="162" xfId="17" applyFont="1" applyFill="1" applyBorder="1" applyAlignment="1">
      <alignment horizontal="center" vertical="center" wrapText="1"/>
    </xf>
    <xf numFmtId="0" fontId="258" fillId="20" borderId="162" xfId="17" applyFont="1" applyFill="1" applyBorder="1" applyAlignment="1">
      <alignment horizontal="center" vertical="center" wrapText="1"/>
    </xf>
    <xf numFmtId="0" fontId="259" fillId="20" borderId="162" xfId="17" applyFont="1" applyFill="1" applyBorder="1" applyAlignment="1">
      <alignment horizontal="center" vertical="center" wrapText="1"/>
    </xf>
    <xf numFmtId="0" fontId="49" fillId="0" borderId="0" xfId="17" applyFont="1" applyAlignment="1">
      <alignment vertical="center" wrapText="1"/>
    </xf>
    <xf numFmtId="0" fontId="55" fillId="0" borderId="162" xfId="17" applyFont="1" applyBorder="1" applyAlignment="1">
      <alignment horizontal="center" vertical="center"/>
    </xf>
    <xf numFmtId="197" fontId="55" fillId="0" borderId="162" xfId="18" applyNumberFormat="1" applyFont="1" applyFill="1" applyBorder="1" applyAlignment="1">
      <alignment horizontal="right" vertical="center"/>
    </xf>
    <xf numFmtId="0" fontId="49" fillId="0" borderId="162" xfId="17" applyFont="1" applyBorder="1">
      <alignment vertical="center"/>
    </xf>
    <xf numFmtId="197" fontId="49" fillId="0" borderId="0" xfId="17" applyNumberFormat="1" applyFont="1">
      <alignment vertical="center"/>
    </xf>
    <xf numFmtId="0" fontId="56" fillId="0" borderId="163" xfId="17" applyFont="1" applyBorder="1" applyAlignment="1">
      <alignment horizontal="center" vertical="center"/>
    </xf>
    <xf numFmtId="197" fontId="56" fillId="0" borderId="163" xfId="18" applyNumberFormat="1" applyFont="1" applyFill="1" applyBorder="1" applyAlignment="1">
      <alignment horizontal="right" vertical="center"/>
    </xf>
    <xf numFmtId="43" fontId="49" fillId="0" borderId="0" xfId="17" applyNumberFormat="1" applyFont="1">
      <alignment vertical="center"/>
    </xf>
    <xf numFmtId="197" fontId="49" fillId="0" borderId="0" xfId="18" applyNumberFormat="1" applyFont="1">
      <alignment vertical="center"/>
    </xf>
    <xf numFmtId="0" fontId="260" fillId="0" borderId="0" xfId="17" applyFont="1" applyAlignment="1">
      <alignment vertical="center" wrapText="1"/>
    </xf>
    <xf numFmtId="0" fontId="56" fillId="0" borderId="0" xfId="17" applyFont="1" applyAlignment="1">
      <alignment vertical="center" wrapText="1"/>
    </xf>
    <xf numFmtId="43" fontId="56" fillId="0" borderId="0" xfId="17" applyNumberFormat="1" applyFont="1" applyAlignment="1">
      <alignment vertical="center" wrapText="1"/>
    </xf>
    <xf numFmtId="0" fontId="56" fillId="0" borderId="0" xfId="17" applyFont="1" applyAlignment="1">
      <alignment horizontal="center" vertical="center" wrapText="1"/>
    </xf>
    <xf numFmtId="0" fontId="261" fillId="0" borderId="1" xfId="17" applyFont="1" applyBorder="1" applyAlignment="1">
      <alignment horizontal="center" vertical="center" wrapText="1"/>
    </xf>
    <xf numFmtId="49" fontId="261" fillId="0" borderId="1" xfId="17" applyNumberFormat="1" applyFont="1" applyBorder="1" applyAlignment="1">
      <alignment horizontal="center" vertical="center"/>
    </xf>
    <xf numFmtId="0" fontId="261" fillId="0" borderId="5" xfId="17" applyFont="1" applyBorder="1" applyAlignment="1">
      <alignment horizontal="center" vertical="center" wrapText="1"/>
    </xf>
    <xf numFmtId="0" fontId="261" fillId="0" borderId="0" xfId="17" applyFont="1" applyAlignment="1">
      <alignment horizontal="center" vertical="center" wrapText="1"/>
    </xf>
    <xf numFmtId="0" fontId="55" fillId="0" borderId="0" xfId="17" applyFont="1" applyAlignment="1">
      <alignment horizontal="center" vertical="center"/>
    </xf>
    <xf numFmtId="49" fontId="262" fillId="0" borderId="1" xfId="17" applyNumberFormat="1" applyFont="1" applyBorder="1" applyAlignment="1">
      <alignment horizontal="center" vertical="center"/>
    </xf>
    <xf numFmtId="0" fontId="262" fillId="0" borderId="1" xfId="17" applyFont="1" applyBorder="1" applyAlignment="1">
      <alignment horizontal="center" vertical="center" wrapText="1"/>
    </xf>
    <xf numFmtId="0" fontId="262" fillId="0" borderId="0" xfId="17" applyFont="1" applyAlignment="1">
      <alignment horizontal="center" vertical="center" wrapText="1"/>
    </xf>
    <xf numFmtId="49" fontId="49" fillId="0" borderId="1" xfId="17" applyNumberFormat="1" applyFont="1" applyBorder="1" applyAlignment="1">
      <alignment horizontal="center" vertical="center"/>
    </xf>
    <xf numFmtId="197" fontId="49" fillId="0" borderId="1" xfId="18" applyNumberFormat="1" applyFont="1" applyFill="1" applyBorder="1" applyAlignment="1">
      <alignment horizontal="center" vertical="center"/>
    </xf>
    <xf numFmtId="0" fontId="49" fillId="0" borderId="1" xfId="17" applyFont="1" applyBorder="1">
      <alignment vertical="center"/>
    </xf>
    <xf numFmtId="197" fontId="55" fillId="0" borderId="1" xfId="18" applyNumberFormat="1" applyFont="1" applyFill="1" applyBorder="1" applyAlignment="1">
      <alignment horizontal="center" vertical="center"/>
    </xf>
    <xf numFmtId="197" fontId="55" fillId="0" borderId="1" xfId="17" applyNumberFormat="1" applyFont="1" applyBorder="1">
      <alignment vertical="center"/>
    </xf>
    <xf numFmtId="197" fontId="55" fillId="0" borderId="0" xfId="17" applyNumberFormat="1" applyFont="1">
      <alignment vertical="center"/>
    </xf>
    <xf numFmtId="198" fontId="55" fillId="0" borderId="0" xfId="18" applyNumberFormat="1" applyFont="1" applyAlignment="1">
      <alignment horizontal="center" vertical="center"/>
    </xf>
    <xf numFmtId="198" fontId="55" fillId="0" borderId="0" xfId="18" applyNumberFormat="1" applyFont="1" applyAlignment="1">
      <alignment vertical="center"/>
    </xf>
    <xf numFmtId="0" fontId="56" fillId="21" borderId="2" xfId="17" applyFont="1" applyFill="1" applyBorder="1" applyAlignment="1">
      <alignment horizontal="center" vertical="center" wrapText="1"/>
    </xf>
    <xf numFmtId="49" fontId="49" fillId="0" borderId="2" xfId="17" applyNumberFormat="1" applyFont="1" applyBorder="1" applyAlignment="1">
      <alignment horizontal="center" vertical="center"/>
    </xf>
    <xf numFmtId="197" fontId="55" fillId="0" borderId="2" xfId="18" applyNumberFormat="1" applyFont="1" applyFill="1" applyBorder="1" applyAlignment="1">
      <alignment horizontal="center" vertical="center"/>
    </xf>
    <xf numFmtId="197" fontId="55" fillId="0" borderId="0" xfId="18" applyNumberFormat="1" applyFont="1" applyFill="1" applyBorder="1" applyAlignment="1">
      <alignment horizontal="center" vertical="center"/>
    </xf>
    <xf numFmtId="198" fontId="49" fillId="0" borderId="0" xfId="17" applyNumberFormat="1" applyFont="1">
      <alignment vertical="center"/>
    </xf>
    <xf numFmtId="197" fontId="49" fillId="0" borderId="13" xfId="18" applyNumberFormat="1" applyFont="1" applyFill="1" applyBorder="1" applyAlignment="1">
      <alignment horizontal="center" vertical="center"/>
    </xf>
    <xf numFmtId="49" fontId="49" fillId="0" borderId="13" xfId="17" applyNumberFormat="1" applyFont="1" applyBorder="1" applyAlignment="1">
      <alignment horizontal="center" vertical="center"/>
    </xf>
    <xf numFmtId="197" fontId="55" fillId="0" borderId="3" xfId="18" applyNumberFormat="1" applyFont="1" applyFill="1" applyBorder="1" applyAlignment="1">
      <alignment horizontal="center" vertical="center"/>
    </xf>
    <xf numFmtId="197" fontId="55" fillId="0" borderId="15" xfId="18" applyNumberFormat="1" applyFont="1" applyFill="1" applyBorder="1" applyAlignment="1">
      <alignment horizontal="center" vertical="center"/>
    </xf>
    <xf numFmtId="49" fontId="49" fillId="0" borderId="1" xfId="17" applyNumberFormat="1" applyFont="1" applyBorder="1" applyAlignment="1">
      <alignment horizontal="center" vertical="center" wrapText="1"/>
    </xf>
    <xf numFmtId="49" fontId="54" fillId="0" borderId="2" xfId="17" applyNumberFormat="1" applyFont="1" applyBorder="1" applyAlignment="1">
      <alignment horizontal="center" vertical="center"/>
    </xf>
    <xf numFmtId="197" fontId="55" fillId="0" borderId="13" xfId="18" applyNumberFormat="1" applyFont="1" applyFill="1" applyBorder="1" applyAlignment="1">
      <alignment horizontal="center" vertical="center"/>
    </xf>
    <xf numFmtId="49" fontId="49" fillId="0" borderId="1" xfId="17" applyNumberFormat="1" applyFont="1" applyBorder="1" applyAlignment="1">
      <alignment horizontal="right" vertical="center"/>
    </xf>
    <xf numFmtId="197" fontId="55" fillId="0" borderId="13" xfId="18" applyNumberFormat="1" applyFont="1" applyFill="1" applyBorder="1" applyAlignment="1">
      <alignment horizontal="right" vertical="center"/>
    </xf>
    <xf numFmtId="43" fontId="49" fillId="5" borderId="0" xfId="17" applyNumberFormat="1" applyFont="1" applyFill="1">
      <alignment vertical="center"/>
    </xf>
    <xf numFmtId="199" fontId="49" fillId="0" borderId="0" xfId="17" applyNumberFormat="1" applyFont="1">
      <alignment vertical="center"/>
    </xf>
    <xf numFmtId="197" fontId="55" fillId="5" borderId="13" xfId="18" applyNumberFormat="1" applyFont="1" applyFill="1" applyBorder="1" applyAlignment="1">
      <alignment horizontal="center" vertical="center"/>
    </xf>
    <xf numFmtId="177" fontId="54" fillId="0" borderId="5" xfId="17" applyNumberFormat="1" applyFont="1" applyBorder="1" applyAlignment="1">
      <alignment horizontal="center" vertical="center" wrapText="1"/>
    </xf>
    <xf numFmtId="0" fontId="79" fillId="0" borderId="0" xfId="17" applyFont="1">
      <alignment vertical="center"/>
    </xf>
    <xf numFmtId="0" fontId="260" fillId="0" borderId="164" xfId="20" applyFont="1" applyBorder="1" applyAlignment="1">
      <alignment horizontal="center" vertical="center" wrapText="1"/>
    </xf>
    <xf numFmtId="0" fontId="260" fillId="0" borderId="165" xfId="20" applyFont="1" applyBorder="1" applyAlignment="1">
      <alignment horizontal="center" vertical="center" wrapText="1"/>
    </xf>
    <xf numFmtId="0" fontId="260" fillId="0" borderId="165" xfId="20" applyFont="1" applyBorder="1" applyAlignment="1">
      <alignment horizontal="center" vertical="center"/>
    </xf>
    <xf numFmtId="43" fontId="260" fillId="0" borderId="165" xfId="21" applyFont="1" applyFill="1" applyBorder="1" applyAlignment="1">
      <alignment horizontal="center" vertical="center"/>
    </xf>
    <xf numFmtId="43" fontId="260" fillId="0" borderId="165" xfId="21" applyFont="1" applyFill="1" applyBorder="1" applyAlignment="1">
      <alignment horizontal="center" vertical="center" wrapText="1"/>
    </xf>
    <xf numFmtId="43" fontId="260" fillId="9" borderId="165" xfId="21" applyFont="1" applyFill="1" applyBorder="1" applyAlignment="1">
      <alignment horizontal="center" vertical="center"/>
    </xf>
    <xf numFmtId="186" fontId="260" fillId="0" borderId="165" xfId="20" applyNumberFormat="1" applyFont="1" applyBorder="1" applyAlignment="1">
      <alignment horizontal="center" vertical="center" wrapText="1"/>
    </xf>
    <xf numFmtId="200" fontId="260" fillId="0" borderId="165" xfId="20" applyNumberFormat="1" applyFont="1" applyBorder="1" applyAlignment="1">
      <alignment horizontal="center" vertical="center" wrapText="1"/>
    </xf>
    <xf numFmtId="186" fontId="260" fillId="0" borderId="165" xfId="20" applyNumberFormat="1" applyFont="1" applyBorder="1" applyAlignment="1">
      <alignment horizontal="center" vertical="center"/>
    </xf>
    <xf numFmtId="43" fontId="134" fillId="0" borderId="0" xfId="20" applyNumberFormat="1" applyAlignment="1"/>
    <xf numFmtId="179" fontId="134" fillId="0" borderId="0" xfId="20" applyNumberFormat="1" applyAlignment="1"/>
    <xf numFmtId="0" fontId="134" fillId="0" borderId="0" xfId="20" applyAlignment="1"/>
    <xf numFmtId="0" fontId="49" fillId="0" borderId="164" xfId="20" applyFont="1" applyBorder="1" applyAlignment="1">
      <alignment horizontal="center" vertical="center"/>
    </xf>
    <xf numFmtId="0" fontId="49" fillId="0" borderId="165" xfId="20" applyFont="1" applyBorder="1" applyAlignment="1">
      <alignment horizontal="center" vertical="center"/>
    </xf>
    <xf numFmtId="0" fontId="49" fillId="0" borderId="165" xfId="20" applyFont="1" applyBorder="1" applyAlignment="1">
      <alignment horizontal="left" vertical="center" wrapText="1"/>
    </xf>
    <xf numFmtId="0" fontId="55" fillId="0" borderId="165" xfId="20" applyFont="1" applyBorder="1" applyAlignment="1">
      <alignment horizontal="left" vertical="center"/>
    </xf>
    <xf numFmtId="179" fontId="49" fillId="0" borderId="165" xfId="20" applyNumberFormat="1" applyFont="1" applyBorder="1">
      <alignment vertical="center"/>
    </xf>
    <xf numFmtId="179" fontId="55" fillId="0" borderId="165" xfId="20" applyNumberFormat="1" applyFont="1" applyBorder="1">
      <alignment vertical="center"/>
    </xf>
    <xf numFmtId="14" fontId="49" fillId="0" borderId="165" xfId="20" applyNumberFormat="1" applyFont="1" applyBorder="1" applyAlignment="1">
      <alignment horizontal="center" vertical="center"/>
    </xf>
    <xf numFmtId="0" fontId="49" fillId="0" borderId="165" xfId="20" applyFont="1" applyBorder="1" applyAlignment="1">
      <alignment horizontal="center" vertical="center" wrapText="1"/>
    </xf>
    <xf numFmtId="43" fontId="49" fillId="0" borderId="165" xfId="21" applyFont="1" applyFill="1" applyBorder="1" applyAlignment="1">
      <alignment horizontal="center" vertical="center"/>
    </xf>
    <xf numFmtId="43" fontId="49" fillId="9" borderId="165" xfId="21" applyFont="1" applyFill="1" applyBorder="1" applyAlignment="1">
      <alignment horizontal="center" vertical="center"/>
    </xf>
    <xf numFmtId="186" fontId="49" fillId="0" borderId="165" xfId="21" applyNumberFormat="1" applyFont="1" applyFill="1" applyBorder="1" applyAlignment="1">
      <alignment horizontal="center" vertical="center" wrapText="1"/>
    </xf>
    <xf numFmtId="179" fontId="49" fillId="0" borderId="165" xfId="20" applyNumberFormat="1" applyFont="1" applyBorder="1" applyAlignment="1">
      <alignment vertical="center" wrapText="1"/>
    </xf>
    <xf numFmtId="186" fontId="49" fillId="0" borderId="165" xfId="20" applyNumberFormat="1" applyFont="1" applyBorder="1" applyAlignment="1">
      <alignment horizontal="center" vertical="center"/>
    </xf>
    <xf numFmtId="43" fontId="49" fillId="0" borderId="165" xfId="22" applyFont="1" applyFill="1" applyBorder="1" applyAlignment="1">
      <alignment vertical="center"/>
    </xf>
    <xf numFmtId="43" fontId="49" fillId="0" borderId="165" xfId="20" applyNumberFormat="1" applyFont="1" applyBorder="1" applyAlignment="1">
      <alignment horizontal="center" vertical="center"/>
    </xf>
    <xf numFmtId="14" fontId="55" fillId="0" borderId="165" xfId="20" applyNumberFormat="1" applyFont="1" applyBorder="1" applyAlignment="1">
      <alignment horizontal="center" vertical="center"/>
    </xf>
    <xf numFmtId="186" fontId="46" fillId="0" borderId="165" xfId="21" applyNumberFormat="1" applyFont="1" applyFill="1" applyBorder="1" applyAlignment="1">
      <alignment horizontal="center" vertical="center" wrapText="1"/>
    </xf>
    <xf numFmtId="0" fontId="46" fillId="0" borderId="165" xfId="20" applyFont="1" applyBorder="1" applyAlignment="1">
      <alignment vertical="center" wrapText="1"/>
    </xf>
    <xf numFmtId="43" fontId="55" fillId="0" borderId="165" xfId="21" applyFont="1" applyFill="1" applyBorder="1" applyAlignment="1">
      <alignment horizontal="center" vertical="center"/>
    </xf>
    <xf numFmtId="0" fontId="19" fillId="0" borderId="165" xfId="20" applyFont="1" applyBorder="1" applyAlignment="1">
      <alignment horizontal="left" vertical="center"/>
    </xf>
    <xf numFmtId="0" fontId="49" fillId="5" borderId="164" xfId="20" applyFont="1" applyFill="1" applyBorder="1" applyAlignment="1">
      <alignment horizontal="center" vertical="center"/>
    </xf>
    <xf numFmtId="0" fontId="49" fillId="5" borderId="165" xfId="20" applyFont="1" applyFill="1" applyBorder="1" applyAlignment="1">
      <alignment horizontal="center" vertical="center"/>
    </xf>
    <xf numFmtId="0" fontId="79" fillId="5" borderId="165" xfId="20" applyFont="1" applyFill="1" applyBorder="1" applyAlignment="1">
      <alignment horizontal="left" vertical="center" wrapText="1"/>
    </xf>
    <xf numFmtId="0" fontId="55" fillId="5" borderId="165" xfId="20" applyFont="1" applyFill="1" applyBorder="1" applyAlignment="1">
      <alignment horizontal="left" vertical="center"/>
    </xf>
    <xf numFmtId="179" fontId="49" fillId="5" borderId="165" xfId="20" applyNumberFormat="1" applyFont="1" applyFill="1" applyBorder="1">
      <alignment vertical="center"/>
    </xf>
    <xf numFmtId="179" fontId="55" fillId="5" borderId="165" xfId="20" applyNumberFormat="1" applyFont="1" applyFill="1" applyBorder="1">
      <alignment vertical="center"/>
    </xf>
    <xf numFmtId="14" fontId="49" fillId="5" borderId="165" xfId="20" applyNumberFormat="1" applyFont="1" applyFill="1" applyBorder="1" applyAlignment="1">
      <alignment horizontal="center" vertical="center"/>
    </xf>
    <xf numFmtId="0" fontId="49" fillId="5" borderId="165" xfId="20" applyFont="1" applyFill="1" applyBorder="1" applyAlignment="1">
      <alignment horizontal="center" vertical="center" wrapText="1"/>
    </xf>
    <xf numFmtId="43" fontId="49" fillId="5" borderId="165" xfId="21" applyFont="1" applyFill="1" applyBorder="1" applyAlignment="1">
      <alignment horizontal="center" vertical="center"/>
    </xf>
    <xf numFmtId="186" fontId="49" fillId="5" borderId="165" xfId="21" applyNumberFormat="1" applyFont="1" applyFill="1" applyBorder="1" applyAlignment="1">
      <alignment horizontal="center" vertical="center" wrapText="1"/>
    </xf>
    <xf numFmtId="179" fontId="49" fillId="5" borderId="165" xfId="20" applyNumberFormat="1" applyFont="1" applyFill="1" applyBorder="1" applyAlignment="1">
      <alignment vertical="center" wrapText="1"/>
    </xf>
    <xf numFmtId="186" fontId="49" fillId="5" borderId="165" xfId="20" applyNumberFormat="1" applyFont="1" applyFill="1" applyBorder="1" applyAlignment="1">
      <alignment horizontal="center" vertical="center"/>
    </xf>
    <xf numFmtId="43" fontId="49" fillId="5" borderId="165" xfId="22" applyFont="1" applyFill="1" applyBorder="1" applyAlignment="1">
      <alignment vertical="center"/>
    </xf>
    <xf numFmtId="43" fontId="49" fillId="5" borderId="165" xfId="20" applyNumberFormat="1" applyFont="1" applyFill="1" applyBorder="1" applyAlignment="1">
      <alignment horizontal="center" vertical="center"/>
    </xf>
    <xf numFmtId="43" fontId="134" fillId="5" borderId="0" xfId="20" applyNumberFormat="1" applyFill="1" applyAlignment="1"/>
    <xf numFmtId="0" fontId="134" fillId="5" borderId="0" xfId="20" applyFill="1" applyAlignment="1"/>
    <xf numFmtId="186" fontId="46" fillId="0" borderId="165" xfId="20" applyNumberFormat="1" applyFont="1" applyBorder="1" applyAlignment="1">
      <alignment horizontal="center" vertical="center" wrapText="1"/>
    </xf>
    <xf numFmtId="0" fontId="55" fillId="0" borderId="165" xfId="23" applyFont="1" applyBorder="1" applyAlignment="1">
      <alignment horizontal="left" vertical="center"/>
    </xf>
    <xf numFmtId="0" fontId="103" fillId="0" borderId="165" xfId="20" applyFont="1" applyBorder="1" applyAlignment="1">
      <alignment horizontal="center" vertical="center"/>
    </xf>
    <xf numFmtId="0" fontId="103" fillId="0" borderId="165" xfId="20" applyFont="1" applyBorder="1" applyAlignment="1">
      <alignment horizontal="left" vertical="center" wrapText="1"/>
    </xf>
    <xf numFmtId="0" fontId="79" fillId="0" borderId="165" xfId="20" applyFont="1" applyBorder="1" applyAlignment="1">
      <alignment horizontal="left" vertical="center" wrapText="1"/>
    </xf>
    <xf numFmtId="0" fontId="79" fillId="0" borderId="165" xfId="20" applyFont="1" applyBorder="1" applyAlignment="1">
      <alignment horizontal="center" vertical="center"/>
    </xf>
    <xf numFmtId="49" fontId="49" fillId="0" borderId="165" xfId="20" applyNumberFormat="1" applyFont="1" applyBorder="1" applyAlignment="1">
      <alignment horizontal="center" vertical="center"/>
    </xf>
    <xf numFmtId="14" fontId="49" fillId="0" borderId="165" xfId="21" applyNumberFormat="1" applyFont="1" applyFill="1" applyBorder="1" applyAlignment="1">
      <alignment horizontal="center" vertical="center"/>
    </xf>
    <xf numFmtId="0" fontId="49" fillId="5" borderId="165" xfId="20" applyFont="1" applyFill="1" applyBorder="1" applyAlignment="1">
      <alignment horizontal="left" vertical="center" wrapText="1"/>
    </xf>
    <xf numFmtId="0" fontId="19" fillId="5" borderId="165" xfId="20" applyFont="1" applyFill="1" applyBorder="1" applyAlignment="1">
      <alignment horizontal="left" vertical="center"/>
    </xf>
    <xf numFmtId="14" fontId="49" fillId="5" borderId="165" xfId="21" applyNumberFormat="1" applyFont="1" applyFill="1" applyBorder="1" applyAlignment="1">
      <alignment horizontal="center" vertical="center"/>
    </xf>
    <xf numFmtId="43" fontId="55" fillId="5" borderId="165" xfId="21" applyFont="1" applyFill="1" applyBorder="1" applyAlignment="1">
      <alignment horizontal="center" vertical="center"/>
    </xf>
    <xf numFmtId="43" fontId="252" fillId="0" borderId="165" xfId="21" applyFont="1" applyFill="1" applyBorder="1" applyAlignment="1">
      <alignment horizontal="center" vertical="center"/>
    </xf>
    <xf numFmtId="186" fontId="252" fillId="0" borderId="165" xfId="21" applyNumberFormat="1" applyFont="1" applyFill="1" applyBorder="1" applyAlignment="1">
      <alignment horizontal="center" vertical="center" wrapText="1"/>
    </xf>
    <xf numFmtId="200" fontId="252" fillId="0" borderId="165" xfId="20" applyNumberFormat="1" applyFont="1" applyBorder="1" applyAlignment="1">
      <alignment vertical="center" wrapText="1"/>
    </xf>
    <xf numFmtId="186" fontId="252" fillId="0" borderId="165" xfId="20" applyNumberFormat="1" applyFont="1" applyBorder="1" applyAlignment="1">
      <alignment horizontal="center" vertical="center"/>
    </xf>
    <xf numFmtId="0" fontId="103" fillId="0" borderId="164" xfId="20" applyFont="1" applyBorder="1" applyAlignment="1">
      <alignment horizontal="center" vertical="center"/>
    </xf>
    <xf numFmtId="179" fontId="103" fillId="0" borderId="165" xfId="20" applyNumberFormat="1" applyFont="1" applyBorder="1">
      <alignment vertical="center"/>
    </xf>
    <xf numFmtId="0" fontId="103" fillId="0" borderId="165" xfId="20" applyFont="1" applyBorder="1" applyAlignment="1">
      <alignment horizontal="center" vertical="center" wrapText="1"/>
    </xf>
    <xf numFmtId="43" fontId="263" fillId="0" borderId="165" xfId="21" applyFont="1" applyFill="1" applyBorder="1" applyAlignment="1">
      <alignment horizontal="center" vertical="center"/>
    </xf>
    <xf numFmtId="186" fontId="263" fillId="0" borderId="165" xfId="21" applyNumberFormat="1" applyFont="1" applyFill="1" applyBorder="1" applyAlignment="1">
      <alignment horizontal="center" vertical="center" wrapText="1"/>
    </xf>
    <xf numFmtId="200" fontId="263" fillId="0" borderId="165" xfId="20" applyNumberFormat="1" applyFont="1" applyBorder="1" applyAlignment="1">
      <alignment vertical="center" wrapText="1"/>
    </xf>
    <xf numFmtId="186" fontId="263" fillId="0" borderId="165" xfId="20" applyNumberFormat="1" applyFont="1" applyBorder="1" applyAlignment="1">
      <alignment horizontal="center" vertical="center"/>
    </xf>
    <xf numFmtId="43" fontId="103" fillId="0" borderId="165" xfId="22" applyFont="1" applyFill="1" applyBorder="1" applyAlignment="1">
      <alignment vertical="center"/>
    </xf>
    <xf numFmtId="43" fontId="103" fillId="0" borderId="165" xfId="20" applyNumberFormat="1" applyFont="1" applyBorder="1" applyAlignment="1">
      <alignment horizontal="center" vertical="center"/>
    </xf>
    <xf numFmtId="0" fontId="53" fillId="0" borderId="0" xfId="20" applyFont="1">
      <alignment vertical="center"/>
    </xf>
    <xf numFmtId="43" fontId="49" fillId="0" borderId="165" xfId="21" applyFont="1" applyFill="1" applyBorder="1" applyAlignment="1">
      <alignment vertical="center"/>
    </xf>
    <xf numFmtId="0" fontId="49" fillId="0" borderId="166" xfId="20" applyFont="1" applyBorder="1" applyAlignment="1">
      <alignment horizontal="center" vertical="center"/>
    </xf>
    <xf numFmtId="0" fontId="79" fillId="0" borderId="166" xfId="20" applyFont="1" applyBorder="1" applyAlignment="1">
      <alignment horizontal="center" vertical="center"/>
    </xf>
    <xf numFmtId="0" fontId="49" fillId="0" borderId="166" xfId="20" applyFont="1" applyBorder="1" applyAlignment="1">
      <alignment horizontal="left" vertical="center" wrapText="1"/>
    </xf>
    <xf numFmtId="0" fontId="19" fillId="0" borderId="164" xfId="20" applyFont="1" applyBorder="1" applyAlignment="1">
      <alignment horizontal="left" vertical="center"/>
    </xf>
    <xf numFmtId="0" fontId="79" fillId="0" borderId="164" xfId="20" applyFont="1" applyBorder="1" applyAlignment="1">
      <alignment horizontal="center" vertical="center"/>
    </xf>
    <xf numFmtId="0" fontId="49" fillId="0" borderId="165" xfId="20" applyFont="1" applyBorder="1" applyAlignment="1">
      <alignment horizontal="left" vertical="center"/>
    </xf>
    <xf numFmtId="43" fontId="134" fillId="9" borderId="0" xfId="20" applyNumberFormat="1" applyFill="1" applyAlignment="1"/>
    <xf numFmtId="0" fontId="97" fillId="0" borderId="0" xfId="20" applyFont="1" applyAlignment="1"/>
    <xf numFmtId="0" fontId="134" fillId="9" borderId="0" xfId="20" applyFill="1" applyAlignment="1"/>
    <xf numFmtId="49" fontId="174" fillId="7" borderId="88" xfId="0" applyNumberFormat="1" applyFont="1" applyFill="1" applyBorder="1" applyAlignment="1">
      <alignment horizontal="left" vertical="center"/>
    </xf>
    <xf numFmtId="49" fontId="174" fillId="7" borderId="118" xfId="0" applyNumberFormat="1" applyFont="1" applyFill="1" applyBorder="1" applyAlignment="1">
      <alignment horizontal="left" vertical="center"/>
    </xf>
    <xf numFmtId="177" fontId="266" fillId="0" borderId="1" xfId="1" applyNumberFormat="1" applyFont="1" applyBorder="1" applyProtection="1">
      <alignment vertical="center"/>
      <protection locked="0" hidden="1"/>
    </xf>
    <xf numFmtId="177" fontId="79" fillId="0" borderId="1" xfId="1" applyNumberFormat="1" applyFont="1" applyBorder="1" applyProtection="1">
      <alignment vertical="center"/>
      <protection locked="0" hidden="1"/>
    </xf>
    <xf numFmtId="0" fontId="267" fillId="0" borderId="23" xfId="0" applyFont="1" applyBorder="1" applyProtection="1">
      <alignment vertical="center"/>
      <protection locked="0"/>
    </xf>
    <xf numFmtId="0" fontId="97" fillId="0" borderId="9"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49" fontId="97" fillId="0" borderId="14" xfId="0" applyNumberFormat="1" applyFont="1" applyBorder="1" applyAlignment="1" applyProtection="1">
      <alignment horizontal="center" vertical="center" wrapText="1"/>
      <protection locked="0"/>
    </xf>
    <xf numFmtId="0" fontId="0" fillId="0" borderId="1" xfId="0" applyBorder="1" applyAlignment="1">
      <alignment horizontal="center" vertical="center"/>
    </xf>
    <xf numFmtId="0" fontId="269" fillId="0" borderId="0" xfId="24" applyFont="1" applyAlignment="1">
      <alignment horizontal="left" vertical="center"/>
    </xf>
    <xf numFmtId="14" fontId="111" fillId="0" borderId="0" xfId="24" applyNumberFormat="1" applyFont="1" applyAlignment="1">
      <alignment horizontal="left" vertical="center"/>
    </xf>
    <xf numFmtId="0" fontId="269" fillId="5" borderId="0" xfId="24" applyFont="1" applyFill="1" applyAlignment="1">
      <alignment horizontal="left" vertical="center"/>
    </xf>
    <xf numFmtId="14" fontId="111" fillId="5" borderId="0" xfId="24" applyNumberFormat="1" applyFont="1" applyFill="1" applyAlignment="1">
      <alignment horizontal="left" vertical="center"/>
    </xf>
    <xf numFmtId="0" fontId="270" fillId="0" borderId="0" xfId="24" applyFont="1" applyAlignment="1">
      <alignment horizontal="left" vertical="center"/>
    </xf>
    <xf numFmtId="14" fontId="270" fillId="0" borderId="0" xfId="24" applyNumberFormat="1" applyFont="1" applyAlignment="1">
      <alignment horizontal="left" vertical="center"/>
    </xf>
    <xf numFmtId="49" fontId="97" fillId="0" borderId="35" xfId="0" applyNumberFormat="1" applyFont="1" applyBorder="1" applyAlignment="1" applyProtection="1">
      <alignment horizontal="center" vertical="center" wrapText="1"/>
      <protection locked="0"/>
    </xf>
    <xf numFmtId="0" fontId="98" fillId="0" borderId="1" xfId="0" applyFont="1" applyBorder="1" applyAlignment="1">
      <alignment horizontal="center" vertical="center"/>
    </xf>
    <xf numFmtId="0" fontId="98" fillId="0" borderId="15" xfId="0" applyFont="1" applyBorder="1" applyAlignment="1">
      <alignment horizontal="center" vertical="center"/>
    </xf>
    <xf numFmtId="0" fontId="79" fillId="6" borderId="0" xfId="0" applyFont="1" applyFill="1" applyProtection="1">
      <alignment vertical="center"/>
      <protection locked="0"/>
    </xf>
    <xf numFmtId="0" fontId="79" fillId="7" borderId="0" xfId="0" applyFont="1" applyFill="1" applyProtection="1">
      <alignment vertical="center"/>
      <protection locked="0"/>
    </xf>
    <xf numFmtId="0" fontId="271" fillId="0" borderId="0" xfId="25" applyAlignment="1">
      <alignment horizontal="lef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232"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9" fillId="0" borderId="1" xfId="17" applyFont="1" applyBorder="1" applyAlignment="1">
      <alignment horizontal="center" vertical="center" wrapText="1"/>
    </xf>
    <xf numFmtId="177" fontId="54" fillId="0" borderId="4" xfId="17" applyNumberFormat="1" applyFont="1" applyBorder="1" applyAlignment="1">
      <alignment horizontal="center" vertical="center"/>
    </xf>
    <xf numFmtId="177" fontId="54" fillId="0" borderId="0" xfId="17" applyNumberFormat="1" applyFont="1" applyAlignment="1">
      <alignment horizontal="center" vertical="center"/>
    </xf>
    <xf numFmtId="177" fontId="54" fillId="0" borderId="35" xfId="17" applyNumberFormat="1" applyFont="1" applyBorder="1" applyAlignment="1">
      <alignment horizontal="center" vertical="center"/>
    </xf>
    <xf numFmtId="0" fontId="62" fillId="0" borderId="13" xfId="17" applyFont="1" applyBorder="1" applyAlignment="1">
      <alignment horizontal="center" vertical="center" wrapText="1"/>
    </xf>
    <xf numFmtId="0" fontId="62" fillId="0" borderId="15" xfId="17" applyFont="1" applyBorder="1" applyAlignment="1">
      <alignment horizontal="center" vertical="center" wrapText="1"/>
    </xf>
    <xf numFmtId="0" fontId="55" fillId="0" borderId="36" xfId="17" applyFont="1" applyBorder="1" applyAlignment="1">
      <alignment horizontal="center" vertical="center"/>
    </xf>
    <xf numFmtId="0" fontId="56" fillId="0" borderId="60" xfId="17" applyFont="1" applyBorder="1" applyAlignment="1">
      <alignment horizontal="center" vertical="center"/>
    </xf>
    <xf numFmtId="177" fontId="54" fillId="0" borderId="5" xfId="19" applyNumberFormat="1" applyFont="1" applyBorder="1" applyAlignment="1">
      <alignment horizontal="center" vertical="center" wrapText="1"/>
    </xf>
    <xf numFmtId="177" fontId="54" fillId="0" borderId="54" xfId="19" applyNumberFormat="1" applyFont="1" applyBorder="1" applyAlignment="1">
      <alignment horizontal="center" vertical="center" wrapText="1"/>
    </xf>
    <xf numFmtId="177" fontId="54" fillId="0" borderId="3" xfId="19" applyNumberFormat="1" applyFont="1" applyBorder="1" applyAlignment="1">
      <alignment horizontal="center" vertical="center" wrapText="1"/>
    </xf>
    <xf numFmtId="177" fontId="54" fillId="0" borderId="13" xfId="17" applyNumberFormat="1" applyFont="1" applyBorder="1" applyAlignment="1">
      <alignment horizontal="center" vertical="center" wrapText="1"/>
    </xf>
    <xf numFmtId="177" fontId="54" fillId="0" borderId="15" xfId="17" applyNumberFormat="1" applyFont="1" applyBorder="1" applyAlignment="1">
      <alignment horizontal="center" vertical="center" wrapText="1"/>
    </xf>
    <xf numFmtId="177" fontId="54" fillId="0" borderId="2" xfId="17" applyNumberFormat="1" applyFont="1" applyBorder="1" applyAlignment="1">
      <alignment horizontal="center" vertical="center" wrapText="1"/>
    </xf>
    <xf numFmtId="0" fontId="49" fillId="0" borderId="15" xfId="17" applyFont="1" applyBorder="1" applyAlignment="1">
      <alignment horizontal="center" vertical="center" wrapText="1"/>
    </xf>
    <xf numFmtId="0" fontId="260" fillId="0" borderId="0" xfId="17" applyFont="1" applyAlignment="1">
      <alignment horizontal="center" vertical="center" wrapText="1"/>
    </xf>
    <xf numFmtId="0" fontId="62" fillId="0" borderId="2" xfId="17" applyFont="1" applyBorder="1" applyAlignment="1">
      <alignment horizontal="center" vertical="center" wrapText="1"/>
    </xf>
    <xf numFmtId="0" fontId="255" fillId="0" borderId="0" xfId="17" applyFont="1" applyAlignment="1">
      <alignment horizontal="center" vertical="center"/>
    </xf>
    <xf numFmtId="0" fontId="49" fillId="0" borderId="160" xfId="17" applyFont="1" applyBorder="1" applyAlignment="1">
      <alignment horizontal="right" vertical="center"/>
    </xf>
    <xf numFmtId="0" fontId="150" fillId="20" borderId="161" xfId="17" applyFont="1" applyFill="1" applyBorder="1" applyAlignment="1">
      <alignment horizontal="center" vertical="center" wrapText="1"/>
    </xf>
    <xf numFmtId="0" fontId="150" fillId="20" borderId="162" xfId="17" applyFont="1" applyFill="1" applyBorder="1" applyAlignment="1">
      <alignment horizontal="center" vertical="center" wrapText="1"/>
    </xf>
    <xf numFmtId="0" fontId="150" fillId="20" borderId="161" xfId="17" applyFont="1" applyFill="1" applyBorder="1" applyAlignment="1">
      <alignment horizontal="center"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26">
    <cellStyle name="百分比 2" xfId="14"/>
    <cellStyle name="常规" xfId="0" builtinId="0"/>
    <cellStyle name="常规 10" xfId="24"/>
    <cellStyle name="常规 11 2" xfId="20"/>
    <cellStyle name="常规 12" xfId="17"/>
    <cellStyle name="常规 14" xfId="23"/>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5" builtinId="8"/>
    <cellStyle name="千位分隔 2" xfId="22"/>
    <cellStyle name="千位分隔 3 2" xfId="21"/>
    <cellStyle name="千位分隔[0] 2" xfId="18"/>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5" Type="http://schemas.openxmlformats.org/officeDocument/2006/relationships/image" Target="../media/image40.png"/><Relationship Id="rId4" Type="http://schemas.openxmlformats.org/officeDocument/2006/relationships/image" Target="../media/image3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5.xml.rels><?xml version="1.0" encoding="UTF-8" standalone="yes"?>
<Relationships xmlns="http://schemas.openxmlformats.org/package/2006/relationships"><Relationship Id="rId8" Type="http://schemas.openxmlformats.org/officeDocument/2006/relationships/image" Target="../media/image55.png"/><Relationship Id="rId3" Type="http://schemas.openxmlformats.org/officeDocument/2006/relationships/image" Target="../media/image50.png"/><Relationship Id="rId7" Type="http://schemas.openxmlformats.org/officeDocument/2006/relationships/image" Target="../media/image54.png"/><Relationship Id="rId12" Type="http://schemas.openxmlformats.org/officeDocument/2006/relationships/image" Target="../media/image59.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11" Type="http://schemas.openxmlformats.org/officeDocument/2006/relationships/image" Target="../media/image58.png"/><Relationship Id="rId5" Type="http://schemas.openxmlformats.org/officeDocument/2006/relationships/image" Target="../media/image52.pn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155</xdr:row>
      <xdr:rowOff>0</xdr:rowOff>
    </xdr:from>
    <xdr:to>
      <xdr:col>18</xdr:col>
      <xdr:colOff>65263</xdr:colOff>
      <xdr:row>191</xdr:row>
      <xdr:rowOff>18362</xdr:rowOff>
    </xdr:to>
    <xdr:pic>
      <xdr:nvPicPr>
        <xdr:cNvPr id="2" name="图片 1">
          <a:extLst>
            <a:ext uri="{FF2B5EF4-FFF2-40B4-BE49-F238E27FC236}">
              <a16:creationId xmlns="" xmlns:a16="http://schemas.microsoft.com/office/drawing/2014/main" id="{A86289C3-8F3A-6DCF-DA4D-53978B10F8B0}"/>
            </a:ext>
          </a:extLst>
        </xdr:cNvPr>
        <xdr:cNvPicPr>
          <a:picLocks noChangeAspect="1"/>
        </xdr:cNvPicPr>
      </xdr:nvPicPr>
      <xdr:blipFill>
        <a:blip xmlns:r="http://schemas.openxmlformats.org/officeDocument/2006/relationships" r:embed="rId1"/>
        <a:stretch>
          <a:fillRect/>
        </a:stretch>
      </xdr:blipFill>
      <xdr:spPr>
        <a:xfrm>
          <a:off x="0" y="15849600"/>
          <a:ext cx="11295238" cy="5504762"/>
        </a:xfrm>
        <a:prstGeom prst="rect">
          <a:avLst/>
        </a:prstGeom>
      </xdr:spPr>
    </xdr:pic>
    <xdr:clientData/>
  </xdr:twoCellAnchor>
  <xdr:twoCellAnchor editAs="oneCell">
    <xdr:from>
      <xdr:col>0</xdr:col>
      <xdr:colOff>0</xdr:colOff>
      <xdr:row>191</xdr:row>
      <xdr:rowOff>0</xdr:rowOff>
    </xdr:from>
    <xdr:to>
      <xdr:col>17</xdr:col>
      <xdr:colOff>893951</xdr:colOff>
      <xdr:row>220</xdr:row>
      <xdr:rowOff>75638</xdr:rowOff>
    </xdr:to>
    <xdr:pic>
      <xdr:nvPicPr>
        <xdr:cNvPr id="3" name="图片 2">
          <a:extLst>
            <a:ext uri="{FF2B5EF4-FFF2-40B4-BE49-F238E27FC236}">
              <a16:creationId xmlns="" xmlns:a16="http://schemas.microsoft.com/office/drawing/2014/main" id="{C118A038-78B3-D995-0F73-92167842611D}"/>
            </a:ext>
          </a:extLst>
        </xdr:cNvPr>
        <xdr:cNvPicPr>
          <a:picLocks noChangeAspect="1"/>
        </xdr:cNvPicPr>
      </xdr:nvPicPr>
      <xdr:blipFill>
        <a:blip xmlns:r="http://schemas.openxmlformats.org/officeDocument/2006/relationships" r:embed="rId2"/>
        <a:stretch>
          <a:fillRect/>
        </a:stretch>
      </xdr:blipFill>
      <xdr:spPr>
        <a:xfrm>
          <a:off x="0" y="21336000"/>
          <a:ext cx="11190476" cy="4495238"/>
        </a:xfrm>
        <a:prstGeom prst="rect">
          <a:avLst/>
        </a:prstGeom>
      </xdr:spPr>
    </xdr:pic>
    <xdr:clientData/>
  </xdr:twoCellAnchor>
  <xdr:twoCellAnchor editAs="oneCell">
    <xdr:from>
      <xdr:col>0</xdr:col>
      <xdr:colOff>0</xdr:colOff>
      <xdr:row>221</xdr:row>
      <xdr:rowOff>0</xdr:rowOff>
    </xdr:from>
    <xdr:to>
      <xdr:col>17</xdr:col>
      <xdr:colOff>808237</xdr:colOff>
      <xdr:row>245</xdr:row>
      <xdr:rowOff>37638</xdr:rowOff>
    </xdr:to>
    <xdr:pic>
      <xdr:nvPicPr>
        <xdr:cNvPr id="4" name="图片 3">
          <a:extLst>
            <a:ext uri="{FF2B5EF4-FFF2-40B4-BE49-F238E27FC236}">
              <a16:creationId xmlns="" xmlns:a16="http://schemas.microsoft.com/office/drawing/2014/main" id="{C9C4323E-C883-3992-BB56-042335410626}"/>
            </a:ext>
          </a:extLst>
        </xdr:cNvPr>
        <xdr:cNvPicPr>
          <a:picLocks noChangeAspect="1"/>
        </xdr:cNvPicPr>
      </xdr:nvPicPr>
      <xdr:blipFill>
        <a:blip xmlns:r="http://schemas.openxmlformats.org/officeDocument/2006/relationships" r:embed="rId3"/>
        <a:stretch>
          <a:fillRect/>
        </a:stretch>
      </xdr:blipFill>
      <xdr:spPr>
        <a:xfrm>
          <a:off x="0" y="25908000"/>
          <a:ext cx="11104762" cy="3695238"/>
        </a:xfrm>
        <a:prstGeom prst="rect">
          <a:avLst/>
        </a:prstGeom>
      </xdr:spPr>
    </xdr:pic>
    <xdr:clientData/>
  </xdr:twoCellAnchor>
  <xdr:twoCellAnchor editAs="oneCell">
    <xdr:from>
      <xdr:col>0</xdr:col>
      <xdr:colOff>0</xdr:colOff>
      <xdr:row>245</xdr:row>
      <xdr:rowOff>0</xdr:rowOff>
    </xdr:from>
    <xdr:to>
      <xdr:col>17</xdr:col>
      <xdr:colOff>874903</xdr:colOff>
      <xdr:row>271</xdr:row>
      <xdr:rowOff>9029</xdr:rowOff>
    </xdr:to>
    <xdr:pic>
      <xdr:nvPicPr>
        <xdr:cNvPr id="5" name="图片 4">
          <a:extLst>
            <a:ext uri="{FF2B5EF4-FFF2-40B4-BE49-F238E27FC236}">
              <a16:creationId xmlns="" xmlns:a16="http://schemas.microsoft.com/office/drawing/2014/main" id="{26F6F456-5C15-F598-70E6-0CFD308EFFC3}"/>
            </a:ext>
          </a:extLst>
        </xdr:cNvPr>
        <xdr:cNvPicPr>
          <a:picLocks noChangeAspect="1"/>
        </xdr:cNvPicPr>
      </xdr:nvPicPr>
      <xdr:blipFill>
        <a:blip xmlns:r="http://schemas.openxmlformats.org/officeDocument/2006/relationships" r:embed="rId4"/>
        <a:stretch>
          <a:fillRect/>
        </a:stretch>
      </xdr:blipFill>
      <xdr:spPr>
        <a:xfrm>
          <a:off x="0" y="29565600"/>
          <a:ext cx="11171428" cy="3971429"/>
        </a:xfrm>
        <a:prstGeom prst="rect">
          <a:avLst/>
        </a:prstGeom>
      </xdr:spPr>
    </xdr:pic>
    <xdr:clientData/>
  </xdr:twoCellAnchor>
  <xdr:twoCellAnchor editAs="oneCell">
    <xdr:from>
      <xdr:col>0</xdr:col>
      <xdr:colOff>0</xdr:colOff>
      <xdr:row>271</xdr:row>
      <xdr:rowOff>0</xdr:rowOff>
    </xdr:from>
    <xdr:to>
      <xdr:col>17</xdr:col>
      <xdr:colOff>884427</xdr:colOff>
      <xdr:row>292</xdr:row>
      <xdr:rowOff>132933</xdr:rowOff>
    </xdr:to>
    <xdr:pic>
      <xdr:nvPicPr>
        <xdr:cNvPr id="6" name="图片 5">
          <a:extLst>
            <a:ext uri="{FF2B5EF4-FFF2-40B4-BE49-F238E27FC236}">
              <a16:creationId xmlns="" xmlns:a16="http://schemas.microsoft.com/office/drawing/2014/main" id="{30C1ECA5-253B-0092-7795-2D6B16448A1E}"/>
            </a:ext>
          </a:extLst>
        </xdr:cNvPr>
        <xdr:cNvPicPr>
          <a:picLocks noChangeAspect="1"/>
        </xdr:cNvPicPr>
      </xdr:nvPicPr>
      <xdr:blipFill>
        <a:blip xmlns:r="http://schemas.openxmlformats.org/officeDocument/2006/relationships" r:embed="rId5"/>
        <a:stretch>
          <a:fillRect/>
        </a:stretch>
      </xdr:blipFill>
      <xdr:spPr>
        <a:xfrm>
          <a:off x="0" y="33528000"/>
          <a:ext cx="11180952" cy="3333333"/>
        </a:xfrm>
        <a:prstGeom prst="rect">
          <a:avLst/>
        </a:prstGeom>
      </xdr:spPr>
    </xdr:pic>
    <xdr:clientData/>
  </xdr:twoCellAnchor>
  <xdr:twoCellAnchor editAs="oneCell">
    <xdr:from>
      <xdr:col>0</xdr:col>
      <xdr:colOff>0</xdr:colOff>
      <xdr:row>293</xdr:row>
      <xdr:rowOff>0</xdr:rowOff>
    </xdr:from>
    <xdr:to>
      <xdr:col>17</xdr:col>
      <xdr:colOff>855856</xdr:colOff>
      <xdr:row>326</xdr:row>
      <xdr:rowOff>123181</xdr:rowOff>
    </xdr:to>
    <xdr:pic>
      <xdr:nvPicPr>
        <xdr:cNvPr id="7" name="图片 6">
          <a:extLst>
            <a:ext uri="{FF2B5EF4-FFF2-40B4-BE49-F238E27FC236}">
              <a16:creationId xmlns="" xmlns:a16="http://schemas.microsoft.com/office/drawing/2014/main" id="{4A2D3EDD-9005-1AC5-4A67-5E9F9B9D1050}"/>
            </a:ext>
          </a:extLst>
        </xdr:cNvPr>
        <xdr:cNvPicPr>
          <a:picLocks noChangeAspect="1"/>
        </xdr:cNvPicPr>
      </xdr:nvPicPr>
      <xdr:blipFill>
        <a:blip xmlns:r="http://schemas.openxmlformats.org/officeDocument/2006/relationships" r:embed="rId6"/>
        <a:stretch>
          <a:fillRect/>
        </a:stretch>
      </xdr:blipFill>
      <xdr:spPr>
        <a:xfrm>
          <a:off x="0" y="36880800"/>
          <a:ext cx="11152381" cy="5152381"/>
        </a:xfrm>
        <a:prstGeom prst="rect">
          <a:avLst/>
        </a:prstGeom>
      </xdr:spPr>
    </xdr:pic>
    <xdr:clientData/>
  </xdr:twoCellAnchor>
  <xdr:twoCellAnchor editAs="oneCell">
    <xdr:from>
      <xdr:col>0</xdr:col>
      <xdr:colOff>0</xdr:colOff>
      <xdr:row>329</xdr:row>
      <xdr:rowOff>0</xdr:rowOff>
    </xdr:from>
    <xdr:to>
      <xdr:col>18</xdr:col>
      <xdr:colOff>103358</xdr:colOff>
      <xdr:row>366</xdr:row>
      <xdr:rowOff>75486</xdr:rowOff>
    </xdr:to>
    <xdr:pic>
      <xdr:nvPicPr>
        <xdr:cNvPr id="8" name="图片 7">
          <a:extLst>
            <a:ext uri="{FF2B5EF4-FFF2-40B4-BE49-F238E27FC236}">
              <a16:creationId xmlns="" xmlns:a16="http://schemas.microsoft.com/office/drawing/2014/main" id="{7129CBD2-E28B-13B9-72E7-0BA48B594C8C}"/>
            </a:ext>
          </a:extLst>
        </xdr:cNvPr>
        <xdr:cNvPicPr>
          <a:picLocks noChangeAspect="1"/>
        </xdr:cNvPicPr>
      </xdr:nvPicPr>
      <xdr:blipFill>
        <a:blip xmlns:r="http://schemas.openxmlformats.org/officeDocument/2006/relationships" r:embed="rId7"/>
        <a:stretch>
          <a:fillRect/>
        </a:stretch>
      </xdr:blipFill>
      <xdr:spPr>
        <a:xfrm>
          <a:off x="0" y="42367200"/>
          <a:ext cx="11333333" cy="5714286"/>
        </a:xfrm>
        <a:prstGeom prst="rect">
          <a:avLst/>
        </a:prstGeom>
      </xdr:spPr>
    </xdr:pic>
    <xdr:clientData/>
  </xdr:twoCellAnchor>
  <xdr:twoCellAnchor editAs="oneCell">
    <xdr:from>
      <xdr:col>0</xdr:col>
      <xdr:colOff>0</xdr:colOff>
      <xdr:row>367</xdr:row>
      <xdr:rowOff>0</xdr:rowOff>
    </xdr:from>
    <xdr:to>
      <xdr:col>17</xdr:col>
      <xdr:colOff>922522</xdr:colOff>
      <xdr:row>397</xdr:row>
      <xdr:rowOff>123238</xdr:rowOff>
    </xdr:to>
    <xdr:pic>
      <xdr:nvPicPr>
        <xdr:cNvPr id="9" name="图片 8">
          <a:extLst>
            <a:ext uri="{FF2B5EF4-FFF2-40B4-BE49-F238E27FC236}">
              <a16:creationId xmlns="" xmlns:a16="http://schemas.microsoft.com/office/drawing/2014/main" id="{16884C7B-6B64-BA7E-CE79-CBFDBF6F6C89}"/>
            </a:ext>
          </a:extLst>
        </xdr:cNvPr>
        <xdr:cNvPicPr>
          <a:picLocks noChangeAspect="1"/>
        </xdr:cNvPicPr>
      </xdr:nvPicPr>
      <xdr:blipFill>
        <a:blip xmlns:r="http://schemas.openxmlformats.org/officeDocument/2006/relationships" r:embed="rId8"/>
        <a:stretch>
          <a:fillRect/>
        </a:stretch>
      </xdr:blipFill>
      <xdr:spPr>
        <a:xfrm>
          <a:off x="0" y="48158400"/>
          <a:ext cx="11219047" cy="4695238"/>
        </a:xfrm>
        <a:prstGeom prst="rect">
          <a:avLst/>
        </a:prstGeom>
      </xdr:spPr>
    </xdr:pic>
    <xdr:clientData/>
  </xdr:twoCellAnchor>
  <xdr:twoCellAnchor editAs="oneCell">
    <xdr:from>
      <xdr:col>0</xdr:col>
      <xdr:colOff>0</xdr:colOff>
      <xdr:row>398</xdr:row>
      <xdr:rowOff>0</xdr:rowOff>
    </xdr:from>
    <xdr:to>
      <xdr:col>17</xdr:col>
      <xdr:colOff>846332</xdr:colOff>
      <xdr:row>422</xdr:row>
      <xdr:rowOff>47162</xdr:rowOff>
    </xdr:to>
    <xdr:pic>
      <xdr:nvPicPr>
        <xdr:cNvPr id="10" name="图片 9">
          <a:extLst>
            <a:ext uri="{FF2B5EF4-FFF2-40B4-BE49-F238E27FC236}">
              <a16:creationId xmlns="" xmlns:a16="http://schemas.microsoft.com/office/drawing/2014/main" id="{A6066855-BE07-35CE-B02A-1C352118541A}"/>
            </a:ext>
          </a:extLst>
        </xdr:cNvPr>
        <xdr:cNvPicPr>
          <a:picLocks noChangeAspect="1"/>
        </xdr:cNvPicPr>
      </xdr:nvPicPr>
      <xdr:blipFill>
        <a:blip xmlns:r="http://schemas.openxmlformats.org/officeDocument/2006/relationships" r:embed="rId9"/>
        <a:stretch>
          <a:fillRect/>
        </a:stretch>
      </xdr:blipFill>
      <xdr:spPr>
        <a:xfrm>
          <a:off x="0" y="52882800"/>
          <a:ext cx="11142857" cy="3704762"/>
        </a:xfrm>
        <a:prstGeom prst="rect">
          <a:avLst/>
        </a:prstGeom>
      </xdr:spPr>
    </xdr:pic>
    <xdr:clientData/>
  </xdr:twoCellAnchor>
  <xdr:twoCellAnchor editAs="oneCell">
    <xdr:from>
      <xdr:col>0</xdr:col>
      <xdr:colOff>0</xdr:colOff>
      <xdr:row>422</xdr:row>
      <xdr:rowOff>0</xdr:rowOff>
    </xdr:from>
    <xdr:to>
      <xdr:col>17</xdr:col>
      <xdr:colOff>893951</xdr:colOff>
      <xdr:row>446</xdr:row>
      <xdr:rowOff>142400</xdr:rowOff>
    </xdr:to>
    <xdr:pic>
      <xdr:nvPicPr>
        <xdr:cNvPr id="11" name="图片 10">
          <a:extLst>
            <a:ext uri="{FF2B5EF4-FFF2-40B4-BE49-F238E27FC236}">
              <a16:creationId xmlns="" xmlns:a16="http://schemas.microsoft.com/office/drawing/2014/main" id="{49810926-E425-CB30-27B7-7E8E9614FBB7}"/>
            </a:ext>
          </a:extLst>
        </xdr:cNvPr>
        <xdr:cNvPicPr>
          <a:picLocks noChangeAspect="1"/>
        </xdr:cNvPicPr>
      </xdr:nvPicPr>
      <xdr:blipFill>
        <a:blip xmlns:r="http://schemas.openxmlformats.org/officeDocument/2006/relationships" r:embed="rId10"/>
        <a:stretch>
          <a:fillRect/>
        </a:stretch>
      </xdr:blipFill>
      <xdr:spPr>
        <a:xfrm>
          <a:off x="0" y="56540400"/>
          <a:ext cx="11190476" cy="3800000"/>
        </a:xfrm>
        <a:prstGeom prst="rect">
          <a:avLst/>
        </a:prstGeom>
      </xdr:spPr>
    </xdr:pic>
    <xdr:clientData/>
  </xdr:twoCellAnchor>
  <xdr:twoCellAnchor editAs="oneCell">
    <xdr:from>
      <xdr:col>0</xdr:col>
      <xdr:colOff>0</xdr:colOff>
      <xdr:row>447</xdr:row>
      <xdr:rowOff>0</xdr:rowOff>
    </xdr:from>
    <xdr:to>
      <xdr:col>17</xdr:col>
      <xdr:colOff>912999</xdr:colOff>
      <xdr:row>475</xdr:row>
      <xdr:rowOff>85181</xdr:rowOff>
    </xdr:to>
    <xdr:pic>
      <xdr:nvPicPr>
        <xdr:cNvPr id="12" name="图片 11">
          <a:extLst>
            <a:ext uri="{FF2B5EF4-FFF2-40B4-BE49-F238E27FC236}">
              <a16:creationId xmlns="" xmlns:a16="http://schemas.microsoft.com/office/drawing/2014/main" id="{067795D0-8739-E527-A5AF-D1087054E85B}"/>
            </a:ext>
          </a:extLst>
        </xdr:cNvPr>
        <xdr:cNvPicPr>
          <a:picLocks noChangeAspect="1"/>
        </xdr:cNvPicPr>
      </xdr:nvPicPr>
      <xdr:blipFill>
        <a:blip xmlns:r="http://schemas.openxmlformats.org/officeDocument/2006/relationships" r:embed="rId11"/>
        <a:stretch>
          <a:fillRect/>
        </a:stretch>
      </xdr:blipFill>
      <xdr:spPr>
        <a:xfrm>
          <a:off x="0" y="60350400"/>
          <a:ext cx="11209524" cy="4352381"/>
        </a:xfrm>
        <a:prstGeom prst="rect">
          <a:avLst/>
        </a:prstGeom>
      </xdr:spPr>
    </xdr:pic>
    <xdr:clientData/>
  </xdr:twoCellAnchor>
  <xdr:twoCellAnchor editAs="oneCell">
    <xdr:from>
      <xdr:col>0</xdr:col>
      <xdr:colOff>28575</xdr:colOff>
      <xdr:row>481</xdr:row>
      <xdr:rowOff>76200</xdr:rowOff>
    </xdr:from>
    <xdr:to>
      <xdr:col>18</xdr:col>
      <xdr:colOff>8124</xdr:colOff>
      <xdr:row>514</xdr:row>
      <xdr:rowOff>132714</xdr:rowOff>
    </xdr:to>
    <xdr:pic>
      <xdr:nvPicPr>
        <xdr:cNvPr id="13" name="图片 12">
          <a:extLst>
            <a:ext uri="{FF2B5EF4-FFF2-40B4-BE49-F238E27FC236}">
              <a16:creationId xmlns="" xmlns:a16="http://schemas.microsoft.com/office/drawing/2014/main" id="{766AEB14-D727-9222-8FCA-9273665DE59E}"/>
            </a:ext>
          </a:extLst>
        </xdr:cNvPr>
        <xdr:cNvPicPr>
          <a:picLocks noChangeAspect="1"/>
        </xdr:cNvPicPr>
      </xdr:nvPicPr>
      <xdr:blipFill>
        <a:blip xmlns:r="http://schemas.openxmlformats.org/officeDocument/2006/relationships" r:embed="rId12"/>
        <a:stretch>
          <a:fillRect/>
        </a:stretch>
      </xdr:blipFill>
      <xdr:spPr>
        <a:xfrm>
          <a:off x="28575" y="65608200"/>
          <a:ext cx="11209524" cy="5085714"/>
        </a:xfrm>
        <a:prstGeom prst="rect">
          <a:avLst/>
        </a:prstGeom>
      </xdr:spPr>
    </xdr:pic>
    <xdr:clientData/>
  </xdr:twoCellAnchor>
  <xdr:twoCellAnchor editAs="oneCell">
    <xdr:from>
      <xdr:col>0</xdr:col>
      <xdr:colOff>0</xdr:colOff>
      <xdr:row>512</xdr:row>
      <xdr:rowOff>0</xdr:rowOff>
    </xdr:from>
    <xdr:to>
      <xdr:col>18</xdr:col>
      <xdr:colOff>46215</xdr:colOff>
      <xdr:row>548</xdr:row>
      <xdr:rowOff>18362</xdr:rowOff>
    </xdr:to>
    <xdr:pic>
      <xdr:nvPicPr>
        <xdr:cNvPr id="14" name="图片 13">
          <a:extLst>
            <a:ext uri="{FF2B5EF4-FFF2-40B4-BE49-F238E27FC236}">
              <a16:creationId xmlns="" xmlns:a16="http://schemas.microsoft.com/office/drawing/2014/main" id="{839D1D89-685C-49B2-B252-0040759CABE3}"/>
            </a:ext>
          </a:extLst>
        </xdr:cNvPr>
        <xdr:cNvPicPr>
          <a:picLocks noChangeAspect="1"/>
        </xdr:cNvPicPr>
      </xdr:nvPicPr>
      <xdr:blipFill>
        <a:blip xmlns:r="http://schemas.openxmlformats.org/officeDocument/2006/relationships" r:embed="rId13"/>
        <a:stretch>
          <a:fillRect/>
        </a:stretch>
      </xdr:blipFill>
      <xdr:spPr>
        <a:xfrm>
          <a:off x="0" y="70256400"/>
          <a:ext cx="11276190" cy="5504762"/>
        </a:xfrm>
        <a:prstGeom prst="rect">
          <a:avLst/>
        </a:prstGeom>
      </xdr:spPr>
    </xdr:pic>
    <xdr:clientData/>
  </xdr:twoCellAnchor>
  <xdr:twoCellAnchor editAs="oneCell">
    <xdr:from>
      <xdr:col>0</xdr:col>
      <xdr:colOff>0</xdr:colOff>
      <xdr:row>548</xdr:row>
      <xdr:rowOff>0</xdr:rowOff>
    </xdr:from>
    <xdr:to>
      <xdr:col>17</xdr:col>
      <xdr:colOff>836808</xdr:colOff>
      <xdr:row>577</xdr:row>
      <xdr:rowOff>142305</xdr:rowOff>
    </xdr:to>
    <xdr:pic>
      <xdr:nvPicPr>
        <xdr:cNvPr id="15" name="图片 14">
          <a:extLst>
            <a:ext uri="{FF2B5EF4-FFF2-40B4-BE49-F238E27FC236}">
              <a16:creationId xmlns="" xmlns:a16="http://schemas.microsoft.com/office/drawing/2014/main" id="{365CC49D-ADBC-48E7-9A04-47E304BCB93D}"/>
            </a:ext>
          </a:extLst>
        </xdr:cNvPr>
        <xdr:cNvPicPr>
          <a:picLocks noChangeAspect="1"/>
        </xdr:cNvPicPr>
      </xdr:nvPicPr>
      <xdr:blipFill>
        <a:blip xmlns:r="http://schemas.openxmlformats.org/officeDocument/2006/relationships" r:embed="rId14"/>
        <a:stretch>
          <a:fillRect/>
        </a:stretch>
      </xdr:blipFill>
      <xdr:spPr>
        <a:xfrm>
          <a:off x="0" y="75742800"/>
          <a:ext cx="11133333" cy="4561905"/>
        </a:xfrm>
        <a:prstGeom prst="rect">
          <a:avLst/>
        </a:prstGeom>
      </xdr:spPr>
    </xdr:pic>
    <xdr:clientData/>
  </xdr:twoCellAnchor>
  <xdr:twoCellAnchor editAs="oneCell">
    <xdr:from>
      <xdr:col>0</xdr:col>
      <xdr:colOff>0</xdr:colOff>
      <xdr:row>578</xdr:row>
      <xdr:rowOff>0</xdr:rowOff>
    </xdr:from>
    <xdr:to>
      <xdr:col>17</xdr:col>
      <xdr:colOff>827284</xdr:colOff>
      <xdr:row>601</xdr:row>
      <xdr:rowOff>85276</xdr:rowOff>
    </xdr:to>
    <xdr:pic>
      <xdr:nvPicPr>
        <xdr:cNvPr id="16" name="图片 15">
          <a:extLst>
            <a:ext uri="{FF2B5EF4-FFF2-40B4-BE49-F238E27FC236}">
              <a16:creationId xmlns="" xmlns:a16="http://schemas.microsoft.com/office/drawing/2014/main" id="{6DFEF36D-6EFC-4EE0-8EE6-11D22EFAC848}"/>
            </a:ext>
          </a:extLst>
        </xdr:cNvPr>
        <xdr:cNvPicPr>
          <a:picLocks noChangeAspect="1"/>
        </xdr:cNvPicPr>
      </xdr:nvPicPr>
      <xdr:blipFill>
        <a:blip xmlns:r="http://schemas.openxmlformats.org/officeDocument/2006/relationships" r:embed="rId15"/>
        <a:stretch>
          <a:fillRect/>
        </a:stretch>
      </xdr:blipFill>
      <xdr:spPr>
        <a:xfrm>
          <a:off x="0" y="80314800"/>
          <a:ext cx="11123809" cy="3590476"/>
        </a:xfrm>
        <a:prstGeom prst="rect">
          <a:avLst/>
        </a:prstGeom>
      </xdr:spPr>
    </xdr:pic>
    <xdr:clientData/>
  </xdr:twoCellAnchor>
  <xdr:twoCellAnchor editAs="oneCell">
    <xdr:from>
      <xdr:col>0</xdr:col>
      <xdr:colOff>0</xdr:colOff>
      <xdr:row>602</xdr:row>
      <xdr:rowOff>0</xdr:rowOff>
    </xdr:from>
    <xdr:to>
      <xdr:col>17</xdr:col>
      <xdr:colOff>798713</xdr:colOff>
      <xdr:row>627</xdr:row>
      <xdr:rowOff>75714</xdr:rowOff>
    </xdr:to>
    <xdr:pic>
      <xdr:nvPicPr>
        <xdr:cNvPr id="17" name="图片 16">
          <a:extLst>
            <a:ext uri="{FF2B5EF4-FFF2-40B4-BE49-F238E27FC236}">
              <a16:creationId xmlns="" xmlns:a16="http://schemas.microsoft.com/office/drawing/2014/main" id="{B373819A-89BD-4A6C-BE6B-FAD8D76A93AB}"/>
            </a:ext>
          </a:extLst>
        </xdr:cNvPr>
        <xdr:cNvPicPr>
          <a:picLocks noChangeAspect="1"/>
        </xdr:cNvPicPr>
      </xdr:nvPicPr>
      <xdr:blipFill>
        <a:blip xmlns:r="http://schemas.openxmlformats.org/officeDocument/2006/relationships" r:embed="rId16"/>
        <a:stretch>
          <a:fillRect/>
        </a:stretch>
      </xdr:blipFill>
      <xdr:spPr>
        <a:xfrm>
          <a:off x="0" y="83972400"/>
          <a:ext cx="11095238" cy="3885714"/>
        </a:xfrm>
        <a:prstGeom prst="rect">
          <a:avLst/>
        </a:prstGeom>
      </xdr:spPr>
    </xdr:pic>
    <xdr:clientData/>
  </xdr:twoCellAnchor>
  <xdr:twoCellAnchor editAs="oneCell">
    <xdr:from>
      <xdr:col>0</xdr:col>
      <xdr:colOff>0</xdr:colOff>
      <xdr:row>628</xdr:row>
      <xdr:rowOff>0</xdr:rowOff>
    </xdr:from>
    <xdr:to>
      <xdr:col>17</xdr:col>
      <xdr:colOff>865380</xdr:colOff>
      <xdr:row>658</xdr:row>
      <xdr:rowOff>75619</xdr:rowOff>
    </xdr:to>
    <xdr:pic>
      <xdr:nvPicPr>
        <xdr:cNvPr id="18" name="图片 17">
          <a:extLst>
            <a:ext uri="{FF2B5EF4-FFF2-40B4-BE49-F238E27FC236}">
              <a16:creationId xmlns="" xmlns:a16="http://schemas.microsoft.com/office/drawing/2014/main" id="{4AD686BF-3A68-4519-8348-B8E794D16F72}"/>
            </a:ext>
          </a:extLst>
        </xdr:cNvPr>
        <xdr:cNvPicPr>
          <a:picLocks noChangeAspect="1"/>
        </xdr:cNvPicPr>
      </xdr:nvPicPr>
      <xdr:blipFill>
        <a:blip xmlns:r="http://schemas.openxmlformats.org/officeDocument/2006/relationships" r:embed="rId17"/>
        <a:stretch>
          <a:fillRect/>
        </a:stretch>
      </xdr:blipFill>
      <xdr:spPr>
        <a:xfrm>
          <a:off x="0" y="87934800"/>
          <a:ext cx="11161905" cy="4647619"/>
        </a:xfrm>
        <a:prstGeom prst="rect">
          <a:avLst/>
        </a:prstGeom>
      </xdr:spPr>
    </xdr:pic>
    <xdr:clientData/>
  </xdr:twoCellAnchor>
  <xdr:twoCellAnchor editAs="oneCell">
    <xdr:from>
      <xdr:col>0</xdr:col>
      <xdr:colOff>0</xdr:colOff>
      <xdr:row>659</xdr:row>
      <xdr:rowOff>0</xdr:rowOff>
    </xdr:from>
    <xdr:to>
      <xdr:col>17</xdr:col>
      <xdr:colOff>817761</xdr:colOff>
      <xdr:row>676</xdr:row>
      <xdr:rowOff>56819</xdr:rowOff>
    </xdr:to>
    <xdr:pic>
      <xdr:nvPicPr>
        <xdr:cNvPr id="19" name="图片 18">
          <a:extLst>
            <a:ext uri="{FF2B5EF4-FFF2-40B4-BE49-F238E27FC236}">
              <a16:creationId xmlns="" xmlns:a16="http://schemas.microsoft.com/office/drawing/2014/main" id="{EB7C209B-8875-4A0F-B6B7-D1CE73FBDC32}"/>
            </a:ext>
          </a:extLst>
        </xdr:cNvPr>
        <xdr:cNvPicPr>
          <a:picLocks noChangeAspect="1"/>
        </xdr:cNvPicPr>
      </xdr:nvPicPr>
      <xdr:blipFill>
        <a:blip xmlns:r="http://schemas.openxmlformats.org/officeDocument/2006/relationships" r:embed="rId18"/>
        <a:stretch>
          <a:fillRect/>
        </a:stretch>
      </xdr:blipFill>
      <xdr:spPr>
        <a:xfrm>
          <a:off x="0" y="92659200"/>
          <a:ext cx="11114286" cy="2647619"/>
        </a:xfrm>
        <a:prstGeom prst="rect">
          <a:avLst/>
        </a:prstGeom>
      </xdr:spPr>
    </xdr:pic>
    <xdr:clientData/>
  </xdr:twoCellAnchor>
  <xdr:twoCellAnchor editAs="oneCell">
    <xdr:from>
      <xdr:col>0</xdr:col>
      <xdr:colOff>0</xdr:colOff>
      <xdr:row>676</xdr:row>
      <xdr:rowOff>0</xdr:rowOff>
    </xdr:from>
    <xdr:to>
      <xdr:col>17</xdr:col>
      <xdr:colOff>922522</xdr:colOff>
      <xdr:row>705</xdr:row>
      <xdr:rowOff>47067</xdr:rowOff>
    </xdr:to>
    <xdr:pic>
      <xdr:nvPicPr>
        <xdr:cNvPr id="20" name="图片 19">
          <a:extLst>
            <a:ext uri="{FF2B5EF4-FFF2-40B4-BE49-F238E27FC236}">
              <a16:creationId xmlns="" xmlns:a16="http://schemas.microsoft.com/office/drawing/2014/main" id="{F43069D9-615D-4F0B-A1F6-694606D882FB}"/>
            </a:ext>
          </a:extLst>
        </xdr:cNvPr>
        <xdr:cNvPicPr>
          <a:picLocks noChangeAspect="1"/>
        </xdr:cNvPicPr>
      </xdr:nvPicPr>
      <xdr:blipFill>
        <a:blip xmlns:r="http://schemas.openxmlformats.org/officeDocument/2006/relationships" r:embed="rId19"/>
        <a:stretch>
          <a:fillRect/>
        </a:stretch>
      </xdr:blipFill>
      <xdr:spPr>
        <a:xfrm>
          <a:off x="0" y="95250000"/>
          <a:ext cx="11219047" cy="4466667"/>
        </a:xfrm>
        <a:prstGeom prst="rect">
          <a:avLst/>
        </a:prstGeom>
      </xdr:spPr>
    </xdr:pic>
    <xdr:clientData/>
  </xdr:twoCellAnchor>
  <xdr:twoCellAnchor editAs="oneCell">
    <xdr:from>
      <xdr:col>0</xdr:col>
      <xdr:colOff>0</xdr:colOff>
      <xdr:row>95</xdr:row>
      <xdr:rowOff>0</xdr:rowOff>
    </xdr:from>
    <xdr:to>
      <xdr:col>14</xdr:col>
      <xdr:colOff>1008452</xdr:colOff>
      <xdr:row>129</xdr:row>
      <xdr:rowOff>66019</xdr:rowOff>
    </xdr:to>
    <xdr:pic>
      <xdr:nvPicPr>
        <xdr:cNvPr id="22" name="图片 21">
          <a:extLst>
            <a:ext uri="{FF2B5EF4-FFF2-40B4-BE49-F238E27FC236}">
              <a16:creationId xmlns="" xmlns:a16="http://schemas.microsoft.com/office/drawing/2014/main" id="{BADB98F2-0383-B748-BEF0-551348CC9D6D}"/>
            </a:ext>
          </a:extLst>
        </xdr:cNvPr>
        <xdr:cNvPicPr>
          <a:picLocks noChangeAspect="1"/>
        </xdr:cNvPicPr>
      </xdr:nvPicPr>
      <xdr:blipFill>
        <a:blip xmlns:r="http://schemas.openxmlformats.org/officeDocument/2006/relationships" r:embed="rId20"/>
        <a:stretch>
          <a:fillRect/>
        </a:stretch>
      </xdr:blipFill>
      <xdr:spPr>
        <a:xfrm>
          <a:off x="0" y="6705600"/>
          <a:ext cx="9580952" cy="5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11</xdr:col>
      <xdr:colOff>293712</xdr:colOff>
      <xdr:row>46</xdr:row>
      <xdr:rowOff>104033</xdr:rowOff>
    </xdr:to>
    <xdr:pic>
      <xdr:nvPicPr>
        <xdr:cNvPr id="2" name="图片 1">
          <a:extLst>
            <a:ext uri="{FF2B5EF4-FFF2-40B4-BE49-F238E27FC236}">
              <a16:creationId xmlns="" xmlns:a16="http://schemas.microsoft.com/office/drawing/2014/main" id="{0BC3D00E-3C0A-F5EC-0725-1EEAE638AF9C}"/>
            </a:ext>
          </a:extLst>
        </xdr:cNvPr>
        <xdr:cNvPicPr>
          <a:picLocks noChangeAspect="1"/>
        </xdr:cNvPicPr>
      </xdr:nvPicPr>
      <xdr:blipFill>
        <a:blip xmlns:r="http://schemas.openxmlformats.org/officeDocument/2006/relationships" r:embed="rId1"/>
        <a:stretch>
          <a:fillRect/>
        </a:stretch>
      </xdr:blipFill>
      <xdr:spPr>
        <a:xfrm>
          <a:off x="0" y="1543050"/>
          <a:ext cx="12504762" cy="5933333"/>
        </a:xfrm>
        <a:prstGeom prst="rect">
          <a:avLst/>
        </a:prstGeom>
      </xdr:spPr>
    </xdr:pic>
    <xdr:clientData/>
  </xdr:twoCellAnchor>
  <xdr:twoCellAnchor editAs="oneCell">
    <xdr:from>
      <xdr:col>0</xdr:col>
      <xdr:colOff>0</xdr:colOff>
      <xdr:row>47</xdr:row>
      <xdr:rowOff>0</xdr:rowOff>
    </xdr:from>
    <xdr:to>
      <xdr:col>11</xdr:col>
      <xdr:colOff>388950</xdr:colOff>
      <xdr:row>80</xdr:row>
      <xdr:rowOff>85007</xdr:rowOff>
    </xdr:to>
    <xdr:pic>
      <xdr:nvPicPr>
        <xdr:cNvPr id="3" name="图片 2">
          <a:extLst>
            <a:ext uri="{FF2B5EF4-FFF2-40B4-BE49-F238E27FC236}">
              <a16:creationId xmlns="" xmlns:a16="http://schemas.microsoft.com/office/drawing/2014/main" id="{813019B6-C74E-31A9-847C-E47E8EFFF3E9}"/>
            </a:ext>
          </a:extLst>
        </xdr:cNvPr>
        <xdr:cNvPicPr>
          <a:picLocks noChangeAspect="1"/>
        </xdr:cNvPicPr>
      </xdr:nvPicPr>
      <xdr:blipFill>
        <a:blip xmlns:r="http://schemas.openxmlformats.org/officeDocument/2006/relationships" r:embed="rId2"/>
        <a:stretch>
          <a:fillRect/>
        </a:stretch>
      </xdr:blipFill>
      <xdr:spPr>
        <a:xfrm>
          <a:off x="0" y="7543800"/>
          <a:ext cx="12600000" cy="5742857"/>
        </a:xfrm>
        <a:prstGeom prst="rect">
          <a:avLst/>
        </a:prstGeom>
      </xdr:spPr>
    </xdr:pic>
    <xdr:clientData/>
  </xdr:twoCellAnchor>
  <xdr:twoCellAnchor editAs="oneCell">
    <xdr:from>
      <xdr:col>0</xdr:col>
      <xdr:colOff>0</xdr:colOff>
      <xdr:row>81</xdr:row>
      <xdr:rowOff>0</xdr:rowOff>
    </xdr:from>
    <xdr:to>
      <xdr:col>11</xdr:col>
      <xdr:colOff>207997</xdr:colOff>
      <xdr:row>115</xdr:row>
      <xdr:rowOff>46890</xdr:rowOff>
    </xdr:to>
    <xdr:pic>
      <xdr:nvPicPr>
        <xdr:cNvPr id="4" name="图片 3">
          <a:extLst>
            <a:ext uri="{FF2B5EF4-FFF2-40B4-BE49-F238E27FC236}">
              <a16:creationId xmlns="" xmlns:a16="http://schemas.microsoft.com/office/drawing/2014/main" id="{1CDAFF8F-47BA-503A-E43E-32F9F7D07643}"/>
            </a:ext>
          </a:extLst>
        </xdr:cNvPr>
        <xdr:cNvPicPr>
          <a:picLocks noChangeAspect="1"/>
        </xdr:cNvPicPr>
      </xdr:nvPicPr>
      <xdr:blipFill>
        <a:blip xmlns:r="http://schemas.openxmlformats.org/officeDocument/2006/relationships" r:embed="rId3"/>
        <a:stretch>
          <a:fillRect/>
        </a:stretch>
      </xdr:blipFill>
      <xdr:spPr>
        <a:xfrm>
          <a:off x="0" y="13373100"/>
          <a:ext cx="12419047" cy="5876190"/>
        </a:xfrm>
        <a:prstGeom prst="rect">
          <a:avLst/>
        </a:prstGeom>
      </xdr:spPr>
    </xdr:pic>
    <xdr:clientData/>
  </xdr:twoCellAnchor>
  <xdr:twoCellAnchor editAs="oneCell">
    <xdr:from>
      <xdr:col>0</xdr:col>
      <xdr:colOff>0</xdr:colOff>
      <xdr:row>116</xdr:row>
      <xdr:rowOff>0</xdr:rowOff>
    </xdr:from>
    <xdr:to>
      <xdr:col>11</xdr:col>
      <xdr:colOff>236569</xdr:colOff>
      <xdr:row>150</xdr:row>
      <xdr:rowOff>75462</xdr:rowOff>
    </xdr:to>
    <xdr:pic>
      <xdr:nvPicPr>
        <xdr:cNvPr id="5" name="图片 4">
          <a:extLst>
            <a:ext uri="{FF2B5EF4-FFF2-40B4-BE49-F238E27FC236}">
              <a16:creationId xmlns="" xmlns:a16="http://schemas.microsoft.com/office/drawing/2014/main" id="{A9E544A5-431E-FF74-8C0D-F9A32949FA51}"/>
            </a:ext>
          </a:extLst>
        </xdr:cNvPr>
        <xdr:cNvPicPr>
          <a:picLocks noChangeAspect="1"/>
        </xdr:cNvPicPr>
      </xdr:nvPicPr>
      <xdr:blipFill>
        <a:blip xmlns:r="http://schemas.openxmlformats.org/officeDocument/2006/relationships" r:embed="rId4"/>
        <a:stretch>
          <a:fillRect/>
        </a:stretch>
      </xdr:blipFill>
      <xdr:spPr>
        <a:xfrm>
          <a:off x="0" y="19373850"/>
          <a:ext cx="12447619" cy="5904762"/>
        </a:xfrm>
        <a:prstGeom prst="rect">
          <a:avLst/>
        </a:prstGeom>
      </xdr:spPr>
    </xdr:pic>
    <xdr:clientData/>
  </xdr:twoCellAnchor>
  <xdr:twoCellAnchor editAs="oneCell">
    <xdr:from>
      <xdr:col>0</xdr:col>
      <xdr:colOff>0</xdr:colOff>
      <xdr:row>151</xdr:row>
      <xdr:rowOff>0</xdr:rowOff>
    </xdr:from>
    <xdr:to>
      <xdr:col>11</xdr:col>
      <xdr:colOff>350855</xdr:colOff>
      <xdr:row>182</xdr:row>
      <xdr:rowOff>56479</xdr:rowOff>
    </xdr:to>
    <xdr:pic>
      <xdr:nvPicPr>
        <xdr:cNvPr id="6" name="图片 5">
          <a:extLst>
            <a:ext uri="{FF2B5EF4-FFF2-40B4-BE49-F238E27FC236}">
              <a16:creationId xmlns="" xmlns:a16="http://schemas.microsoft.com/office/drawing/2014/main" id="{DC8160F5-24C3-4D5B-B7DD-EA9E0DF93702}"/>
            </a:ext>
          </a:extLst>
        </xdr:cNvPr>
        <xdr:cNvPicPr>
          <a:picLocks noChangeAspect="1"/>
        </xdr:cNvPicPr>
      </xdr:nvPicPr>
      <xdr:blipFill>
        <a:blip xmlns:r="http://schemas.openxmlformats.org/officeDocument/2006/relationships" r:embed="rId5"/>
        <a:stretch>
          <a:fillRect/>
        </a:stretch>
      </xdr:blipFill>
      <xdr:spPr>
        <a:xfrm>
          <a:off x="0" y="25374600"/>
          <a:ext cx="12561905" cy="5371429"/>
        </a:xfrm>
        <a:prstGeom prst="rect">
          <a:avLst/>
        </a:prstGeom>
      </xdr:spPr>
    </xdr:pic>
    <xdr:clientData/>
  </xdr:twoCellAnchor>
  <xdr:twoCellAnchor editAs="oneCell">
    <xdr:from>
      <xdr:col>0</xdr:col>
      <xdr:colOff>0</xdr:colOff>
      <xdr:row>183</xdr:row>
      <xdr:rowOff>0</xdr:rowOff>
    </xdr:from>
    <xdr:to>
      <xdr:col>11</xdr:col>
      <xdr:colOff>188950</xdr:colOff>
      <xdr:row>216</xdr:row>
      <xdr:rowOff>170721</xdr:rowOff>
    </xdr:to>
    <xdr:pic>
      <xdr:nvPicPr>
        <xdr:cNvPr id="7" name="图片 6">
          <a:extLst>
            <a:ext uri="{FF2B5EF4-FFF2-40B4-BE49-F238E27FC236}">
              <a16:creationId xmlns="" xmlns:a16="http://schemas.microsoft.com/office/drawing/2014/main" id="{67E52536-CB53-0D31-C436-7AAA8B1A9370}"/>
            </a:ext>
          </a:extLst>
        </xdr:cNvPr>
        <xdr:cNvPicPr>
          <a:picLocks noChangeAspect="1"/>
        </xdr:cNvPicPr>
      </xdr:nvPicPr>
      <xdr:blipFill>
        <a:blip xmlns:r="http://schemas.openxmlformats.org/officeDocument/2006/relationships" r:embed="rId6"/>
        <a:stretch>
          <a:fillRect/>
        </a:stretch>
      </xdr:blipFill>
      <xdr:spPr>
        <a:xfrm>
          <a:off x="0" y="30861000"/>
          <a:ext cx="12400000" cy="5828571"/>
        </a:xfrm>
        <a:prstGeom prst="rect">
          <a:avLst/>
        </a:prstGeom>
      </xdr:spPr>
    </xdr:pic>
    <xdr:clientData/>
  </xdr:twoCellAnchor>
  <xdr:twoCellAnchor editAs="oneCell">
    <xdr:from>
      <xdr:col>0</xdr:col>
      <xdr:colOff>0</xdr:colOff>
      <xdr:row>217</xdr:row>
      <xdr:rowOff>0</xdr:rowOff>
    </xdr:from>
    <xdr:to>
      <xdr:col>11</xdr:col>
      <xdr:colOff>341331</xdr:colOff>
      <xdr:row>251</xdr:row>
      <xdr:rowOff>170700</xdr:rowOff>
    </xdr:to>
    <xdr:pic>
      <xdr:nvPicPr>
        <xdr:cNvPr id="8" name="图片 7">
          <a:extLst>
            <a:ext uri="{FF2B5EF4-FFF2-40B4-BE49-F238E27FC236}">
              <a16:creationId xmlns="" xmlns:a16="http://schemas.microsoft.com/office/drawing/2014/main" id="{249C6889-027E-090C-0BE3-7ED66F92D1DC}"/>
            </a:ext>
          </a:extLst>
        </xdr:cNvPr>
        <xdr:cNvPicPr>
          <a:picLocks noChangeAspect="1"/>
        </xdr:cNvPicPr>
      </xdr:nvPicPr>
      <xdr:blipFill>
        <a:blip xmlns:r="http://schemas.openxmlformats.org/officeDocument/2006/relationships" r:embed="rId7"/>
        <a:stretch>
          <a:fillRect/>
        </a:stretch>
      </xdr:blipFill>
      <xdr:spPr>
        <a:xfrm>
          <a:off x="0" y="36690300"/>
          <a:ext cx="12552381" cy="6000000"/>
        </a:xfrm>
        <a:prstGeom prst="rect">
          <a:avLst/>
        </a:prstGeom>
      </xdr:spPr>
    </xdr:pic>
    <xdr:clientData/>
  </xdr:twoCellAnchor>
  <xdr:twoCellAnchor editAs="oneCell">
    <xdr:from>
      <xdr:col>11</xdr:col>
      <xdr:colOff>0</xdr:colOff>
      <xdr:row>12</xdr:row>
      <xdr:rowOff>0</xdr:rowOff>
    </xdr:from>
    <xdr:to>
      <xdr:col>22</xdr:col>
      <xdr:colOff>589533</xdr:colOff>
      <xdr:row>39</xdr:row>
      <xdr:rowOff>161326</xdr:rowOff>
    </xdr:to>
    <xdr:pic>
      <xdr:nvPicPr>
        <xdr:cNvPr id="9" name="图片 8">
          <a:extLst>
            <a:ext uri="{FF2B5EF4-FFF2-40B4-BE49-F238E27FC236}">
              <a16:creationId xmlns="" xmlns:a16="http://schemas.microsoft.com/office/drawing/2014/main" id="{76B0FE9C-B137-C91D-FCD3-2D807713E663}"/>
            </a:ext>
          </a:extLst>
        </xdr:cNvPr>
        <xdr:cNvPicPr>
          <a:picLocks noChangeAspect="1"/>
        </xdr:cNvPicPr>
      </xdr:nvPicPr>
      <xdr:blipFill>
        <a:blip xmlns:r="http://schemas.openxmlformats.org/officeDocument/2006/relationships" r:embed="rId8"/>
        <a:stretch>
          <a:fillRect/>
        </a:stretch>
      </xdr:blipFill>
      <xdr:spPr>
        <a:xfrm>
          <a:off x="12211050" y="2057400"/>
          <a:ext cx="8133333" cy="4790476"/>
        </a:xfrm>
        <a:prstGeom prst="rect">
          <a:avLst/>
        </a:prstGeom>
      </xdr:spPr>
    </xdr:pic>
    <xdr:clientData/>
  </xdr:twoCellAnchor>
  <xdr:twoCellAnchor editAs="oneCell">
    <xdr:from>
      <xdr:col>23</xdr:col>
      <xdr:colOff>0</xdr:colOff>
      <xdr:row>12</xdr:row>
      <xdr:rowOff>0</xdr:rowOff>
    </xdr:from>
    <xdr:to>
      <xdr:col>35</xdr:col>
      <xdr:colOff>246590</xdr:colOff>
      <xdr:row>48</xdr:row>
      <xdr:rowOff>84943</xdr:rowOff>
    </xdr:to>
    <xdr:pic>
      <xdr:nvPicPr>
        <xdr:cNvPr id="10" name="图片 9">
          <a:extLst>
            <a:ext uri="{FF2B5EF4-FFF2-40B4-BE49-F238E27FC236}">
              <a16:creationId xmlns="" xmlns:a16="http://schemas.microsoft.com/office/drawing/2014/main" id="{E7435E01-04DE-7280-D1B6-D6ABDD487482}"/>
            </a:ext>
          </a:extLst>
        </xdr:cNvPr>
        <xdr:cNvPicPr>
          <a:picLocks noChangeAspect="1"/>
        </xdr:cNvPicPr>
      </xdr:nvPicPr>
      <xdr:blipFill>
        <a:blip xmlns:r="http://schemas.openxmlformats.org/officeDocument/2006/relationships" r:embed="rId9"/>
        <a:stretch>
          <a:fillRect/>
        </a:stretch>
      </xdr:blipFill>
      <xdr:spPr>
        <a:xfrm>
          <a:off x="20440650" y="2057400"/>
          <a:ext cx="8476190" cy="6257143"/>
        </a:xfrm>
        <a:prstGeom prst="rect">
          <a:avLst/>
        </a:prstGeom>
      </xdr:spPr>
    </xdr:pic>
    <xdr:clientData/>
  </xdr:twoCellAnchor>
  <xdr:twoCellAnchor editAs="oneCell">
    <xdr:from>
      <xdr:col>35</xdr:col>
      <xdr:colOff>0</xdr:colOff>
      <xdr:row>12</xdr:row>
      <xdr:rowOff>0</xdr:rowOff>
    </xdr:from>
    <xdr:to>
      <xdr:col>47</xdr:col>
      <xdr:colOff>132305</xdr:colOff>
      <xdr:row>47</xdr:row>
      <xdr:rowOff>113536</xdr:rowOff>
    </xdr:to>
    <xdr:pic>
      <xdr:nvPicPr>
        <xdr:cNvPr id="11" name="图片 10">
          <a:extLst>
            <a:ext uri="{FF2B5EF4-FFF2-40B4-BE49-F238E27FC236}">
              <a16:creationId xmlns="" xmlns:a16="http://schemas.microsoft.com/office/drawing/2014/main" id="{08344B72-AF9E-8077-A487-7478505B9D96}"/>
            </a:ext>
          </a:extLst>
        </xdr:cNvPr>
        <xdr:cNvPicPr>
          <a:picLocks noChangeAspect="1"/>
        </xdr:cNvPicPr>
      </xdr:nvPicPr>
      <xdr:blipFill>
        <a:blip xmlns:r="http://schemas.openxmlformats.org/officeDocument/2006/relationships" r:embed="rId10"/>
        <a:stretch>
          <a:fillRect/>
        </a:stretch>
      </xdr:blipFill>
      <xdr:spPr>
        <a:xfrm>
          <a:off x="28670250" y="2057400"/>
          <a:ext cx="8361905" cy="6114286"/>
        </a:xfrm>
        <a:prstGeom prst="rect">
          <a:avLst/>
        </a:prstGeom>
      </xdr:spPr>
    </xdr:pic>
    <xdr:clientData/>
  </xdr:twoCellAnchor>
  <xdr:twoCellAnchor editAs="oneCell">
    <xdr:from>
      <xdr:col>47</xdr:col>
      <xdr:colOff>0</xdr:colOff>
      <xdr:row>12</xdr:row>
      <xdr:rowOff>0</xdr:rowOff>
    </xdr:from>
    <xdr:to>
      <xdr:col>59</xdr:col>
      <xdr:colOff>160876</xdr:colOff>
      <xdr:row>48</xdr:row>
      <xdr:rowOff>65895</xdr:rowOff>
    </xdr:to>
    <xdr:pic>
      <xdr:nvPicPr>
        <xdr:cNvPr id="12" name="图片 11">
          <a:extLst>
            <a:ext uri="{FF2B5EF4-FFF2-40B4-BE49-F238E27FC236}">
              <a16:creationId xmlns="" xmlns:a16="http://schemas.microsoft.com/office/drawing/2014/main" id="{A6C2DD1B-C990-8BB5-3B59-FFB22C73EF2C}"/>
            </a:ext>
          </a:extLst>
        </xdr:cNvPr>
        <xdr:cNvPicPr>
          <a:picLocks noChangeAspect="1"/>
        </xdr:cNvPicPr>
      </xdr:nvPicPr>
      <xdr:blipFill>
        <a:blip xmlns:r="http://schemas.openxmlformats.org/officeDocument/2006/relationships" r:embed="rId11"/>
        <a:stretch>
          <a:fillRect/>
        </a:stretch>
      </xdr:blipFill>
      <xdr:spPr>
        <a:xfrm>
          <a:off x="36899850" y="2057400"/>
          <a:ext cx="8390476" cy="6238095"/>
        </a:xfrm>
        <a:prstGeom prst="rect">
          <a:avLst/>
        </a:prstGeom>
      </xdr:spPr>
    </xdr:pic>
    <xdr:clientData/>
  </xdr:twoCellAnchor>
  <xdr:twoCellAnchor editAs="oneCell">
    <xdr:from>
      <xdr:col>59</xdr:col>
      <xdr:colOff>0</xdr:colOff>
      <xdr:row>12</xdr:row>
      <xdr:rowOff>0</xdr:rowOff>
    </xdr:from>
    <xdr:to>
      <xdr:col>71</xdr:col>
      <xdr:colOff>256114</xdr:colOff>
      <xdr:row>46</xdr:row>
      <xdr:rowOff>8795</xdr:rowOff>
    </xdr:to>
    <xdr:pic>
      <xdr:nvPicPr>
        <xdr:cNvPr id="13" name="图片 12">
          <a:extLst>
            <a:ext uri="{FF2B5EF4-FFF2-40B4-BE49-F238E27FC236}">
              <a16:creationId xmlns="" xmlns:a16="http://schemas.microsoft.com/office/drawing/2014/main" id="{7069715D-D8AE-7FEB-2212-62B482F3A583}"/>
            </a:ext>
          </a:extLst>
        </xdr:cNvPr>
        <xdr:cNvPicPr>
          <a:picLocks noChangeAspect="1"/>
        </xdr:cNvPicPr>
      </xdr:nvPicPr>
      <xdr:blipFill>
        <a:blip xmlns:r="http://schemas.openxmlformats.org/officeDocument/2006/relationships" r:embed="rId12"/>
        <a:stretch>
          <a:fillRect/>
        </a:stretch>
      </xdr:blipFill>
      <xdr:spPr>
        <a:xfrm>
          <a:off x="45129450" y="2057400"/>
          <a:ext cx="8485714" cy="5838095"/>
        </a:xfrm>
        <a:prstGeom prst="rect">
          <a:avLst/>
        </a:prstGeom>
      </xdr:spPr>
    </xdr:pic>
    <xdr:clientData/>
  </xdr:twoCellAnchor>
  <xdr:twoCellAnchor editAs="oneCell">
    <xdr:from>
      <xdr:col>71</xdr:col>
      <xdr:colOff>0</xdr:colOff>
      <xdr:row>12</xdr:row>
      <xdr:rowOff>0</xdr:rowOff>
    </xdr:from>
    <xdr:to>
      <xdr:col>83</xdr:col>
      <xdr:colOff>170400</xdr:colOff>
      <xdr:row>47</xdr:row>
      <xdr:rowOff>84964</xdr:rowOff>
    </xdr:to>
    <xdr:pic>
      <xdr:nvPicPr>
        <xdr:cNvPr id="14" name="图片 13">
          <a:extLst>
            <a:ext uri="{FF2B5EF4-FFF2-40B4-BE49-F238E27FC236}">
              <a16:creationId xmlns="" xmlns:a16="http://schemas.microsoft.com/office/drawing/2014/main" id="{78413799-389D-EF36-36F4-BA3668344708}"/>
            </a:ext>
          </a:extLst>
        </xdr:cNvPr>
        <xdr:cNvPicPr>
          <a:picLocks noChangeAspect="1"/>
        </xdr:cNvPicPr>
      </xdr:nvPicPr>
      <xdr:blipFill>
        <a:blip xmlns:r="http://schemas.openxmlformats.org/officeDocument/2006/relationships" r:embed="rId13"/>
        <a:stretch>
          <a:fillRect/>
        </a:stretch>
      </xdr:blipFill>
      <xdr:spPr>
        <a:xfrm>
          <a:off x="53359050" y="2057400"/>
          <a:ext cx="8400000" cy="60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188933</xdr:colOff>
      <xdr:row>33</xdr:row>
      <xdr:rowOff>151674</xdr:rowOff>
    </xdr:to>
    <xdr:pic>
      <xdr:nvPicPr>
        <xdr:cNvPr id="2" name="图片 1">
          <a:extLst>
            <a:ext uri="{FF2B5EF4-FFF2-40B4-BE49-F238E27FC236}">
              <a16:creationId xmlns="" xmlns:a16="http://schemas.microsoft.com/office/drawing/2014/main" id="{5F492800-884A-A17D-322E-08137C318EB2}"/>
            </a:ext>
          </a:extLst>
        </xdr:cNvPr>
        <xdr:cNvPicPr>
          <a:picLocks noChangeAspect="1"/>
        </xdr:cNvPicPr>
      </xdr:nvPicPr>
      <xdr:blipFill>
        <a:blip xmlns:r="http://schemas.openxmlformats.org/officeDocument/2006/relationships" r:embed="rId1"/>
        <a:stretch>
          <a:fillRect/>
        </a:stretch>
      </xdr:blipFill>
      <xdr:spPr>
        <a:xfrm>
          <a:off x="0" y="0"/>
          <a:ext cx="12533333" cy="5809524"/>
        </a:xfrm>
        <a:prstGeom prst="rect">
          <a:avLst/>
        </a:prstGeom>
      </xdr:spPr>
    </xdr:pic>
    <xdr:clientData/>
  </xdr:twoCellAnchor>
  <xdr:twoCellAnchor editAs="oneCell">
    <xdr:from>
      <xdr:col>0</xdr:col>
      <xdr:colOff>0</xdr:colOff>
      <xdr:row>34</xdr:row>
      <xdr:rowOff>0</xdr:rowOff>
    </xdr:from>
    <xdr:to>
      <xdr:col>18</xdr:col>
      <xdr:colOff>169886</xdr:colOff>
      <xdr:row>68</xdr:row>
      <xdr:rowOff>113557</xdr:rowOff>
    </xdr:to>
    <xdr:pic>
      <xdr:nvPicPr>
        <xdr:cNvPr id="3" name="图片 2">
          <a:extLst>
            <a:ext uri="{FF2B5EF4-FFF2-40B4-BE49-F238E27FC236}">
              <a16:creationId xmlns="" xmlns:a16="http://schemas.microsoft.com/office/drawing/2014/main" id="{9A4FAA27-5700-81C9-A85D-956316B62774}"/>
            </a:ext>
          </a:extLst>
        </xdr:cNvPr>
        <xdr:cNvPicPr>
          <a:picLocks noChangeAspect="1"/>
        </xdr:cNvPicPr>
      </xdr:nvPicPr>
      <xdr:blipFill>
        <a:blip xmlns:r="http://schemas.openxmlformats.org/officeDocument/2006/relationships" r:embed="rId2"/>
        <a:stretch>
          <a:fillRect/>
        </a:stretch>
      </xdr:blipFill>
      <xdr:spPr>
        <a:xfrm>
          <a:off x="0" y="5829300"/>
          <a:ext cx="12514286" cy="5942857"/>
        </a:xfrm>
        <a:prstGeom prst="rect">
          <a:avLst/>
        </a:prstGeom>
      </xdr:spPr>
    </xdr:pic>
    <xdr:clientData/>
  </xdr:twoCellAnchor>
  <xdr:twoCellAnchor editAs="oneCell">
    <xdr:from>
      <xdr:col>0</xdr:col>
      <xdr:colOff>0</xdr:colOff>
      <xdr:row>69</xdr:row>
      <xdr:rowOff>0</xdr:rowOff>
    </xdr:from>
    <xdr:to>
      <xdr:col>18</xdr:col>
      <xdr:colOff>103219</xdr:colOff>
      <xdr:row>103</xdr:row>
      <xdr:rowOff>84986</xdr:rowOff>
    </xdr:to>
    <xdr:pic>
      <xdr:nvPicPr>
        <xdr:cNvPr id="4" name="图片 3">
          <a:extLst>
            <a:ext uri="{FF2B5EF4-FFF2-40B4-BE49-F238E27FC236}">
              <a16:creationId xmlns="" xmlns:a16="http://schemas.microsoft.com/office/drawing/2014/main" id="{8A67390C-4974-55F0-84BA-B6866A458590}"/>
            </a:ext>
          </a:extLst>
        </xdr:cNvPr>
        <xdr:cNvPicPr>
          <a:picLocks noChangeAspect="1"/>
        </xdr:cNvPicPr>
      </xdr:nvPicPr>
      <xdr:blipFill>
        <a:blip xmlns:r="http://schemas.openxmlformats.org/officeDocument/2006/relationships" r:embed="rId3"/>
        <a:stretch>
          <a:fillRect/>
        </a:stretch>
      </xdr:blipFill>
      <xdr:spPr>
        <a:xfrm>
          <a:off x="0" y="11830050"/>
          <a:ext cx="12447619" cy="5914286"/>
        </a:xfrm>
        <a:prstGeom prst="rect">
          <a:avLst/>
        </a:prstGeom>
      </xdr:spPr>
    </xdr:pic>
    <xdr:clientData/>
  </xdr:twoCellAnchor>
  <xdr:twoCellAnchor editAs="oneCell">
    <xdr:from>
      <xdr:col>0</xdr:col>
      <xdr:colOff>0</xdr:colOff>
      <xdr:row>104</xdr:row>
      <xdr:rowOff>0</xdr:rowOff>
    </xdr:from>
    <xdr:to>
      <xdr:col>18</xdr:col>
      <xdr:colOff>169886</xdr:colOff>
      <xdr:row>138</xdr:row>
      <xdr:rowOff>123081</xdr:rowOff>
    </xdr:to>
    <xdr:pic>
      <xdr:nvPicPr>
        <xdr:cNvPr id="5" name="图片 4">
          <a:extLst>
            <a:ext uri="{FF2B5EF4-FFF2-40B4-BE49-F238E27FC236}">
              <a16:creationId xmlns="" xmlns:a16="http://schemas.microsoft.com/office/drawing/2014/main" id="{0A9A917A-6261-0D24-A6C9-32912F355C72}"/>
            </a:ext>
          </a:extLst>
        </xdr:cNvPr>
        <xdr:cNvPicPr>
          <a:picLocks noChangeAspect="1"/>
        </xdr:cNvPicPr>
      </xdr:nvPicPr>
      <xdr:blipFill>
        <a:blip xmlns:r="http://schemas.openxmlformats.org/officeDocument/2006/relationships" r:embed="rId4"/>
        <a:stretch>
          <a:fillRect/>
        </a:stretch>
      </xdr:blipFill>
      <xdr:spPr>
        <a:xfrm>
          <a:off x="0" y="17830800"/>
          <a:ext cx="12514286" cy="5952381"/>
        </a:xfrm>
        <a:prstGeom prst="rect">
          <a:avLst/>
        </a:prstGeom>
      </xdr:spPr>
    </xdr:pic>
    <xdr:clientData/>
  </xdr:twoCellAnchor>
  <xdr:twoCellAnchor editAs="oneCell">
    <xdr:from>
      <xdr:col>0</xdr:col>
      <xdr:colOff>0</xdr:colOff>
      <xdr:row>139</xdr:row>
      <xdr:rowOff>0</xdr:rowOff>
    </xdr:from>
    <xdr:to>
      <xdr:col>18</xdr:col>
      <xdr:colOff>150838</xdr:colOff>
      <xdr:row>173</xdr:row>
      <xdr:rowOff>27843</xdr:rowOff>
    </xdr:to>
    <xdr:pic>
      <xdr:nvPicPr>
        <xdr:cNvPr id="6" name="图片 5">
          <a:extLst>
            <a:ext uri="{FF2B5EF4-FFF2-40B4-BE49-F238E27FC236}">
              <a16:creationId xmlns="" xmlns:a16="http://schemas.microsoft.com/office/drawing/2014/main" id="{F63FF9C5-6B0A-AED2-3DE2-3E81CAF2F0E7}"/>
            </a:ext>
          </a:extLst>
        </xdr:cNvPr>
        <xdr:cNvPicPr>
          <a:picLocks noChangeAspect="1"/>
        </xdr:cNvPicPr>
      </xdr:nvPicPr>
      <xdr:blipFill>
        <a:blip xmlns:r="http://schemas.openxmlformats.org/officeDocument/2006/relationships" r:embed="rId5"/>
        <a:stretch>
          <a:fillRect/>
        </a:stretch>
      </xdr:blipFill>
      <xdr:spPr>
        <a:xfrm>
          <a:off x="0" y="23831550"/>
          <a:ext cx="12495238" cy="58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589619</xdr:colOff>
      <xdr:row>33</xdr:row>
      <xdr:rowOff>170721</xdr:rowOff>
    </xdr:to>
    <xdr:pic>
      <xdr:nvPicPr>
        <xdr:cNvPr id="2" name="图片 1">
          <a:extLst>
            <a:ext uri="{FF2B5EF4-FFF2-40B4-BE49-F238E27FC236}">
              <a16:creationId xmlns="" xmlns:a16="http://schemas.microsoft.com/office/drawing/2014/main" id="{D56C95B9-AEE3-C16F-BE97-F9D69034C5CA}"/>
            </a:ext>
          </a:extLst>
        </xdr:cNvPr>
        <xdr:cNvPicPr>
          <a:picLocks noChangeAspect="1"/>
        </xdr:cNvPicPr>
      </xdr:nvPicPr>
      <xdr:blipFill>
        <a:blip xmlns:r="http://schemas.openxmlformats.org/officeDocument/2006/relationships" r:embed="rId1"/>
        <a:stretch>
          <a:fillRect/>
        </a:stretch>
      </xdr:blipFill>
      <xdr:spPr>
        <a:xfrm>
          <a:off x="0" y="0"/>
          <a:ext cx="7447619" cy="5828571"/>
        </a:xfrm>
        <a:prstGeom prst="rect">
          <a:avLst/>
        </a:prstGeom>
      </xdr:spPr>
    </xdr:pic>
    <xdr:clientData/>
  </xdr:twoCellAnchor>
  <xdr:twoCellAnchor editAs="oneCell">
    <xdr:from>
      <xdr:col>0</xdr:col>
      <xdr:colOff>0</xdr:colOff>
      <xdr:row>34</xdr:row>
      <xdr:rowOff>0</xdr:rowOff>
    </xdr:from>
    <xdr:to>
      <xdr:col>10</xdr:col>
      <xdr:colOff>475333</xdr:colOff>
      <xdr:row>68</xdr:row>
      <xdr:rowOff>75462</xdr:rowOff>
    </xdr:to>
    <xdr:pic>
      <xdr:nvPicPr>
        <xdr:cNvPr id="3" name="图片 2">
          <a:extLst>
            <a:ext uri="{FF2B5EF4-FFF2-40B4-BE49-F238E27FC236}">
              <a16:creationId xmlns="" xmlns:a16="http://schemas.microsoft.com/office/drawing/2014/main" id="{0E00C436-BAD6-7AE7-0919-36F41BF7772E}"/>
            </a:ext>
          </a:extLst>
        </xdr:cNvPr>
        <xdr:cNvPicPr>
          <a:picLocks noChangeAspect="1"/>
        </xdr:cNvPicPr>
      </xdr:nvPicPr>
      <xdr:blipFill>
        <a:blip xmlns:r="http://schemas.openxmlformats.org/officeDocument/2006/relationships" r:embed="rId2"/>
        <a:stretch>
          <a:fillRect/>
        </a:stretch>
      </xdr:blipFill>
      <xdr:spPr>
        <a:xfrm>
          <a:off x="0" y="5829300"/>
          <a:ext cx="7333333" cy="5904762"/>
        </a:xfrm>
        <a:prstGeom prst="rect">
          <a:avLst/>
        </a:prstGeom>
      </xdr:spPr>
    </xdr:pic>
    <xdr:clientData/>
  </xdr:twoCellAnchor>
  <xdr:twoCellAnchor editAs="oneCell">
    <xdr:from>
      <xdr:col>0</xdr:col>
      <xdr:colOff>0</xdr:colOff>
      <xdr:row>69</xdr:row>
      <xdr:rowOff>0</xdr:rowOff>
    </xdr:from>
    <xdr:to>
      <xdr:col>10</xdr:col>
      <xdr:colOff>380095</xdr:colOff>
      <xdr:row>98</xdr:row>
      <xdr:rowOff>46998</xdr:rowOff>
    </xdr:to>
    <xdr:pic>
      <xdr:nvPicPr>
        <xdr:cNvPr id="4" name="图片 3">
          <a:extLst>
            <a:ext uri="{FF2B5EF4-FFF2-40B4-BE49-F238E27FC236}">
              <a16:creationId xmlns="" xmlns:a16="http://schemas.microsoft.com/office/drawing/2014/main" id="{4F601E2C-71EE-E0D7-346B-731BF9E9C4DA}"/>
            </a:ext>
          </a:extLst>
        </xdr:cNvPr>
        <xdr:cNvPicPr>
          <a:picLocks noChangeAspect="1"/>
        </xdr:cNvPicPr>
      </xdr:nvPicPr>
      <xdr:blipFill>
        <a:blip xmlns:r="http://schemas.openxmlformats.org/officeDocument/2006/relationships" r:embed="rId3"/>
        <a:stretch>
          <a:fillRect/>
        </a:stretch>
      </xdr:blipFill>
      <xdr:spPr>
        <a:xfrm>
          <a:off x="0" y="11830050"/>
          <a:ext cx="7238095" cy="5019048"/>
        </a:xfrm>
        <a:prstGeom prst="rect">
          <a:avLst/>
        </a:prstGeom>
      </xdr:spPr>
    </xdr:pic>
    <xdr:clientData/>
  </xdr:twoCellAnchor>
  <xdr:twoCellAnchor editAs="oneCell">
    <xdr:from>
      <xdr:col>0</xdr:col>
      <xdr:colOff>0</xdr:colOff>
      <xdr:row>98</xdr:row>
      <xdr:rowOff>0</xdr:rowOff>
    </xdr:from>
    <xdr:to>
      <xdr:col>11</xdr:col>
      <xdr:colOff>265724</xdr:colOff>
      <xdr:row>132</xdr:row>
      <xdr:rowOff>46890</xdr:rowOff>
    </xdr:to>
    <xdr:pic>
      <xdr:nvPicPr>
        <xdr:cNvPr id="5" name="图片 4">
          <a:extLst>
            <a:ext uri="{FF2B5EF4-FFF2-40B4-BE49-F238E27FC236}">
              <a16:creationId xmlns="" xmlns:a16="http://schemas.microsoft.com/office/drawing/2014/main" id="{02B63025-8545-2505-CF8C-D609C59D6AE0}"/>
            </a:ext>
          </a:extLst>
        </xdr:cNvPr>
        <xdr:cNvPicPr>
          <a:picLocks noChangeAspect="1"/>
        </xdr:cNvPicPr>
      </xdr:nvPicPr>
      <xdr:blipFill>
        <a:blip xmlns:r="http://schemas.openxmlformats.org/officeDocument/2006/relationships" r:embed="rId4"/>
        <a:stretch>
          <a:fillRect/>
        </a:stretch>
      </xdr:blipFill>
      <xdr:spPr>
        <a:xfrm>
          <a:off x="0" y="16802100"/>
          <a:ext cx="7809524" cy="5876190"/>
        </a:xfrm>
        <a:prstGeom prst="rect">
          <a:avLst/>
        </a:prstGeom>
      </xdr:spPr>
    </xdr:pic>
    <xdr:clientData/>
  </xdr:twoCellAnchor>
  <xdr:twoCellAnchor editAs="oneCell">
    <xdr:from>
      <xdr:col>0</xdr:col>
      <xdr:colOff>0</xdr:colOff>
      <xdr:row>132</xdr:row>
      <xdr:rowOff>0</xdr:rowOff>
    </xdr:from>
    <xdr:to>
      <xdr:col>11</xdr:col>
      <xdr:colOff>56200</xdr:colOff>
      <xdr:row>161</xdr:row>
      <xdr:rowOff>94617</xdr:rowOff>
    </xdr:to>
    <xdr:pic>
      <xdr:nvPicPr>
        <xdr:cNvPr id="6" name="图片 5">
          <a:extLst>
            <a:ext uri="{FF2B5EF4-FFF2-40B4-BE49-F238E27FC236}">
              <a16:creationId xmlns="" xmlns:a16="http://schemas.microsoft.com/office/drawing/2014/main" id="{C2A47F7D-8935-9623-C5A1-CFCFBDFED5B3}"/>
            </a:ext>
          </a:extLst>
        </xdr:cNvPr>
        <xdr:cNvPicPr>
          <a:picLocks noChangeAspect="1"/>
        </xdr:cNvPicPr>
      </xdr:nvPicPr>
      <xdr:blipFill>
        <a:blip xmlns:r="http://schemas.openxmlformats.org/officeDocument/2006/relationships" r:embed="rId5"/>
        <a:stretch>
          <a:fillRect/>
        </a:stretch>
      </xdr:blipFill>
      <xdr:spPr>
        <a:xfrm>
          <a:off x="0" y="22631400"/>
          <a:ext cx="7600000" cy="5066667"/>
        </a:xfrm>
        <a:prstGeom prst="rect">
          <a:avLst/>
        </a:prstGeom>
      </xdr:spPr>
    </xdr:pic>
    <xdr:clientData/>
  </xdr:twoCellAnchor>
  <xdr:twoCellAnchor editAs="oneCell">
    <xdr:from>
      <xdr:col>0</xdr:col>
      <xdr:colOff>0</xdr:colOff>
      <xdr:row>162</xdr:row>
      <xdr:rowOff>0</xdr:rowOff>
    </xdr:from>
    <xdr:to>
      <xdr:col>10</xdr:col>
      <xdr:colOff>361048</xdr:colOff>
      <xdr:row>195</xdr:row>
      <xdr:rowOff>113579</xdr:rowOff>
    </xdr:to>
    <xdr:pic>
      <xdr:nvPicPr>
        <xdr:cNvPr id="7" name="图片 6">
          <a:extLst>
            <a:ext uri="{FF2B5EF4-FFF2-40B4-BE49-F238E27FC236}">
              <a16:creationId xmlns="" xmlns:a16="http://schemas.microsoft.com/office/drawing/2014/main" id="{56BB56C7-BDF2-8D73-E6F3-3E094CC4FD8A}"/>
            </a:ext>
          </a:extLst>
        </xdr:cNvPr>
        <xdr:cNvPicPr>
          <a:picLocks noChangeAspect="1"/>
        </xdr:cNvPicPr>
      </xdr:nvPicPr>
      <xdr:blipFill>
        <a:blip xmlns:r="http://schemas.openxmlformats.org/officeDocument/2006/relationships" r:embed="rId6"/>
        <a:stretch>
          <a:fillRect/>
        </a:stretch>
      </xdr:blipFill>
      <xdr:spPr>
        <a:xfrm>
          <a:off x="0" y="27774900"/>
          <a:ext cx="7219048" cy="5771429"/>
        </a:xfrm>
        <a:prstGeom prst="rect">
          <a:avLst/>
        </a:prstGeom>
      </xdr:spPr>
    </xdr:pic>
    <xdr:clientData/>
  </xdr:twoCellAnchor>
  <xdr:twoCellAnchor editAs="oneCell">
    <xdr:from>
      <xdr:col>11</xdr:col>
      <xdr:colOff>0</xdr:colOff>
      <xdr:row>0</xdr:row>
      <xdr:rowOff>0</xdr:rowOff>
    </xdr:from>
    <xdr:to>
      <xdr:col>21</xdr:col>
      <xdr:colOff>465809</xdr:colOff>
      <xdr:row>28</xdr:row>
      <xdr:rowOff>113686</xdr:rowOff>
    </xdr:to>
    <xdr:pic>
      <xdr:nvPicPr>
        <xdr:cNvPr id="8" name="图片 7">
          <a:extLst>
            <a:ext uri="{FF2B5EF4-FFF2-40B4-BE49-F238E27FC236}">
              <a16:creationId xmlns="" xmlns:a16="http://schemas.microsoft.com/office/drawing/2014/main" id="{D51B3D1D-355E-0491-709D-AD66BA406DEC}"/>
            </a:ext>
          </a:extLst>
        </xdr:cNvPr>
        <xdr:cNvPicPr>
          <a:picLocks noChangeAspect="1"/>
        </xdr:cNvPicPr>
      </xdr:nvPicPr>
      <xdr:blipFill>
        <a:blip xmlns:r="http://schemas.openxmlformats.org/officeDocument/2006/relationships" r:embed="rId7"/>
        <a:stretch>
          <a:fillRect/>
        </a:stretch>
      </xdr:blipFill>
      <xdr:spPr>
        <a:xfrm>
          <a:off x="7543800" y="0"/>
          <a:ext cx="7323809" cy="49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351009</xdr:colOff>
      <xdr:row>33</xdr:row>
      <xdr:rowOff>8817</xdr:rowOff>
    </xdr:to>
    <xdr:pic>
      <xdr:nvPicPr>
        <xdr:cNvPr id="9" name="图片 8">
          <a:extLst>
            <a:ext uri="{FF2B5EF4-FFF2-40B4-BE49-F238E27FC236}">
              <a16:creationId xmlns="" xmlns:a16="http://schemas.microsoft.com/office/drawing/2014/main" id="{0C25CD42-3A99-C41B-D8C2-00F344EDBFE5}"/>
            </a:ext>
          </a:extLst>
        </xdr:cNvPr>
        <xdr:cNvPicPr>
          <a:picLocks noChangeAspect="1"/>
        </xdr:cNvPicPr>
      </xdr:nvPicPr>
      <xdr:blipFill>
        <a:blip xmlns:r="http://schemas.openxmlformats.org/officeDocument/2006/relationships" r:embed="rId1"/>
        <a:stretch>
          <a:fillRect/>
        </a:stretch>
      </xdr:blipFill>
      <xdr:spPr>
        <a:xfrm>
          <a:off x="0" y="0"/>
          <a:ext cx="11323809" cy="5666667"/>
        </a:xfrm>
        <a:prstGeom prst="rect">
          <a:avLst/>
        </a:prstGeom>
      </xdr:spPr>
    </xdr:pic>
    <xdr:clientData/>
  </xdr:twoCellAnchor>
  <xdr:twoCellAnchor editAs="oneCell">
    <xdr:from>
      <xdr:col>0</xdr:col>
      <xdr:colOff>0</xdr:colOff>
      <xdr:row>33</xdr:row>
      <xdr:rowOff>0</xdr:rowOff>
    </xdr:from>
    <xdr:to>
      <xdr:col>16</xdr:col>
      <xdr:colOff>217676</xdr:colOff>
      <xdr:row>62</xdr:row>
      <xdr:rowOff>94617</xdr:rowOff>
    </xdr:to>
    <xdr:pic>
      <xdr:nvPicPr>
        <xdr:cNvPr id="10" name="图片 9">
          <a:extLst>
            <a:ext uri="{FF2B5EF4-FFF2-40B4-BE49-F238E27FC236}">
              <a16:creationId xmlns="" xmlns:a16="http://schemas.microsoft.com/office/drawing/2014/main" id="{27107B38-C6E4-CCD9-6C04-724397B8582D}"/>
            </a:ext>
          </a:extLst>
        </xdr:cNvPr>
        <xdr:cNvPicPr>
          <a:picLocks noChangeAspect="1"/>
        </xdr:cNvPicPr>
      </xdr:nvPicPr>
      <xdr:blipFill>
        <a:blip xmlns:r="http://schemas.openxmlformats.org/officeDocument/2006/relationships" r:embed="rId2"/>
        <a:stretch>
          <a:fillRect/>
        </a:stretch>
      </xdr:blipFill>
      <xdr:spPr>
        <a:xfrm>
          <a:off x="0" y="5657850"/>
          <a:ext cx="11190476" cy="5066667"/>
        </a:xfrm>
        <a:prstGeom prst="rect">
          <a:avLst/>
        </a:prstGeom>
      </xdr:spPr>
    </xdr:pic>
    <xdr:clientData/>
  </xdr:twoCellAnchor>
  <xdr:twoCellAnchor editAs="oneCell">
    <xdr:from>
      <xdr:col>0</xdr:col>
      <xdr:colOff>0</xdr:colOff>
      <xdr:row>62</xdr:row>
      <xdr:rowOff>0</xdr:rowOff>
    </xdr:from>
    <xdr:to>
      <xdr:col>16</xdr:col>
      <xdr:colOff>27200</xdr:colOff>
      <xdr:row>82</xdr:row>
      <xdr:rowOff>18619</xdr:rowOff>
    </xdr:to>
    <xdr:pic>
      <xdr:nvPicPr>
        <xdr:cNvPr id="11" name="图片 10">
          <a:extLst>
            <a:ext uri="{FF2B5EF4-FFF2-40B4-BE49-F238E27FC236}">
              <a16:creationId xmlns="" xmlns:a16="http://schemas.microsoft.com/office/drawing/2014/main" id="{CB62A907-5DB7-98AE-7C77-2D85A10933E0}"/>
            </a:ext>
          </a:extLst>
        </xdr:cNvPr>
        <xdr:cNvPicPr>
          <a:picLocks noChangeAspect="1"/>
        </xdr:cNvPicPr>
      </xdr:nvPicPr>
      <xdr:blipFill>
        <a:blip xmlns:r="http://schemas.openxmlformats.org/officeDocument/2006/relationships" r:embed="rId3"/>
        <a:stretch>
          <a:fillRect/>
        </a:stretch>
      </xdr:blipFill>
      <xdr:spPr>
        <a:xfrm>
          <a:off x="0" y="10629900"/>
          <a:ext cx="11000000" cy="3447619"/>
        </a:xfrm>
        <a:prstGeom prst="rect">
          <a:avLst/>
        </a:prstGeom>
      </xdr:spPr>
    </xdr:pic>
    <xdr:clientData/>
  </xdr:twoCellAnchor>
  <xdr:twoCellAnchor editAs="oneCell">
    <xdr:from>
      <xdr:col>0</xdr:col>
      <xdr:colOff>0</xdr:colOff>
      <xdr:row>82</xdr:row>
      <xdr:rowOff>0</xdr:rowOff>
    </xdr:from>
    <xdr:to>
      <xdr:col>16</xdr:col>
      <xdr:colOff>227200</xdr:colOff>
      <xdr:row>105</xdr:row>
      <xdr:rowOff>37602</xdr:rowOff>
    </xdr:to>
    <xdr:pic>
      <xdr:nvPicPr>
        <xdr:cNvPr id="12" name="图片 11">
          <a:extLst>
            <a:ext uri="{FF2B5EF4-FFF2-40B4-BE49-F238E27FC236}">
              <a16:creationId xmlns="" xmlns:a16="http://schemas.microsoft.com/office/drawing/2014/main" id="{4BFB0A03-664C-775B-877D-0D23381173AC}"/>
            </a:ext>
          </a:extLst>
        </xdr:cNvPr>
        <xdr:cNvPicPr>
          <a:picLocks noChangeAspect="1"/>
        </xdr:cNvPicPr>
      </xdr:nvPicPr>
      <xdr:blipFill>
        <a:blip xmlns:r="http://schemas.openxmlformats.org/officeDocument/2006/relationships" r:embed="rId4"/>
        <a:stretch>
          <a:fillRect/>
        </a:stretch>
      </xdr:blipFill>
      <xdr:spPr>
        <a:xfrm>
          <a:off x="0" y="14058900"/>
          <a:ext cx="11200000" cy="3980952"/>
        </a:xfrm>
        <a:prstGeom prst="rect">
          <a:avLst/>
        </a:prstGeom>
      </xdr:spPr>
    </xdr:pic>
    <xdr:clientData/>
  </xdr:twoCellAnchor>
  <xdr:twoCellAnchor editAs="oneCell">
    <xdr:from>
      <xdr:col>0</xdr:col>
      <xdr:colOff>0</xdr:colOff>
      <xdr:row>105</xdr:row>
      <xdr:rowOff>0</xdr:rowOff>
    </xdr:from>
    <xdr:to>
      <xdr:col>16</xdr:col>
      <xdr:colOff>170057</xdr:colOff>
      <xdr:row>123</xdr:row>
      <xdr:rowOff>66281</xdr:rowOff>
    </xdr:to>
    <xdr:pic>
      <xdr:nvPicPr>
        <xdr:cNvPr id="13" name="图片 12">
          <a:extLst>
            <a:ext uri="{FF2B5EF4-FFF2-40B4-BE49-F238E27FC236}">
              <a16:creationId xmlns="" xmlns:a16="http://schemas.microsoft.com/office/drawing/2014/main" id="{6AE52087-E09B-6870-69D3-D0511B43730A}"/>
            </a:ext>
          </a:extLst>
        </xdr:cNvPr>
        <xdr:cNvPicPr>
          <a:picLocks noChangeAspect="1"/>
        </xdr:cNvPicPr>
      </xdr:nvPicPr>
      <xdr:blipFill>
        <a:blip xmlns:r="http://schemas.openxmlformats.org/officeDocument/2006/relationships" r:embed="rId5"/>
        <a:stretch>
          <a:fillRect/>
        </a:stretch>
      </xdr:blipFill>
      <xdr:spPr>
        <a:xfrm>
          <a:off x="0" y="18002250"/>
          <a:ext cx="11142857" cy="3152381"/>
        </a:xfrm>
        <a:prstGeom prst="rect">
          <a:avLst/>
        </a:prstGeom>
      </xdr:spPr>
    </xdr:pic>
    <xdr:clientData/>
  </xdr:twoCellAnchor>
  <xdr:twoCellAnchor editAs="oneCell">
    <xdr:from>
      <xdr:col>0</xdr:col>
      <xdr:colOff>0</xdr:colOff>
      <xdr:row>123</xdr:row>
      <xdr:rowOff>0</xdr:rowOff>
    </xdr:from>
    <xdr:to>
      <xdr:col>16</xdr:col>
      <xdr:colOff>217676</xdr:colOff>
      <xdr:row>152</xdr:row>
      <xdr:rowOff>56521</xdr:rowOff>
    </xdr:to>
    <xdr:pic>
      <xdr:nvPicPr>
        <xdr:cNvPr id="14" name="图片 13">
          <a:extLst>
            <a:ext uri="{FF2B5EF4-FFF2-40B4-BE49-F238E27FC236}">
              <a16:creationId xmlns="" xmlns:a16="http://schemas.microsoft.com/office/drawing/2014/main" id="{0D7E0381-81B8-7E1B-E4D7-885604EBCBFF}"/>
            </a:ext>
          </a:extLst>
        </xdr:cNvPr>
        <xdr:cNvPicPr>
          <a:picLocks noChangeAspect="1"/>
        </xdr:cNvPicPr>
      </xdr:nvPicPr>
      <xdr:blipFill>
        <a:blip xmlns:r="http://schemas.openxmlformats.org/officeDocument/2006/relationships" r:embed="rId6"/>
        <a:stretch>
          <a:fillRect/>
        </a:stretch>
      </xdr:blipFill>
      <xdr:spPr>
        <a:xfrm>
          <a:off x="0" y="21088350"/>
          <a:ext cx="11190476" cy="5028571"/>
        </a:xfrm>
        <a:prstGeom prst="rect">
          <a:avLst/>
        </a:prstGeom>
      </xdr:spPr>
    </xdr:pic>
    <xdr:clientData/>
  </xdr:twoCellAnchor>
  <xdr:twoCellAnchor editAs="oneCell">
    <xdr:from>
      <xdr:col>0</xdr:col>
      <xdr:colOff>0</xdr:colOff>
      <xdr:row>155</xdr:row>
      <xdr:rowOff>0</xdr:rowOff>
    </xdr:from>
    <xdr:to>
      <xdr:col>16</xdr:col>
      <xdr:colOff>389105</xdr:colOff>
      <xdr:row>181</xdr:row>
      <xdr:rowOff>151824</xdr:rowOff>
    </xdr:to>
    <xdr:pic>
      <xdr:nvPicPr>
        <xdr:cNvPr id="15" name="图片 14">
          <a:extLst>
            <a:ext uri="{FF2B5EF4-FFF2-40B4-BE49-F238E27FC236}">
              <a16:creationId xmlns="" xmlns:a16="http://schemas.microsoft.com/office/drawing/2014/main" id="{2862C6FC-D1DA-5702-7AB4-051DE54E0C18}"/>
            </a:ext>
          </a:extLst>
        </xdr:cNvPr>
        <xdr:cNvPicPr>
          <a:picLocks noChangeAspect="1"/>
        </xdr:cNvPicPr>
      </xdr:nvPicPr>
      <xdr:blipFill>
        <a:blip xmlns:r="http://schemas.openxmlformats.org/officeDocument/2006/relationships" r:embed="rId7"/>
        <a:stretch>
          <a:fillRect/>
        </a:stretch>
      </xdr:blipFill>
      <xdr:spPr>
        <a:xfrm>
          <a:off x="0" y="26574750"/>
          <a:ext cx="11361905" cy="4609524"/>
        </a:xfrm>
        <a:prstGeom prst="rect">
          <a:avLst/>
        </a:prstGeom>
      </xdr:spPr>
    </xdr:pic>
    <xdr:clientData/>
  </xdr:twoCellAnchor>
  <xdr:twoCellAnchor editAs="oneCell">
    <xdr:from>
      <xdr:col>0</xdr:col>
      <xdr:colOff>0</xdr:colOff>
      <xdr:row>182</xdr:row>
      <xdr:rowOff>0</xdr:rowOff>
    </xdr:from>
    <xdr:to>
      <xdr:col>16</xdr:col>
      <xdr:colOff>170057</xdr:colOff>
      <xdr:row>208</xdr:row>
      <xdr:rowOff>113729</xdr:rowOff>
    </xdr:to>
    <xdr:pic>
      <xdr:nvPicPr>
        <xdr:cNvPr id="16" name="图片 15">
          <a:extLst>
            <a:ext uri="{FF2B5EF4-FFF2-40B4-BE49-F238E27FC236}">
              <a16:creationId xmlns="" xmlns:a16="http://schemas.microsoft.com/office/drawing/2014/main" id="{4912F5B0-FD66-100C-1023-A53D88FD87FD}"/>
            </a:ext>
          </a:extLst>
        </xdr:cNvPr>
        <xdr:cNvPicPr>
          <a:picLocks noChangeAspect="1"/>
        </xdr:cNvPicPr>
      </xdr:nvPicPr>
      <xdr:blipFill>
        <a:blip xmlns:r="http://schemas.openxmlformats.org/officeDocument/2006/relationships" r:embed="rId8"/>
        <a:stretch>
          <a:fillRect/>
        </a:stretch>
      </xdr:blipFill>
      <xdr:spPr>
        <a:xfrm>
          <a:off x="0" y="31203900"/>
          <a:ext cx="11142857" cy="4571429"/>
        </a:xfrm>
        <a:prstGeom prst="rect">
          <a:avLst/>
        </a:prstGeom>
      </xdr:spPr>
    </xdr:pic>
    <xdr:clientData/>
  </xdr:twoCellAnchor>
  <xdr:twoCellAnchor editAs="oneCell">
    <xdr:from>
      <xdr:col>0</xdr:col>
      <xdr:colOff>0</xdr:colOff>
      <xdr:row>209</xdr:row>
      <xdr:rowOff>0</xdr:rowOff>
    </xdr:from>
    <xdr:to>
      <xdr:col>16</xdr:col>
      <xdr:colOff>246247</xdr:colOff>
      <xdr:row>239</xdr:row>
      <xdr:rowOff>132690</xdr:rowOff>
    </xdr:to>
    <xdr:pic>
      <xdr:nvPicPr>
        <xdr:cNvPr id="17" name="图片 16">
          <a:extLst>
            <a:ext uri="{FF2B5EF4-FFF2-40B4-BE49-F238E27FC236}">
              <a16:creationId xmlns="" xmlns:a16="http://schemas.microsoft.com/office/drawing/2014/main" id="{E8023280-3576-EA79-E009-87E218BD34DF}"/>
            </a:ext>
          </a:extLst>
        </xdr:cNvPr>
        <xdr:cNvPicPr>
          <a:picLocks noChangeAspect="1"/>
        </xdr:cNvPicPr>
      </xdr:nvPicPr>
      <xdr:blipFill>
        <a:blip xmlns:r="http://schemas.openxmlformats.org/officeDocument/2006/relationships" r:embed="rId9"/>
        <a:stretch>
          <a:fillRect/>
        </a:stretch>
      </xdr:blipFill>
      <xdr:spPr>
        <a:xfrm>
          <a:off x="0" y="35833050"/>
          <a:ext cx="11219047" cy="5276190"/>
        </a:xfrm>
        <a:prstGeom prst="rect">
          <a:avLst/>
        </a:prstGeom>
      </xdr:spPr>
    </xdr:pic>
    <xdr:clientData/>
  </xdr:twoCellAnchor>
  <xdr:twoCellAnchor editAs="oneCell">
    <xdr:from>
      <xdr:col>0</xdr:col>
      <xdr:colOff>0</xdr:colOff>
      <xdr:row>240</xdr:row>
      <xdr:rowOff>0</xdr:rowOff>
    </xdr:from>
    <xdr:to>
      <xdr:col>16</xdr:col>
      <xdr:colOff>189105</xdr:colOff>
      <xdr:row>262</xdr:row>
      <xdr:rowOff>151909</xdr:rowOff>
    </xdr:to>
    <xdr:pic>
      <xdr:nvPicPr>
        <xdr:cNvPr id="18" name="图片 17">
          <a:extLst>
            <a:ext uri="{FF2B5EF4-FFF2-40B4-BE49-F238E27FC236}">
              <a16:creationId xmlns="" xmlns:a16="http://schemas.microsoft.com/office/drawing/2014/main" id="{A0FAFB13-7E8F-0404-CFBF-5323F50EC964}"/>
            </a:ext>
          </a:extLst>
        </xdr:cNvPr>
        <xdr:cNvPicPr>
          <a:picLocks noChangeAspect="1"/>
        </xdr:cNvPicPr>
      </xdr:nvPicPr>
      <xdr:blipFill>
        <a:blip xmlns:r="http://schemas.openxmlformats.org/officeDocument/2006/relationships" r:embed="rId10"/>
        <a:stretch>
          <a:fillRect/>
        </a:stretch>
      </xdr:blipFill>
      <xdr:spPr>
        <a:xfrm>
          <a:off x="0" y="41148000"/>
          <a:ext cx="11161905" cy="3923809"/>
        </a:xfrm>
        <a:prstGeom prst="rect">
          <a:avLst/>
        </a:prstGeom>
      </xdr:spPr>
    </xdr:pic>
    <xdr:clientData/>
  </xdr:twoCellAnchor>
  <xdr:twoCellAnchor editAs="oneCell">
    <xdr:from>
      <xdr:col>0</xdr:col>
      <xdr:colOff>0</xdr:colOff>
      <xdr:row>263</xdr:row>
      <xdr:rowOff>0</xdr:rowOff>
    </xdr:from>
    <xdr:to>
      <xdr:col>16</xdr:col>
      <xdr:colOff>208152</xdr:colOff>
      <xdr:row>281</xdr:row>
      <xdr:rowOff>113900</xdr:rowOff>
    </xdr:to>
    <xdr:pic>
      <xdr:nvPicPr>
        <xdr:cNvPr id="19" name="图片 18">
          <a:extLst>
            <a:ext uri="{FF2B5EF4-FFF2-40B4-BE49-F238E27FC236}">
              <a16:creationId xmlns="" xmlns:a16="http://schemas.microsoft.com/office/drawing/2014/main" id="{21A15D9A-6006-2732-346F-6AA9AFCBC5DF}"/>
            </a:ext>
          </a:extLst>
        </xdr:cNvPr>
        <xdr:cNvPicPr>
          <a:picLocks noChangeAspect="1"/>
        </xdr:cNvPicPr>
      </xdr:nvPicPr>
      <xdr:blipFill>
        <a:blip xmlns:r="http://schemas.openxmlformats.org/officeDocument/2006/relationships" r:embed="rId11"/>
        <a:stretch>
          <a:fillRect/>
        </a:stretch>
      </xdr:blipFill>
      <xdr:spPr>
        <a:xfrm>
          <a:off x="0" y="45091350"/>
          <a:ext cx="11180952" cy="3200000"/>
        </a:xfrm>
        <a:prstGeom prst="rect">
          <a:avLst/>
        </a:prstGeom>
      </xdr:spPr>
    </xdr:pic>
    <xdr:clientData/>
  </xdr:twoCellAnchor>
  <xdr:twoCellAnchor editAs="oneCell">
    <xdr:from>
      <xdr:col>0</xdr:col>
      <xdr:colOff>0</xdr:colOff>
      <xdr:row>282</xdr:row>
      <xdr:rowOff>0</xdr:rowOff>
    </xdr:from>
    <xdr:to>
      <xdr:col>15</xdr:col>
      <xdr:colOff>684428</xdr:colOff>
      <xdr:row>310</xdr:row>
      <xdr:rowOff>66067</xdr:rowOff>
    </xdr:to>
    <xdr:pic>
      <xdr:nvPicPr>
        <xdr:cNvPr id="20" name="图片 19">
          <a:extLst>
            <a:ext uri="{FF2B5EF4-FFF2-40B4-BE49-F238E27FC236}">
              <a16:creationId xmlns="" xmlns:a16="http://schemas.microsoft.com/office/drawing/2014/main" id="{05010D71-E8E6-3ECD-EE44-90A6E899F7E4}"/>
            </a:ext>
          </a:extLst>
        </xdr:cNvPr>
        <xdr:cNvPicPr>
          <a:picLocks noChangeAspect="1"/>
        </xdr:cNvPicPr>
      </xdr:nvPicPr>
      <xdr:blipFill>
        <a:blip xmlns:r="http://schemas.openxmlformats.org/officeDocument/2006/relationships" r:embed="rId12"/>
        <a:stretch>
          <a:fillRect/>
        </a:stretch>
      </xdr:blipFill>
      <xdr:spPr>
        <a:xfrm>
          <a:off x="0" y="48348900"/>
          <a:ext cx="10971428" cy="4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Documents/WeChat%20Files/moqikay/FileStorage/File/2022-11/&#26368;&#32456;-&#27721;&#23041;&#22269;&#38469;&#22235;&#21306;512228&#19975;&#20803;-&#20462;&#25913;&#22303;&#22320;&#38754;&#31215;&#19982;&#36710;&#24211;&#25910;&#30410;&#27861;&#25276;&#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二区"/>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收益法（汇总）"/>
      <sheetName val="收益法"/>
      <sheetName val="收益法-地下车库"/>
      <sheetName val="办公租金"/>
      <sheetName val="车位"/>
      <sheetName val="Sheet1"/>
      <sheetName val="租金"/>
      <sheetName val="地块信息"/>
      <sheetName val="Sheet2"/>
      <sheetName val="Sheet3"/>
      <sheetName val="商业"/>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收益法-地下车库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row r="17">
          <cell r="C17" t="str">
            <v>项目类型</v>
          </cell>
        </row>
        <row r="19">
          <cell r="C19" t="str">
            <v>研发楼</v>
          </cell>
        </row>
        <row r="20">
          <cell r="C20" t="str">
            <v>研发楼（地下车库）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cell r="C75" t="str">
            <v>研发、办公</v>
          </cell>
          <cell r="D75" t="str">
            <v>商业、办公</v>
          </cell>
        </row>
        <row r="106">
          <cell r="B106" t="str">
            <v>毗邻道路的类型与等级</v>
          </cell>
          <cell r="C106" t="str">
            <v>城市快速路</v>
          </cell>
          <cell r="D106" t="str">
            <v>主干道</v>
          </cell>
          <cell r="E106" t="str">
            <v>次干道</v>
          </cell>
          <cell r="F106" t="str">
            <v>支路</v>
          </cell>
        </row>
        <row r="108">
          <cell r="B108" t="str">
            <v>土地级别</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16/6Kpu"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2" customWidth="1"/>
    <col min="2" max="2" width="81" style="1238" customWidth="1"/>
    <col min="3" max="16384" width="9" style="1231"/>
  </cols>
  <sheetData>
    <row r="1" spans="1:2" s="1225" customFormat="1" ht="16.5" thickBot="1">
      <c r="A1" s="1224" t="s">
        <v>946</v>
      </c>
      <c r="B1" s="1223" t="s">
        <v>1025</v>
      </c>
    </row>
    <row r="2" spans="1:2" s="1228" customFormat="1" ht="15" thickTop="1">
      <c r="A2" s="1226" t="s">
        <v>947</v>
      </c>
      <c r="B2" s="1227" t="str">
        <f>'预评函-封皮'!B37:I37</f>
        <v>北京市丰台区南四环西路186号四区1号楼房地产抵押价值预评估</v>
      </c>
    </row>
    <row r="3" spans="1:2">
      <c r="A3" s="1229" t="s">
        <v>948</v>
      </c>
      <c r="B3" s="1230" t="str">
        <f>'预评函-封皮'!B40</f>
        <v>工商银行</v>
      </c>
    </row>
    <row r="4" spans="1:2">
      <c r="A4" s="1229" t="s">
        <v>949</v>
      </c>
      <c r="B4" s="1230" t="str">
        <f ca="1">'预评函-封皮'!B46</f>
        <v>王鹏（注册号：1120050019)、郑燚（注册号：0)</v>
      </c>
    </row>
    <row r="5" spans="1:2" s="1225" customFormat="1" ht="15" thickBot="1">
      <c r="A5" s="1232" t="s">
        <v>950</v>
      </c>
      <c r="B5" s="1233" t="str">
        <f>'预评函-封皮'!B49</f>
        <v>康正预评字号</v>
      </c>
    </row>
    <row r="6" spans="1:2" s="1228" customFormat="1" ht="15" thickTop="1">
      <c r="A6" s="1226" t="s">
        <v>951</v>
      </c>
      <c r="B6" s="1227" t="str">
        <f>'预评函-1'!A4</f>
        <v>受贵公司委托，我公司对北京市丰台区南四环西路186号四区1号楼房地产抵押价值进行了预评估。</v>
      </c>
    </row>
    <row r="7" spans="1:2">
      <c r="A7" s="1229" t="s">
        <v>991</v>
      </c>
      <c r="B7" s="1230" t="str">
        <f>'预评函-1'!A7</f>
        <v>估价对象为北京市丰台区南四环西路186号四区1号楼房地产，为北京世纪星空影业投资有限公司所有。根据《国有土地使用证》[京丰国用（2015）出第00176号]，估价对象（分摊）出让国有建设用地使用权面积为45717.88平方米，建筑面积为176954.78平方米。</v>
      </c>
    </row>
    <row r="8" spans="1:2">
      <c r="A8" s="1229" t="s">
        <v>992</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993</v>
      </c>
      <c r="B9" s="1230"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45717.88平方米，规划建筑面积为176954.78平方米。</v>
      </c>
    </row>
    <row r="10" spans="1:2">
      <c r="A10" s="1229" t="s">
        <v>994</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952</v>
      </c>
      <c r="B11" s="1230" t="str">
        <f>'预评函-1'!A13</f>
        <v>为估价委托人在向办理贷款手续过程中，确定房地产抵押贷款额度提供参考依据而评估房地产抵押价值。</v>
      </c>
    </row>
    <row r="12" spans="1:2">
      <c r="A12" s="1229" t="s">
        <v>953</v>
      </c>
      <c r="B12" s="1230" t="str">
        <f>'预评函-1'!A15</f>
        <v>2022年11月25日（评估专业人员实地查勘之日）</v>
      </c>
    </row>
    <row r="13" spans="1:2">
      <c r="A13" s="1229" t="s">
        <v>954</v>
      </c>
      <c r="B13" s="1230" t="str">
        <f>'预评函-1'!A18</f>
        <v>本次估价的“房地产价值”是指在正常市场情况下，在价值时点2022年11月25日，估价对象规划用途为研发楼，土地取得方式为出让，出让国有建设用地使用权剩余土地使用年限为，假定未设立法定优先受偿款下的房地产市场价值。</v>
      </c>
    </row>
    <row r="14" spans="1:2">
      <c r="A14" s="1229" t="s">
        <v>955</v>
      </c>
      <c r="B14" s="1230"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229" t="s">
        <v>956</v>
      </c>
      <c r="B15" s="1230" t="str">
        <f>'预评函-1'!A20</f>
        <v>本次估价的“房地产抵押价值”是指估价对象在价值时点的“房地产价值”扣减估价师于价值时点所知悉的法定优先受偿款后的余额。</v>
      </c>
    </row>
    <row r="16" spans="1:2">
      <c r="A16" s="1229" t="s">
        <v>957</v>
      </c>
      <c r="B16" s="12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9" t="s">
        <v>958</v>
      </c>
      <c r="B17" s="12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5" customFormat="1" ht="15" thickBot="1">
      <c r="A18" s="1232" t="s">
        <v>959</v>
      </c>
      <c r="B18" s="1233" t="str">
        <f>'预评函-1'!A24</f>
        <v>本次评估采用的主估价方法为成本法和收益法。</v>
      </c>
    </row>
    <row r="19" spans="1:2" s="1228" customFormat="1" ht="15" thickTop="1">
      <c r="A19" s="1226" t="s">
        <v>960</v>
      </c>
      <c r="B19" s="12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9" t="s">
        <v>961</v>
      </c>
      <c r="B20" s="1230">
        <f ca="1">'预评函-2'!D5</f>
        <v>429834</v>
      </c>
    </row>
    <row r="21" spans="1:2">
      <c r="A21" s="1229" t="s">
        <v>962</v>
      </c>
      <c r="B21" s="1230">
        <f ca="1">'预评函-2'!D7</f>
        <v>24291</v>
      </c>
    </row>
    <row r="22" spans="1:2">
      <c r="A22" s="1229" t="s">
        <v>963</v>
      </c>
      <c r="B22" s="1230" t="str">
        <f ca="1">'预评函-2'!D6</f>
        <v>肆拾贰亿玖仟捌佰叁拾肆万元整</v>
      </c>
    </row>
    <row r="23" spans="1:2">
      <c r="A23" s="1229" t="s">
        <v>1014</v>
      </c>
      <c r="B23" s="1230" t="str">
        <f>'预评函-2'!B8</f>
        <v>2.估价师知悉的法定优先受偿款</v>
      </c>
    </row>
    <row r="24" spans="1:2">
      <c r="A24" s="1229" t="s">
        <v>1020</v>
      </c>
      <c r="B24" s="1230">
        <f>'预评函-2'!D8</f>
        <v>0</v>
      </c>
    </row>
    <row r="25" spans="1:2">
      <c r="A25" s="1229" t="s">
        <v>964</v>
      </c>
      <c r="B25" s="1230" t="str">
        <f>'预评函-2'!D9</f>
        <v>零元整</v>
      </c>
    </row>
    <row r="26" spans="1:2">
      <c r="A26" s="1229" t="s">
        <v>965</v>
      </c>
      <c r="B26" s="1230">
        <f>'预评函-2'!D10</f>
        <v>0</v>
      </c>
    </row>
    <row r="27" spans="1:2">
      <c r="A27" s="1229" t="s">
        <v>966</v>
      </c>
      <c r="B27" s="1230">
        <f>'预评函-2'!D11</f>
        <v>0</v>
      </c>
    </row>
    <row r="28" spans="1:2">
      <c r="A28" s="1229" t="s">
        <v>967</v>
      </c>
      <c r="B28" s="1230">
        <f>'预评函-2'!D12</f>
        <v>0</v>
      </c>
    </row>
    <row r="29" spans="1:2">
      <c r="A29" s="1229" t="s">
        <v>1018</v>
      </c>
      <c r="B29" s="1230" t="str">
        <f>'预评函-2'!B13</f>
        <v>3.房地产抵押价值</v>
      </c>
    </row>
    <row r="30" spans="1:2">
      <c r="A30" s="1229" t="s">
        <v>1019</v>
      </c>
      <c r="B30" s="1230">
        <f ca="1">'预评函-2'!D13</f>
        <v>429834</v>
      </c>
    </row>
    <row r="31" spans="1:2">
      <c r="A31" s="1229" t="s">
        <v>1001</v>
      </c>
      <c r="B31" s="1230">
        <f ca="1">'预评函-2'!D15</f>
        <v>24291</v>
      </c>
    </row>
    <row r="32" spans="1:2">
      <c r="A32" s="1229" t="s">
        <v>968</v>
      </c>
      <c r="B32" s="1230" t="str">
        <f ca="1">'预评函-2'!D14</f>
        <v>肆拾贰亿玖仟捌佰叁拾肆万元整</v>
      </c>
    </row>
    <row r="33" spans="1:2">
      <c r="A33" s="1229" t="s">
        <v>1003</v>
      </c>
      <c r="B33" s="1230" t="str">
        <f>'预评函-2'!B16</f>
        <v>——</v>
      </c>
    </row>
    <row r="34" spans="1:2">
      <c r="A34" s="1229" t="s">
        <v>1021</v>
      </c>
      <c r="B34" s="1230" t="str">
        <f>'预评函-2'!D16</f>
        <v>——</v>
      </c>
    </row>
    <row r="35" spans="1:2">
      <c r="A35" s="1229" t="s">
        <v>1002</v>
      </c>
      <c r="B35" s="1230" t="str">
        <f>'预评函-2'!D18</f>
        <v>——</v>
      </c>
    </row>
    <row r="36" spans="1:2">
      <c r="A36" s="1229" t="s">
        <v>969</v>
      </c>
      <c r="B36" s="1230" t="e">
        <f>'预评函-2'!D17</f>
        <v>#VALUE!</v>
      </c>
    </row>
    <row r="37" spans="1:2">
      <c r="A37" s="1229" t="s">
        <v>1004</v>
      </c>
      <c r="B37" s="1230" t="str">
        <f>'预评函-2'!B19</f>
        <v>——</v>
      </c>
    </row>
    <row r="38" spans="1:2">
      <c r="A38" s="1229" t="s">
        <v>1022</v>
      </c>
      <c r="B38" s="1230" t="str">
        <f>'预评函-2'!D19</f>
        <v>——</v>
      </c>
    </row>
    <row r="39" spans="1:2">
      <c r="A39" s="1229" t="s">
        <v>970</v>
      </c>
      <c r="B39" s="1230" t="str">
        <f>'预评函-2'!D21</f>
        <v>——</v>
      </c>
    </row>
    <row r="40" spans="1:2">
      <c r="A40" s="1229" t="s">
        <v>971</v>
      </c>
      <c r="B40" s="1230" t="e">
        <f>'预评函-2'!D20</f>
        <v>#VALUE!</v>
      </c>
    </row>
    <row r="41" spans="1:2">
      <c r="A41" s="1229" t="s">
        <v>1017</v>
      </c>
      <c r="B41" s="1230" t="str">
        <f>'预评函-3'!A4</f>
        <v>北京市丰台区南四环西路186号四区1号楼房地产</v>
      </c>
    </row>
    <row r="42" spans="1:2">
      <c r="A42" s="1229" t="s">
        <v>1015</v>
      </c>
      <c r="B42" s="1230" t="str">
        <f>'预评函-3'!B2</f>
        <v>建筑面积</v>
      </c>
    </row>
    <row r="43" spans="1:2">
      <c r="A43" s="1229" t="s">
        <v>1016</v>
      </c>
      <c r="B43" s="1230">
        <f>'预评函-3'!B4</f>
        <v>176954.78</v>
      </c>
    </row>
    <row r="44" spans="1:2">
      <c r="A44" s="1229" t="s">
        <v>1000</v>
      </c>
      <c r="B44" s="1230" t="str">
        <f>'预评函-3'!C2</f>
        <v>(分摊)土地面积</v>
      </c>
    </row>
    <row r="45" spans="1:2">
      <c r="A45" s="1229" t="s">
        <v>972</v>
      </c>
      <c r="B45" s="1230">
        <f>'预评函-3'!C4</f>
        <v>45717.88</v>
      </c>
    </row>
    <row r="46" spans="1:2">
      <c r="A46" s="1229" t="s">
        <v>998</v>
      </c>
      <c r="B46" s="1230" t="str">
        <f>'预评函-3'!D2</f>
        <v>出让国有建设用地使用权价值</v>
      </c>
    </row>
    <row r="47" spans="1:2">
      <c r="A47" s="1229" t="s">
        <v>973</v>
      </c>
      <c r="B47" s="1230">
        <f ca="1">'预评函-3'!D4</f>
        <v>316358</v>
      </c>
    </row>
    <row r="48" spans="1:2">
      <c r="A48" s="1229" t="s">
        <v>974</v>
      </c>
      <c r="B48" s="1230">
        <f ca="1">'预评函-3'!E4</f>
        <v>17878</v>
      </c>
    </row>
    <row r="49" spans="1:2">
      <c r="A49" s="1229" t="s">
        <v>975</v>
      </c>
      <c r="B49" s="1230" t="str">
        <f ca="1">'预评函-3'!D5</f>
        <v>叁拾壹亿陆仟叁佰伍拾捌万元整</v>
      </c>
    </row>
    <row r="50" spans="1:2">
      <c r="A50" s="1229" t="s">
        <v>999</v>
      </c>
      <c r="B50" s="1230" t="str">
        <f>'预评函-3'!F2</f>
        <v>建筑物价值</v>
      </c>
    </row>
    <row r="51" spans="1:2">
      <c r="A51" s="1229" t="s">
        <v>976</v>
      </c>
      <c r="B51" s="1230">
        <f ca="1">'预评函-3'!F4</f>
        <v>113476</v>
      </c>
    </row>
    <row r="52" spans="1:2">
      <c r="A52" s="1229" t="s">
        <v>977</v>
      </c>
      <c r="B52" s="1230">
        <f ca="1">'预评函-3'!G4</f>
        <v>6413</v>
      </c>
    </row>
    <row r="53" spans="1:2">
      <c r="A53" s="1229" t="s">
        <v>1005</v>
      </c>
      <c r="B53" s="1230" t="str">
        <f ca="1">'预评函-3'!F5</f>
        <v>壹拾壹亿叁仟肆佰柒拾陆万元整</v>
      </c>
    </row>
    <row r="54" spans="1:2">
      <c r="A54" s="1229" t="s">
        <v>1023</v>
      </c>
      <c r="B54" s="1230" t="str">
        <f>'预评函-3'!A8</f>
        <v>房地产抵押价值</v>
      </c>
    </row>
    <row r="55" spans="1:2">
      <c r="A55" s="1229" t="s">
        <v>1006</v>
      </c>
      <c r="B55" s="1230" t="str">
        <f>'预评函-3'!A10</f>
        <v/>
      </c>
    </row>
    <row r="56" spans="1:2">
      <c r="A56" s="1229" t="s">
        <v>1007</v>
      </c>
      <c r="B56" s="1230" t="str">
        <f>'预评函-3'!A12</f>
        <v/>
      </c>
    </row>
    <row r="57" spans="1:2" s="1225" customFormat="1" ht="15" thickBot="1">
      <c r="A57" s="1232" t="s">
        <v>1024</v>
      </c>
      <c r="B57" s="1233" t="str">
        <f>'预评函-3'!A6</f>
        <v>估价师知悉的法定优先受偿款</v>
      </c>
    </row>
    <row r="58" spans="1:2" s="1228" customFormat="1" ht="15" thickTop="1">
      <c r="A58" s="1226" t="s">
        <v>978</v>
      </c>
      <c r="B58" s="1227" t="str">
        <f>'预评函-4'!A12</f>
        <v>2.本《评估意见函》仅供金融机构进行内部审核使用，不做其他目的之用。</v>
      </c>
    </row>
    <row r="59" spans="1:2">
      <c r="A59" s="1229" t="s">
        <v>979</v>
      </c>
      <c r="B59" s="1230" t="str">
        <f>'预评函-4'!A13</f>
        <v>3.抵押双方在办理抵押登记手续时，应使用本公司出具的正式《房地产评估报告》，特提醒报告使用者注意。</v>
      </c>
    </row>
    <row r="60" spans="1:2">
      <c r="A60" s="1229" t="s">
        <v>980</v>
      </c>
      <c r="B60" s="1230" t="str">
        <f>'预评函-4'!A14</f>
        <v>4.本次评估估价师所知悉的法定优先受偿款情况说明如下：</v>
      </c>
    </row>
    <row r="61" spans="1:2">
      <c r="A61" s="1229" t="s">
        <v>981</v>
      </c>
      <c r="B61" s="1230" t="str">
        <f>'预评函-4'!A15</f>
        <v>（1）根据估价对象《房屋所有权证》原件、《国有土地使用权》复印件，截至价值时点，估价对象已设定抵押。上述抵押权设定日期为，权利人为，权利范围为，权利价值为。</v>
      </c>
    </row>
    <row r="62" spans="1:2">
      <c r="A62" s="1229" t="s">
        <v>982</v>
      </c>
      <c r="B62" s="1230" t="str">
        <f>'预评函-4'!A16</f>
        <v>（2）根据《工程款支付情况说明》，截至价值时点，估价对象不存在应付未付工程款项。（只要没有施工方盖章的，均“设定”进行表述）</v>
      </c>
    </row>
    <row r="63" spans="1:2">
      <c r="A63" s="1229" t="s">
        <v>983</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995</v>
      </c>
      <c r="B64" s="1230" t="str">
        <f>'预评函-4'!A18</f>
        <v>故，本次评估不存在估价师知悉的法定优先受偿款</v>
      </c>
    </row>
    <row r="65" spans="1:2">
      <c r="A65" s="1229" t="s">
        <v>984</v>
      </c>
      <c r="B65" s="12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985</v>
      </c>
      <c r="B66" s="12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9" t="s">
        <v>996</v>
      </c>
      <c r="B67" s="12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9" t="s">
        <v>997</v>
      </c>
      <c r="B68" s="1230" t="str">
        <f>'预评函-4'!A22</f>
        <v>8.其他需特殊说明事项：无（注意调整序号）</v>
      </c>
    </row>
    <row r="69" spans="1:2" s="1225" customFormat="1" ht="15" thickBot="1">
      <c r="A69" s="1232" t="s">
        <v>986</v>
      </c>
      <c r="B69" s="1234">
        <f>'预评函-4'!C31</f>
        <v>42551</v>
      </c>
    </row>
    <row r="70" spans="1:2" ht="15" thickTop="1">
      <c r="A70" s="1235" t="s">
        <v>987</v>
      </c>
      <c r="B70" s="1236" t="str">
        <f>'预评函-4'!A4</f>
        <v>王鹏</v>
      </c>
    </row>
    <row r="71" spans="1:2">
      <c r="A71" s="1229" t="s">
        <v>988</v>
      </c>
      <c r="B71" s="1230">
        <f ca="1">'预评函-4'!B4</f>
        <v>1120050019</v>
      </c>
    </row>
    <row r="72" spans="1:2">
      <c r="A72" s="1229" t="s">
        <v>989</v>
      </c>
      <c r="B72" s="1237" t="str">
        <f>'预评函-4'!A5</f>
        <v>郑燚</v>
      </c>
    </row>
    <row r="73" spans="1:2" s="1225" customFormat="1" ht="15" thickBot="1">
      <c r="A73" s="1232" t="s">
        <v>990</v>
      </c>
      <c r="B73" s="1233">
        <f ca="1">'预评函-4'!B5</f>
        <v>0</v>
      </c>
    </row>
    <row r="74" spans="1:2" ht="15" thickTop="1">
      <c r="A74" s="1222" t="s">
        <v>1026</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E17" sqref="E17"/>
    </sheetView>
  </sheetViews>
  <sheetFormatPr defaultColWidth="9" defaultRowHeight="13.5"/>
  <cols>
    <col min="1" max="1" width="13.5" style="1578" customWidth="1"/>
    <col min="2" max="2" width="23.25" style="1535" customWidth="1"/>
    <col min="3" max="3" width="13" style="1575" customWidth="1"/>
    <col min="4" max="4" width="5.75" style="1573" customWidth="1"/>
    <col min="5" max="5" width="7.125" style="1573" customWidth="1"/>
    <col min="6" max="6" width="10.625" style="1573" customWidth="1"/>
    <col min="7" max="7" width="7.5" style="1573" customWidth="1"/>
    <col min="8" max="8" width="9" style="1575" customWidth="1"/>
    <col min="9" max="9" width="11.625" style="1575" customWidth="1"/>
    <col min="10" max="10" width="9" style="1575" customWidth="1"/>
    <col min="11" max="19" width="9" style="1573" customWidth="1"/>
    <col min="20" max="23" width="9" style="1575" customWidth="1"/>
    <col min="24" max="24" width="21.125" style="1535" customWidth="1"/>
    <col min="25" max="16384" width="9" style="1535"/>
  </cols>
  <sheetData>
    <row r="1" spans="1:23" s="1570" customFormat="1" ht="27">
      <c r="A1" s="1566" t="s">
        <v>71</v>
      </c>
      <c r="B1" s="1567" t="s">
        <v>1414</v>
      </c>
      <c r="C1" s="1568" t="s">
        <v>578</v>
      </c>
      <c r="D1" s="1568" t="s">
        <v>1415</v>
      </c>
      <c r="E1" s="1568" t="s">
        <v>1416</v>
      </c>
      <c r="F1" s="1568" t="s">
        <v>1417</v>
      </c>
      <c r="G1" s="1568" t="s">
        <v>1418</v>
      </c>
      <c r="H1" s="1568" t="s">
        <v>1419</v>
      </c>
      <c r="I1" s="1568" t="s">
        <v>1420</v>
      </c>
      <c r="J1" s="1568" t="s">
        <v>1421</v>
      </c>
      <c r="K1" s="1568" t="s">
        <v>1422</v>
      </c>
      <c r="L1" s="1568" t="s">
        <v>1423</v>
      </c>
      <c r="M1" s="1568" t="s">
        <v>1424</v>
      </c>
      <c r="N1" s="1568" t="s">
        <v>1425</v>
      </c>
      <c r="O1" s="1568" t="s">
        <v>1426</v>
      </c>
      <c r="P1" s="1569" t="s">
        <v>573</v>
      </c>
      <c r="Q1" s="1569" t="s">
        <v>872</v>
      </c>
      <c r="R1" s="1568" t="s">
        <v>866</v>
      </c>
      <c r="S1" s="1568" t="s">
        <v>1427</v>
      </c>
      <c r="T1" s="1569" t="s">
        <v>1428</v>
      </c>
      <c r="U1" s="1568" t="s">
        <v>1429</v>
      </c>
      <c r="V1" s="1568" t="s">
        <v>1430</v>
      </c>
      <c r="W1" s="1568" t="s">
        <v>575</v>
      </c>
    </row>
    <row r="2" spans="1:23">
      <c r="A2" s="1571" t="s">
        <v>22</v>
      </c>
      <c r="B2" s="1571" t="s">
        <v>1431</v>
      </c>
      <c r="C2" s="1572" t="s">
        <v>579</v>
      </c>
      <c r="D2" s="1573" t="s">
        <v>1432</v>
      </c>
      <c r="E2" s="1573" t="s">
        <v>1433</v>
      </c>
      <c r="F2" s="1573" t="s">
        <v>1434</v>
      </c>
      <c r="G2" s="1573">
        <v>40</v>
      </c>
      <c r="H2" s="1573" t="s">
        <v>1434</v>
      </c>
      <c r="I2" s="1573" t="s">
        <v>1435</v>
      </c>
      <c r="J2" s="1573" t="s">
        <v>1436</v>
      </c>
      <c r="K2" s="1573" t="s">
        <v>1437</v>
      </c>
      <c r="L2" s="1573" t="s">
        <v>1437</v>
      </c>
      <c r="M2" s="1573" t="s">
        <v>1437</v>
      </c>
      <c r="N2" s="1573" t="s">
        <v>1437</v>
      </c>
      <c r="O2" s="1573" t="s">
        <v>1437</v>
      </c>
      <c r="P2" s="1573" t="s">
        <v>1437</v>
      </c>
      <c r="Q2" s="1573" t="s">
        <v>1437</v>
      </c>
      <c r="R2" s="1573" t="s">
        <v>868</v>
      </c>
      <c r="S2" s="1573" t="s">
        <v>1437</v>
      </c>
      <c r="T2" s="1573" t="s">
        <v>1438</v>
      </c>
      <c r="U2" s="1573" t="s">
        <v>1437</v>
      </c>
      <c r="V2" s="1573" t="s">
        <v>1439</v>
      </c>
      <c r="W2" s="1573" t="s">
        <v>1437</v>
      </c>
    </row>
    <row r="3" spans="1:23">
      <c r="A3" s="1571" t="s">
        <v>1440</v>
      </c>
      <c r="B3" s="1574" t="s">
        <v>873</v>
      </c>
      <c r="C3" s="1572" t="s">
        <v>580</v>
      </c>
      <c r="D3" s="1573" t="s">
        <v>1441</v>
      </c>
      <c r="E3" s="1573" t="s">
        <v>16</v>
      </c>
      <c r="F3" s="1573" t="s">
        <v>1442</v>
      </c>
      <c r="G3" s="1573">
        <v>50</v>
      </c>
      <c r="H3" s="1573" t="s">
        <v>1442</v>
      </c>
      <c r="I3" s="1573" t="s">
        <v>1443</v>
      </c>
      <c r="J3" s="1573" t="s">
        <v>1444</v>
      </c>
      <c r="K3" s="1573" t="s">
        <v>1445</v>
      </c>
      <c r="L3" s="1573" t="s">
        <v>1445</v>
      </c>
      <c r="M3" s="1573" t="s">
        <v>1445</v>
      </c>
      <c r="N3" s="1573" t="s">
        <v>1445</v>
      </c>
      <c r="O3" s="1573" t="s">
        <v>1445</v>
      </c>
      <c r="P3" s="1573" t="s">
        <v>1445</v>
      </c>
      <c r="Q3" s="1573" t="s">
        <v>1445</v>
      </c>
      <c r="R3" s="1573" t="s">
        <v>867</v>
      </c>
      <c r="S3" s="1573" t="s">
        <v>1445</v>
      </c>
      <c r="T3" s="1573" t="s">
        <v>1446</v>
      </c>
      <c r="U3" s="1573" t="s">
        <v>1445</v>
      </c>
      <c r="V3" s="1573" t="s">
        <v>1447</v>
      </c>
      <c r="W3" s="1573" t="s">
        <v>1445</v>
      </c>
    </row>
    <row r="4" spans="1:23">
      <c r="A4" s="1571" t="s">
        <v>1448</v>
      </c>
      <c r="B4" s="1571" t="s">
        <v>1449</v>
      </c>
      <c r="C4" s="1572" t="s">
        <v>581</v>
      </c>
      <c r="D4" s="1573" t="s">
        <v>655</v>
      </c>
      <c r="E4" s="1573" t="s">
        <v>1450</v>
      </c>
      <c r="F4" s="1573" t="s">
        <v>1451</v>
      </c>
      <c r="G4" s="1573">
        <v>70</v>
      </c>
      <c r="H4" s="1573" t="s">
        <v>1451</v>
      </c>
      <c r="I4" s="1573" t="s">
        <v>1452</v>
      </c>
      <c r="K4" s="1573" t="s">
        <v>1453</v>
      </c>
      <c r="L4" s="1573" t="s">
        <v>1453</v>
      </c>
      <c r="M4" s="1573" t="s">
        <v>1453</v>
      </c>
      <c r="N4" s="1573" t="s">
        <v>1453</v>
      </c>
      <c r="O4" s="1573" t="s">
        <v>1453</v>
      </c>
      <c r="P4" s="1573" t="s">
        <v>1453</v>
      </c>
      <c r="Q4" s="1573" t="s">
        <v>1453</v>
      </c>
      <c r="R4" s="1573" t="s">
        <v>869</v>
      </c>
      <c r="S4" s="1573" t="s">
        <v>1453</v>
      </c>
      <c r="T4" s="1573" t="s">
        <v>1454</v>
      </c>
      <c r="U4" s="1573" t="s">
        <v>1453</v>
      </c>
      <c r="W4" s="1573" t="s">
        <v>1453</v>
      </c>
    </row>
    <row r="5" spans="1:23">
      <c r="A5" s="1571" t="s">
        <v>1455</v>
      </c>
      <c r="B5" s="1571" t="s">
        <v>1456</v>
      </c>
      <c r="C5" s="1572" t="s">
        <v>582</v>
      </c>
      <c r="F5" s="1573" t="s">
        <v>1457</v>
      </c>
      <c r="H5" s="1573" t="s">
        <v>1458</v>
      </c>
      <c r="I5" s="1573" t="s">
        <v>1459</v>
      </c>
      <c r="K5" s="1573" t="s">
        <v>1460</v>
      </c>
      <c r="L5" s="1573" t="s">
        <v>1460</v>
      </c>
      <c r="M5" s="1573" t="s">
        <v>1460</v>
      </c>
      <c r="N5" s="1573" t="s">
        <v>1460</v>
      </c>
      <c r="O5" s="1573" t="s">
        <v>1460</v>
      </c>
      <c r="P5" s="1573" t="s">
        <v>1460</v>
      </c>
      <c r="Q5" s="1573" t="s">
        <v>1460</v>
      </c>
      <c r="R5" s="1573" t="s">
        <v>870</v>
      </c>
      <c r="S5" s="1573" t="s">
        <v>1460</v>
      </c>
      <c r="T5" s="1573" t="s">
        <v>1461</v>
      </c>
      <c r="U5" s="1573" t="s">
        <v>1460</v>
      </c>
      <c r="W5" s="1573" t="s">
        <v>1460</v>
      </c>
    </row>
    <row r="6" spans="1:23">
      <c r="A6" s="1571" t="s">
        <v>1462</v>
      </c>
      <c r="B6" s="1574" t="s">
        <v>874</v>
      </c>
      <c r="C6" s="1576" t="s">
        <v>30</v>
      </c>
      <c r="F6" s="1573" t="s">
        <v>1458</v>
      </c>
      <c r="H6" s="1573" t="s">
        <v>1463</v>
      </c>
      <c r="I6" s="1573" t="s">
        <v>1464</v>
      </c>
      <c r="K6" s="1573" t="s">
        <v>1465</v>
      </c>
      <c r="L6" s="1573" t="s">
        <v>1465</v>
      </c>
      <c r="M6" s="1573" t="s">
        <v>1465</v>
      </c>
      <c r="N6" s="1573" t="s">
        <v>1465</v>
      </c>
      <c r="O6" s="1573" t="s">
        <v>1465</v>
      </c>
      <c r="P6" s="1573" t="s">
        <v>1465</v>
      </c>
      <c r="Q6" s="1573" t="s">
        <v>1465</v>
      </c>
      <c r="R6" s="1573" t="s">
        <v>871</v>
      </c>
      <c r="S6" s="1573" t="s">
        <v>1465</v>
      </c>
      <c r="T6" s="1573"/>
      <c r="U6" s="1573" t="s">
        <v>1465</v>
      </c>
      <c r="W6" s="1573" t="s">
        <v>1465</v>
      </c>
    </row>
    <row r="7" spans="1:23">
      <c r="A7" s="1571" t="s">
        <v>1466</v>
      </c>
      <c r="B7" s="1574" t="s">
        <v>875</v>
      </c>
      <c r="C7" s="1572" t="s">
        <v>31</v>
      </c>
      <c r="F7" s="1573" t="s">
        <v>1467</v>
      </c>
      <c r="H7" s="1573" t="s">
        <v>1468</v>
      </c>
      <c r="I7" s="1573" t="s">
        <v>1469</v>
      </c>
    </row>
    <row r="8" spans="1:23">
      <c r="A8" s="1571" t="s">
        <v>1470</v>
      </c>
      <c r="B8" s="1571" t="s">
        <v>1471</v>
      </c>
      <c r="C8" s="1572" t="s">
        <v>583</v>
      </c>
      <c r="F8" s="1573" t="s">
        <v>1472</v>
      </c>
      <c r="H8" s="1573"/>
      <c r="I8" s="1573" t="s">
        <v>1473</v>
      </c>
    </row>
    <row r="9" spans="1:23">
      <c r="A9" s="1571" t="s">
        <v>1474</v>
      </c>
      <c r="B9" s="1571" t="s">
        <v>1475</v>
      </c>
      <c r="C9" s="1572" t="s">
        <v>584</v>
      </c>
      <c r="F9" s="1573" t="s">
        <v>1476</v>
      </c>
      <c r="H9" s="1573"/>
    </row>
    <row r="10" spans="1:23">
      <c r="A10" s="1571" t="s">
        <v>1477</v>
      </c>
      <c r="B10" s="1571" t="s">
        <v>1478</v>
      </c>
      <c r="C10" s="1572" t="s">
        <v>585</v>
      </c>
      <c r="F10" s="1573" t="s">
        <v>16</v>
      </c>
    </row>
    <row r="11" spans="1:23">
      <c r="A11" s="1571" t="s">
        <v>1479</v>
      </c>
      <c r="B11" s="1571" t="s">
        <v>1480</v>
      </c>
      <c r="C11" s="1572" t="s">
        <v>586</v>
      </c>
    </row>
    <row r="12" spans="1:23">
      <c r="A12" s="1571" t="s">
        <v>1481</v>
      </c>
      <c r="B12" s="1571" t="s">
        <v>1482</v>
      </c>
      <c r="C12" s="1572" t="s">
        <v>587</v>
      </c>
    </row>
    <row r="13" spans="1:23">
      <c r="A13" s="1571" t="s">
        <v>1483</v>
      </c>
      <c r="B13" s="1571" t="s">
        <v>1484</v>
      </c>
      <c r="C13" s="1572" t="s">
        <v>588</v>
      </c>
    </row>
    <row r="14" spans="1:23">
      <c r="A14" s="1571" t="s">
        <v>1485</v>
      </c>
      <c r="B14" s="1571" t="s">
        <v>1486</v>
      </c>
      <c r="C14" s="1573" t="s">
        <v>16</v>
      </c>
    </row>
    <row r="15" spans="1:23">
      <c r="A15" s="1571" t="s">
        <v>1487</v>
      </c>
      <c r="B15" s="1571" t="s">
        <v>1488</v>
      </c>
      <c r="C15" s="1572"/>
    </row>
    <row r="16" spans="1:23">
      <c r="A16" s="1571" t="s">
        <v>1489</v>
      </c>
      <c r="B16" s="1571" t="s">
        <v>576</v>
      </c>
      <c r="C16" s="1572"/>
    </row>
    <row r="17" spans="1:3">
      <c r="A17" s="1571" t="s">
        <v>1490</v>
      </c>
      <c r="B17" s="1571" t="s">
        <v>2787</v>
      </c>
      <c r="C17" s="1572"/>
    </row>
    <row r="18" spans="1:3">
      <c r="A18" s="1571" t="s">
        <v>1491</v>
      </c>
      <c r="B18" s="1571" t="s">
        <v>2931</v>
      </c>
      <c r="C18" s="1572"/>
    </row>
    <row r="19" spans="1:3">
      <c r="A19" s="1571" t="s">
        <v>1492</v>
      </c>
      <c r="B19" s="1571" t="s">
        <v>3758</v>
      </c>
      <c r="C19" s="1572"/>
    </row>
    <row r="20" spans="1:3">
      <c r="A20" s="1571" t="s">
        <v>1493</v>
      </c>
      <c r="B20" s="1571" t="s">
        <v>577</v>
      </c>
      <c r="C20" s="1572"/>
    </row>
    <row r="21" spans="1:3">
      <c r="A21" s="1571" t="s">
        <v>1494</v>
      </c>
      <c r="B21" s="1571" t="s">
        <v>577</v>
      </c>
      <c r="C21" s="1572"/>
    </row>
    <row r="22" spans="1:3">
      <c r="A22" s="1571" t="s">
        <v>1495</v>
      </c>
      <c r="B22" s="1571" t="s">
        <v>577</v>
      </c>
      <c r="C22" s="1572"/>
    </row>
    <row r="23" spans="1:3">
      <c r="A23" s="1571" t="s">
        <v>1496</v>
      </c>
      <c r="B23" s="1571" t="s">
        <v>577</v>
      </c>
      <c r="C23" s="1572"/>
    </row>
    <row r="24" spans="1:3">
      <c r="A24" s="1571" t="s">
        <v>1497</v>
      </c>
      <c r="B24" s="1571" t="s">
        <v>577</v>
      </c>
      <c r="C24" s="1572"/>
    </row>
    <row r="25" spans="1:3">
      <c r="A25" s="1571" t="s">
        <v>1498</v>
      </c>
      <c r="B25" s="1571" t="s">
        <v>577</v>
      </c>
      <c r="C25" s="1572"/>
    </row>
    <row r="26" spans="1:3">
      <c r="A26" s="1571" t="s">
        <v>1499</v>
      </c>
      <c r="B26" s="1571" t="s">
        <v>577</v>
      </c>
      <c r="C26" s="1572"/>
    </row>
    <row r="27" spans="1:3">
      <c r="A27" s="1571" t="s">
        <v>577</v>
      </c>
      <c r="B27" s="1571" t="s">
        <v>577</v>
      </c>
      <c r="C27" s="1572"/>
    </row>
    <row r="28" spans="1:3">
      <c r="A28" s="1571" t="s">
        <v>577</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办理贷款手续。特委托北京康正宏基房地产评估有限公司对上述抵押物进行评估。本次评估为确定房地产抵押贷款额度提供参考依据而评估房地产抵押价值。</v>
      </c>
      <c r="D51" s="1577" t="s">
        <v>1011</v>
      </c>
    </row>
    <row r="52" spans="1:4">
      <c r="A52" s="1577" t="s">
        <v>645</v>
      </c>
      <c r="B52" s="1577" t="s">
        <v>646</v>
      </c>
      <c r="C52" s="1575" t="s">
        <v>647</v>
      </c>
      <c r="D52" s="1575" t="s">
        <v>648</v>
      </c>
    </row>
    <row r="53" spans="1:4">
      <c r="A53" s="3172"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25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172"/>
      <c r="B54" s="1577" t="s">
        <v>651</v>
      </c>
      <c r="C54" s="1575" t="s">
        <v>1008</v>
      </c>
    </row>
    <row r="55" spans="1:4">
      <c r="A55" s="3172"/>
      <c r="B55" s="1577" t="s">
        <v>652</v>
      </c>
      <c r="C55" s="1575" t="s">
        <v>1009</v>
      </c>
    </row>
    <row r="56" spans="1:4">
      <c r="A56" s="3172"/>
      <c r="B56" s="1577" t="s">
        <v>653</v>
      </c>
      <c r="C56" s="1575" t="s">
        <v>1013</v>
      </c>
    </row>
    <row r="57" spans="1:4">
      <c r="A57" s="3172"/>
      <c r="B57" s="1577" t="s">
        <v>654</v>
      </c>
      <c r="C57" s="1575" t="s">
        <v>1010</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6" sqref="E6"/>
    </sheetView>
  </sheetViews>
  <sheetFormatPr defaultColWidth="10" defaultRowHeight="12.75"/>
  <cols>
    <col min="1" max="1" width="16.875" style="1748" customWidth="1"/>
    <col min="2" max="2" width="10" style="1748" customWidth="1"/>
    <col min="3" max="3" width="11.5" style="1748" customWidth="1"/>
    <col min="4" max="4" width="10" style="1748" customWidth="1"/>
    <col min="5" max="5" width="12.625" style="1748" customWidth="1"/>
    <col min="6" max="6" width="10" style="1748" customWidth="1"/>
    <col min="7" max="7" width="10.75" style="1748" customWidth="1"/>
    <col min="8" max="8" width="10" style="1748" customWidth="1"/>
    <col min="9" max="9" width="11.125" style="1598" customWidth="1"/>
    <col min="10" max="10" width="10" style="1746" customWidth="1"/>
    <col min="11" max="11" width="10" style="2576" customWidth="1"/>
    <col min="12" max="13" width="10" style="2577" customWidth="1"/>
    <col min="14" max="14" width="10" style="1746" customWidth="1"/>
    <col min="15" max="15" width="10" style="12" customWidth="1"/>
    <col min="16" max="17" width="10" style="1746"/>
    <col min="18" max="18" width="10" style="1746" customWidth="1"/>
    <col min="19" max="30" width="10" style="1746"/>
    <col min="31" max="16384" width="10" style="1748"/>
  </cols>
  <sheetData>
    <row r="1" spans="1:28" ht="13.5" thickBot="1">
      <c r="A1" s="2343" t="s">
        <v>2664</v>
      </c>
      <c r="B1" s="3173" t="str">
        <f>IF(B10="北京市","北京市",C10)&amp;F10&amp;IF(结果表!G1="在建","出让国有建设用地使用权及在建建筑物",IF(结果表!G1="土地","出让国有建设用地使用权",))&amp;B9&amp;"预评估"</f>
        <v>北京市丰台区南四环西路186号四区1号楼房地产抵押价值预评估</v>
      </c>
      <c r="C1" s="3174"/>
      <c r="D1" s="3174"/>
      <c r="E1" s="3174"/>
      <c r="F1" s="3174"/>
      <c r="G1" s="3174"/>
      <c r="H1" s="3174"/>
      <c r="I1" s="3175"/>
      <c r="J1" s="2407"/>
      <c r="K1" s="2345"/>
      <c r="L1" s="2346"/>
      <c r="M1" s="2346"/>
      <c r="N1" s="2344"/>
      <c r="O1" s="1596"/>
      <c r="P1" s="2344"/>
      <c r="Q1" s="2344"/>
      <c r="R1" s="2344"/>
      <c r="S1" s="1691" t="str">
        <f>IF(B10="北京市","北京市",C10)&amp;F10&amp;IF(结果表!G1="在建","出让国有建设用地使用权及在建建筑物房地产抵押价值",IF(结果表!G1="土地","出让国有建设用地使用权抵押价值",B9))</f>
        <v>北京市丰台区南四环西路186号四区1号楼房地产抵押价值</v>
      </c>
      <c r="T1" s="1748"/>
      <c r="U1" s="1748"/>
      <c r="V1" s="1748"/>
      <c r="W1" s="1748"/>
      <c r="X1" s="1748"/>
      <c r="Y1" s="1748"/>
      <c r="Z1" s="1748"/>
      <c r="AA1" s="1748"/>
      <c r="AB1" s="1748"/>
    </row>
    <row r="2" spans="1:28">
      <c r="A2" s="2344" t="s">
        <v>2665</v>
      </c>
      <c r="B2" s="127"/>
      <c r="D2" s="2609"/>
      <c r="E2" s="2604"/>
      <c r="F2" s="2604"/>
      <c r="G2" s="2605"/>
      <c r="H2" s="2605"/>
      <c r="I2" s="2605"/>
      <c r="J2" s="2407"/>
      <c r="K2" s="2345"/>
      <c r="L2" s="2346"/>
      <c r="M2" s="2346"/>
      <c r="N2" s="2344"/>
      <c r="O2" s="1596"/>
      <c r="P2" s="2344"/>
      <c r="Q2" s="2344"/>
      <c r="R2" s="2344"/>
      <c r="S2" s="1691" t="str">
        <f>IF(B10="北京市","北京市",C10)&amp;F10&amp;IF(结果表!G1="在建","出让国有建设用地使用权及在建建筑物房地产",IF(结果表!G1="土地","出让国有建设用地使用权","房地产"))</f>
        <v>北京市丰台区南四环西路186号四区1号楼房地产</v>
      </c>
      <c r="T2" s="1748"/>
      <c r="U2" s="1748"/>
      <c r="V2" s="1748"/>
      <c r="W2" s="1748"/>
      <c r="X2" s="1748"/>
      <c r="Y2" s="1748"/>
      <c r="Z2" s="1748"/>
      <c r="AA2" s="1748"/>
      <c r="AB2" s="1748"/>
    </row>
    <row r="3" spans="1:28">
      <c r="A3" s="300" t="s">
        <v>2666</v>
      </c>
      <c r="B3" s="2347">
        <v>44890</v>
      </c>
      <c r="C3" s="2348" t="s">
        <v>2667</v>
      </c>
      <c r="D3" s="2347">
        <f>B3</f>
        <v>44890</v>
      </c>
      <c r="E3" s="2605"/>
      <c r="F3" s="2605"/>
      <c r="G3" s="2605"/>
      <c r="H3" s="2605"/>
      <c r="I3" s="2605"/>
      <c r="J3" s="2407"/>
      <c r="K3" s="2345"/>
      <c r="L3" s="2346"/>
      <c r="M3" s="2346"/>
      <c r="N3" s="2344"/>
      <c r="O3" s="1596"/>
      <c r="P3" s="2344"/>
      <c r="Q3" s="2344"/>
      <c r="R3" s="2344"/>
      <c r="S3" s="1691"/>
      <c r="T3" s="1748"/>
      <c r="U3" s="1748"/>
      <c r="V3" s="1748"/>
      <c r="W3" s="1748"/>
      <c r="X3" s="1748"/>
      <c r="Y3" s="1748"/>
      <c r="Z3" s="1748"/>
      <c r="AA3" s="1748"/>
      <c r="AB3" s="1748"/>
    </row>
    <row r="4" spans="1:28" ht="13.5" thickBot="1">
      <c r="A4" s="1135" t="s">
        <v>2668</v>
      </c>
      <c r="B4" s="2349" t="s">
        <v>3715</v>
      </c>
      <c r="C4" s="2350">
        <f ca="1">SUMIF(注册房地产估价师,B4,估价师及机构信息!B3:B24)</f>
        <v>1120050019</v>
      </c>
      <c r="D4" s="2349" t="s">
        <v>3716</v>
      </c>
      <c r="E4" s="2350">
        <f ca="1">SUMIF(注册房地产估价师,D4,估价师及机构信息!B3:B24)</f>
        <v>0</v>
      </c>
      <c r="F4" s="2349"/>
      <c r="G4" s="2350">
        <f>SUMIF(注册房地产估价师,F4,估价师及机构信息!B3:B24)</f>
        <v>0</v>
      </c>
      <c r="H4" s="2349"/>
      <c r="I4" s="2350">
        <f>SUMIF(注册房地产估价师,H4,估价师及机构信息!B3:B24)</f>
        <v>0</v>
      </c>
      <c r="J4" s="2407"/>
      <c r="K4" s="2351" t="str">
        <f ca="1">CONCATENATE(B4,"（注册号：",C4,")、",D4,"（注册号：",E4,")")</f>
        <v>王鹏（注册号：1120050019)、郑燚（注册号：0)</v>
      </c>
      <c r="L4" s="2346"/>
      <c r="M4" s="2346"/>
      <c r="N4" s="2344"/>
      <c r="O4" s="1596"/>
      <c r="P4" s="2344"/>
      <c r="Q4" s="2344"/>
      <c r="R4" s="2344"/>
      <c r="S4" s="1691"/>
      <c r="T4" s="1748"/>
      <c r="U4" s="1748"/>
      <c r="V4" s="1748"/>
      <c r="W4" s="1748"/>
      <c r="X4" s="1748"/>
      <c r="Y4" s="1748"/>
      <c r="Z4" s="1748"/>
      <c r="AA4" s="1748"/>
      <c r="AB4" s="1748"/>
    </row>
    <row r="5" spans="1:28" ht="13.5" thickTop="1">
      <c r="A5" s="2352" t="s">
        <v>2669</v>
      </c>
      <c r="B5" s="2353" t="s">
        <v>3724</v>
      </c>
      <c r="C5" s="2354"/>
      <c r="D5" s="2355"/>
      <c r="E5" s="2605"/>
      <c r="F5" s="2605"/>
      <c r="G5" s="2605"/>
      <c r="H5" s="2605"/>
      <c r="I5" s="2605"/>
      <c r="J5" s="2407"/>
      <c r="K5" s="2351" t="str">
        <f>IF(F4="——","",IF(H4="——",F4&amp;"（注册号："&amp;G4&amp;")",CONCATENATE(F4,"（注册号：",G4,")、",H4,"（注册号：",I4,")")))</f>
        <v>（注册号：0)、（注册号：0)</v>
      </c>
      <c r="L5" s="2346"/>
      <c r="M5" s="2346"/>
      <c r="N5" s="2344"/>
      <c r="O5" s="1596"/>
      <c r="P5" s="2344"/>
      <c r="Q5" s="2344"/>
      <c r="R5" s="2344"/>
      <c r="S5" s="1748"/>
      <c r="T5" s="1748"/>
      <c r="U5" s="1748"/>
      <c r="V5" s="1748"/>
      <c r="W5" s="1748"/>
      <c r="X5" s="1748"/>
      <c r="Y5" s="1748"/>
      <c r="Z5" s="1748"/>
      <c r="AA5" s="1748"/>
      <c r="AB5" s="1748"/>
    </row>
    <row r="6" spans="1:28">
      <c r="A6" s="2356" t="s">
        <v>2670</v>
      </c>
      <c r="B6" s="2357"/>
      <c r="C6" s="2358"/>
      <c r="D6" s="2359"/>
      <c r="E6" s="2604"/>
      <c r="F6" s="2605"/>
      <c r="G6" s="2605"/>
      <c r="H6" s="2605"/>
      <c r="I6" s="2605"/>
      <c r="J6" s="2407"/>
      <c r="K6" s="2563" t="str">
        <f>IF(COUNTIF(B6,"*上海银行*"),"上海银行","")</f>
        <v/>
      </c>
      <c r="L6" s="2561"/>
      <c r="M6" s="2561"/>
      <c r="N6" s="2407"/>
      <c r="O6" s="1800"/>
      <c r="P6" s="2407"/>
      <c r="Q6" s="2407"/>
      <c r="R6" s="2407"/>
    </row>
    <row r="7" spans="1:28">
      <c r="A7" s="2356" t="s">
        <v>2671</v>
      </c>
      <c r="B7" s="2357" t="s">
        <v>3725</v>
      </c>
      <c r="C7" s="2358"/>
      <c r="D7" s="2359"/>
      <c r="E7" s="2604"/>
      <c r="F7" s="2605"/>
      <c r="G7" s="2605"/>
      <c r="H7" s="2605"/>
      <c r="I7" s="2605"/>
      <c r="J7" s="2407"/>
      <c r="K7" s="2564"/>
      <c r="L7" s="2561"/>
      <c r="M7" s="2561"/>
      <c r="N7" s="2407"/>
      <c r="O7" s="1800"/>
      <c r="P7" s="2407"/>
      <c r="Q7" s="2407"/>
      <c r="R7" s="2407"/>
    </row>
    <row r="8" spans="1:28">
      <c r="A8" s="2360" t="s">
        <v>2672</v>
      </c>
      <c r="B8" s="2361" t="s">
        <v>3717</v>
      </c>
      <c r="C8" s="2362"/>
      <c r="D8" s="3176" t="s">
        <v>2673</v>
      </c>
      <c r="E8" s="2363" t="s">
        <v>3718</v>
      </c>
      <c r="F8" s="2364"/>
      <c r="G8" s="2605"/>
      <c r="H8" s="2605"/>
      <c r="I8" s="2605"/>
      <c r="J8" s="2407"/>
      <c r="K8" s="2562"/>
      <c r="L8" s="2561"/>
      <c r="M8" s="2561"/>
      <c r="N8" s="2407"/>
      <c r="O8" s="1800"/>
      <c r="P8" s="2407"/>
      <c r="Q8" s="2407"/>
      <c r="R8" s="2407"/>
    </row>
    <row r="9" spans="1:28" ht="13.5" thickBot="1">
      <c r="A9" s="2365" t="s">
        <v>2674</v>
      </c>
      <c r="B9" s="2366" t="s">
        <v>3718</v>
      </c>
      <c r="C9" s="2367"/>
      <c r="D9" s="3177"/>
      <c r="E9" s="2366"/>
      <c r="F9" s="2368"/>
      <c r="G9" s="2606"/>
      <c r="H9" s="2606"/>
      <c r="I9" s="2606"/>
      <c r="J9" s="2407"/>
      <c r="K9" s="2564"/>
      <c r="L9" s="2561"/>
      <c r="M9" s="2561"/>
      <c r="N9" s="2407"/>
      <c r="O9" s="1800"/>
      <c r="P9" s="2407"/>
      <c r="Q9" s="2407"/>
      <c r="R9" s="2407"/>
    </row>
    <row r="10" spans="1:28" ht="14.25" thickTop="1" thickBot="1">
      <c r="A10" s="2369" t="s">
        <v>2675</v>
      </c>
      <c r="B10" s="2370" t="s">
        <v>3719</v>
      </c>
      <c r="C10" s="2371"/>
      <c r="D10" s="2355"/>
      <c r="E10" s="2372" t="s">
        <v>2676</v>
      </c>
      <c r="F10" s="2958" t="s">
        <v>3726</v>
      </c>
      <c r="G10" s="3109"/>
      <c r="H10" s="3109"/>
      <c r="I10" s="3109"/>
      <c r="J10" s="2959"/>
      <c r="K10" s="2564"/>
      <c r="L10" s="2561"/>
      <c r="M10" s="2561"/>
      <c r="N10" s="2407"/>
      <c r="O10" s="1800"/>
      <c r="P10" s="2407"/>
      <c r="Q10" s="2407"/>
      <c r="R10" s="2407"/>
    </row>
    <row r="11" spans="1:28" ht="14.25" thickTop="1" thickBot="1">
      <c r="A11" s="2373" t="s">
        <v>2677</v>
      </c>
      <c r="B11" s="2374" t="s">
        <v>3720</v>
      </c>
      <c r="C11" s="2958" t="s">
        <v>3714</v>
      </c>
      <c r="D11" s="3109"/>
      <c r="E11" s="3109"/>
      <c r="F11" s="3109"/>
      <c r="G11" s="3110"/>
      <c r="H11" s="2344"/>
      <c r="I11" s="2344"/>
      <c r="J11" s="2407"/>
      <c r="K11" s="2564"/>
      <c r="L11" s="2561"/>
      <c r="M11" s="2561"/>
      <c r="N11" s="2407"/>
      <c r="O11" s="1800"/>
      <c r="P11" s="2407"/>
      <c r="Q11" s="2407"/>
      <c r="R11" s="2407"/>
    </row>
    <row r="12" spans="1:28" ht="13.5" thickTop="1">
      <c r="A12" s="2375" t="s">
        <v>2678</v>
      </c>
      <c r="B12" s="2374" t="s">
        <v>3721</v>
      </c>
      <c r="C12" s="321" t="s">
        <v>2679</v>
      </c>
      <c r="D12" s="2376" t="s">
        <v>2680</v>
      </c>
      <c r="E12" s="2376" t="s">
        <v>2681</v>
      </c>
      <c r="F12" s="2376" t="s">
        <v>2682</v>
      </c>
      <c r="G12" s="2376" t="s">
        <v>2683</v>
      </c>
      <c r="H12" s="2376" t="s">
        <v>2684</v>
      </c>
      <c r="I12" s="2376" t="s">
        <v>2685</v>
      </c>
      <c r="J12" s="2407"/>
      <c r="K12" s="2564"/>
      <c r="L12" s="2561"/>
      <c r="M12" s="2561"/>
      <c r="N12" s="2407"/>
      <c r="O12" s="1800"/>
      <c r="P12" s="2407"/>
      <c r="Q12" s="2407"/>
      <c r="R12" s="2407"/>
    </row>
    <row r="13" spans="1:28">
      <c r="A13" s="1126"/>
      <c r="B13" s="2377"/>
      <c r="C13" s="2378" t="s">
        <v>2686</v>
      </c>
      <c r="D13" s="888"/>
      <c r="E13" s="888"/>
      <c r="F13" s="888">
        <v>58546</v>
      </c>
      <c r="G13" s="888">
        <v>58546</v>
      </c>
      <c r="H13" s="888"/>
      <c r="I13" s="888"/>
      <c r="J13" s="2407"/>
      <c r="K13" s="2564"/>
      <c r="L13" s="2561"/>
      <c r="M13" s="2561"/>
      <c r="N13" s="2407"/>
      <c r="O13" s="1800"/>
      <c r="P13" s="2407"/>
      <c r="Q13" s="2407"/>
      <c r="R13" s="2407"/>
    </row>
    <row r="14" spans="1:28">
      <c r="A14" s="1126"/>
      <c r="B14" s="2377"/>
      <c r="C14" s="2378" t="s">
        <v>2687</v>
      </c>
      <c r="D14" s="2379"/>
      <c r="E14" s="2379"/>
      <c r="F14" s="2379">
        <v>50</v>
      </c>
      <c r="G14" s="2379">
        <v>50</v>
      </c>
      <c r="H14" s="2379"/>
      <c r="I14" s="2379"/>
      <c r="J14" s="2407"/>
      <c r="K14" s="2565"/>
      <c r="L14" s="2561"/>
      <c r="M14" s="2561"/>
      <c r="N14" s="2407"/>
      <c r="O14" s="1800"/>
      <c r="P14" s="2407"/>
      <c r="Q14" s="2407"/>
      <c r="R14" s="2407"/>
    </row>
    <row r="15" spans="1:28">
      <c r="A15" s="318"/>
      <c r="B15" s="2380"/>
      <c r="C15" s="2381" t="s">
        <v>2688</v>
      </c>
      <c r="D15" s="2382" t="str">
        <f>IF(B12="出让",IF(D13="","",ROUNDDOWN(MIN((D13-$D$3)/365,D14),2)),D14)</f>
        <v/>
      </c>
      <c r="E15" s="2382" t="str">
        <f>IF(B12="出让",IF(E13="","",ROUNDDOWN(MIN((E13-$D$3)/365,E14),2)),E14)</f>
        <v/>
      </c>
      <c r="F15" s="2382">
        <f>IF(B12="出让",IF(F13="","",ROUNDDOWN(MIN((F13-$D$3)/365,F14),2)),F14)</f>
        <v>37.409999999999997</v>
      </c>
      <c r="G15" s="2382">
        <f>IF(B12="出让",IF(G13="","",ROUNDDOWN(MIN((G13-$D$3)/365,G14),2)),G14)</f>
        <v>37.409999999999997</v>
      </c>
      <c r="H15" s="2382" t="str">
        <f>IF(B12="出让",IF(H13="","",ROUNDDOWN(MIN((H13-$D$3)/365,H14),2)),H14)</f>
        <v/>
      </c>
      <c r="I15" s="2382" t="str">
        <f>IF(B12="出让",IF(I13="","",ROUNDDOWN(MIN((I13-$D$3)/365,I14),2)),I14)</f>
        <v/>
      </c>
      <c r="J15" s="2407"/>
      <c r="K15" s="2566"/>
      <c r="L15" s="1800"/>
      <c r="M15" s="1800"/>
      <c r="N15" s="2407"/>
      <c r="O15" s="1800"/>
      <c r="P15" s="2407"/>
      <c r="Q15" s="2407"/>
      <c r="R15" s="2407"/>
    </row>
    <row r="16" spans="1:28">
      <c r="A16" s="2372" t="s">
        <v>2689</v>
      </c>
      <c r="B16" s="3183" t="s">
        <v>3744</v>
      </c>
      <c r="C16" s="3184"/>
      <c r="D16" s="3185"/>
      <c r="E16" s="2383" t="s">
        <v>2690</v>
      </c>
      <c r="F16" s="3186"/>
      <c r="G16" s="3187"/>
      <c r="H16" s="3187"/>
      <c r="I16" s="3188"/>
      <c r="J16" s="2407"/>
      <c r="K16" s="2566"/>
      <c r="L16" s="1800"/>
      <c r="M16" s="1800"/>
      <c r="N16" s="2407"/>
      <c r="O16" s="1800"/>
      <c r="P16" s="2407"/>
      <c r="Q16" s="2407"/>
      <c r="R16" s="2407"/>
    </row>
    <row r="17" spans="1:28">
      <c r="A17" s="311" t="s">
        <v>2691</v>
      </c>
      <c r="B17" s="300" t="s">
        <v>2692</v>
      </c>
      <c r="C17" s="11">
        <f>'数据-汇总表'!E3</f>
        <v>176954.78</v>
      </c>
      <c r="D17" s="1385" t="s">
        <v>2693</v>
      </c>
      <c r="E17" s="3189" t="s">
        <v>3723</v>
      </c>
      <c r="F17" s="3190"/>
      <c r="G17" s="3190"/>
      <c r="H17" s="3190"/>
      <c r="I17" s="3191"/>
      <c r="J17" s="2407"/>
      <c r="K17" s="2567"/>
      <c r="L17" s="1800"/>
      <c r="M17" s="1800"/>
      <c r="N17" s="2407"/>
      <c r="O17" s="1800"/>
      <c r="P17" s="2407"/>
      <c r="Q17" s="2407"/>
      <c r="R17" s="2407"/>
      <c r="S17" s="2407"/>
      <c r="T17" s="2407"/>
      <c r="U17" s="2407"/>
      <c r="V17" s="2407"/>
    </row>
    <row r="18" spans="1:28" ht="24.75" thickBot="1">
      <c r="A18" s="2384" t="s">
        <v>2694</v>
      </c>
      <c r="B18" s="1135" t="s">
        <v>2695</v>
      </c>
      <c r="C18" s="2385">
        <f>'数据-汇总表'!D3</f>
        <v>45717.88</v>
      </c>
      <c r="D18" s="1137" t="s">
        <v>2696</v>
      </c>
      <c r="E18" s="3192" t="s">
        <v>3722</v>
      </c>
      <c r="F18" s="3193"/>
      <c r="G18" s="3193"/>
      <c r="H18" s="3193"/>
      <c r="I18" s="3194"/>
      <c r="J18" s="2407"/>
      <c r="K18" s="2567"/>
      <c r="L18" s="1800"/>
      <c r="M18" s="1800"/>
      <c r="N18" s="2407"/>
      <c r="O18" s="1800"/>
      <c r="P18" s="2407"/>
      <c r="Q18" s="2407"/>
      <c r="R18" s="2407"/>
      <c r="S18" s="2407"/>
      <c r="T18" s="2407"/>
      <c r="U18" s="2407"/>
      <c r="V18" s="2407"/>
    </row>
    <row r="19" spans="1:28" ht="37.5" thickTop="1" thickBot="1">
      <c r="A19" s="325" t="s">
        <v>1500</v>
      </c>
      <c r="B19" s="305" t="s">
        <v>2697</v>
      </c>
      <c r="C19" s="1585" t="s">
        <v>3727</v>
      </c>
      <c r="D19" s="1586" t="s">
        <v>2698</v>
      </c>
      <c r="E19" s="1587" t="s">
        <v>3727</v>
      </c>
      <c r="F19" s="1588" t="str">
        <f>IF(AND(C19="是",E19="否"),"是否提供他项权证或相关说明","")</f>
        <v/>
      </c>
      <c r="G19" s="1589"/>
      <c r="H19" s="2605"/>
      <c r="I19" s="2605"/>
      <c r="J19" s="2407"/>
      <c r="K19" s="2564"/>
      <c r="L19" s="2561"/>
      <c r="M19" s="2561"/>
      <c r="N19" s="2407"/>
      <c r="O19" s="1800"/>
      <c r="P19" s="2407"/>
      <c r="Q19" s="2407"/>
      <c r="R19" s="2407"/>
      <c r="S19" s="2407"/>
      <c r="T19" s="2407"/>
      <c r="U19" s="2407"/>
      <c r="V19" s="2407"/>
    </row>
    <row r="20" spans="1:28">
      <c r="A20" s="2580" t="s">
        <v>2699</v>
      </c>
      <c r="B20" s="3179" t="s">
        <v>2700</v>
      </c>
      <c r="C20" s="3180"/>
      <c r="D20" s="3181" t="s">
        <v>2701</v>
      </c>
      <c r="E20" s="3182"/>
      <c r="F20" s="2593" t="s">
        <v>1501</v>
      </c>
      <c r="G20" s="2605"/>
      <c r="H20" s="2605"/>
      <c r="I20" s="2605"/>
      <c r="J20" s="2407"/>
      <c r="K20" s="3178" t="s">
        <v>2702</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46"/>
      <c r="N20" s="2344"/>
      <c r="O20" s="1596"/>
      <c r="P20" s="2344"/>
      <c r="Q20" s="2344"/>
      <c r="R20" s="2344"/>
      <c r="S20" s="2344"/>
      <c r="T20" s="2344"/>
      <c r="U20" s="2344"/>
      <c r="V20" s="2344"/>
      <c r="W20" s="1748"/>
      <c r="X20" s="1748"/>
      <c r="Y20" s="1748"/>
      <c r="Z20" s="1748"/>
      <c r="AA20" s="1748"/>
      <c r="AB20" s="1748"/>
    </row>
    <row r="21" spans="1:28" ht="24.75" thickBot="1">
      <c r="A21" s="2580"/>
      <c r="B21" s="2581" t="s">
        <v>2703</v>
      </c>
      <c r="C21" s="2458" t="s">
        <v>1502</v>
      </c>
      <c r="D21" s="1590" t="s">
        <v>2704</v>
      </c>
      <c r="E21" s="2582" t="s">
        <v>1502</v>
      </c>
      <c r="F21" s="2594"/>
      <c r="G21" s="2605"/>
      <c r="H21" s="2605"/>
      <c r="I21" s="2605"/>
      <c r="J21" s="2407"/>
      <c r="K21" s="3178"/>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346"/>
      <c r="N21" s="2344"/>
      <c r="O21" s="1596"/>
      <c r="P21" s="2344"/>
      <c r="Q21" s="2344"/>
      <c r="R21" s="2344"/>
      <c r="S21" s="2344"/>
      <c r="T21" s="2344"/>
      <c r="U21" s="2344"/>
      <c r="V21" s="2344"/>
      <c r="W21" s="1748"/>
      <c r="X21" s="1748"/>
      <c r="Y21" s="1748"/>
      <c r="Z21" s="1748"/>
      <c r="AA21" s="1748"/>
      <c r="AB21" s="1748"/>
    </row>
    <row r="22" spans="1:28" ht="24.75" thickBot="1">
      <c r="A22" s="2580"/>
      <c r="B22" s="2583" t="s">
        <v>2705</v>
      </c>
      <c r="C22" s="2458" t="s">
        <v>1503</v>
      </c>
      <c r="D22" s="2605"/>
      <c r="E22" s="2605"/>
      <c r="F22" s="2605"/>
      <c r="G22" s="2605"/>
      <c r="H22" s="2605"/>
      <c r="I22" s="2605"/>
      <c r="J22" s="2407"/>
      <c r="K22" s="3178"/>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6"/>
      <c r="N22" s="2344"/>
      <c r="O22" s="1596"/>
      <c r="P22" s="2344"/>
      <c r="Q22" s="2344"/>
      <c r="R22" s="2344"/>
      <c r="S22" s="2344"/>
      <c r="T22" s="2344"/>
      <c r="U22" s="2344"/>
      <c r="V22" s="2344"/>
      <c r="W22" s="1748"/>
      <c r="X22" s="1748"/>
      <c r="Y22" s="1748"/>
      <c r="Z22" s="1748"/>
      <c r="AA22" s="1748"/>
      <c r="AB22" s="1748"/>
    </row>
    <row r="23" spans="1:28">
      <c r="A23" s="2584" t="s">
        <v>2706</v>
      </c>
      <c r="B23" s="2455" t="s">
        <v>2707</v>
      </c>
      <c r="C23" s="2585"/>
      <c r="D23" s="2586" t="s">
        <v>2707</v>
      </c>
      <c r="E23" s="2587"/>
      <c r="F23" s="2605"/>
      <c r="G23" s="2605"/>
      <c r="H23" s="2605"/>
      <c r="I23" s="2605"/>
      <c r="J23" s="2407"/>
      <c r="K23" s="2563"/>
      <c r="L23" s="126"/>
      <c r="M23" s="2561"/>
      <c r="N23" s="2407"/>
      <c r="O23" s="1800"/>
      <c r="P23" s="2407"/>
      <c r="Q23" s="2407"/>
      <c r="R23" s="2407"/>
      <c r="S23" s="2407"/>
      <c r="T23" s="2407"/>
      <c r="U23" s="2407"/>
      <c r="V23" s="2407"/>
    </row>
    <row r="24" spans="1:28">
      <c r="A24" s="2584"/>
      <c r="B24" s="2455" t="s">
        <v>1504</v>
      </c>
      <c r="C24" s="2433"/>
      <c r="D24" s="2584" t="s">
        <v>1504</v>
      </c>
      <c r="E24" s="2588"/>
      <c r="F24" s="2605"/>
      <c r="G24" s="2605"/>
      <c r="H24" s="2605"/>
      <c r="I24" s="2605"/>
      <c r="J24" s="2407"/>
      <c r="K24" s="2563"/>
      <c r="L24" s="126"/>
      <c r="M24" s="2561"/>
      <c r="N24" s="2407"/>
      <c r="O24" s="1800"/>
      <c r="P24" s="2407"/>
      <c r="Q24" s="2407"/>
      <c r="R24" s="2407"/>
      <c r="S24" s="2407"/>
      <c r="T24" s="2407"/>
      <c r="U24" s="2407"/>
      <c r="V24" s="2407"/>
    </row>
    <row r="25" spans="1:28">
      <c r="A25" s="2584"/>
      <c r="B25" s="2455" t="s">
        <v>1505</v>
      </c>
      <c r="C25" s="2433"/>
      <c r="D25" s="2584" t="s">
        <v>1505</v>
      </c>
      <c r="E25" s="2588"/>
      <c r="F25" s="2605"/>
      <c r="G25" s="2605"/>
      <c r="H25" s="2605"/>
      <c r="I25" s="2605"/>
      <c r="J25" s="2407"/>
      <c r="K25" s="2564"/>
      <c r="L25" s="2561"/>
      <c r="M25" s="2561"/>
      <c r="N25" s="2407"/>
      <c r="O25" s="1800"/>
      <c r="P25" s="2407"/>
      <c r="Q25" s="2407"/>
      <c r="R25" s="2407"/>
      <c r="S25" s="2407"/>
      <c r="T25" s="2407"/>
      <c r="U25" s="2407"/>
      <c r="V25" s="2407"/>
    </row>
    <row r="26" spans="1:28" ht="13.5" thickBot="1">
      <c r="A26" s="2589"/>
      <c r="B26" s="2590" t="s">
        <v>1506</v>
      </c>
      <c r="C26" s="2591"/>
      <c r="D26" s="2589" t="s">
        <v>1506</v>
      </c>
      <c r="E26" s="2592"/>
      <c r="F26" s="2606"/>
      <c r="G26" s="2606"/>
      <c r="H26" s="2606"/>
      <c r="I26" s="2606"/>
      <c r="J26" s="2407"/>
      <c r="K26" s="2564"/>
      <c r="L26" s="2561"/>
      <c r="M26" s="2561"/>
      <c r="N26" s="2407"/>
      <c r="O26" s="1800"/>
      <c r="P26" s="2407"/>
      <c r="Q26" s="2407"/>
      <c r="R26" s="2407"/>
      <c r="S26" s="2407"/>
      <c r="T26" s="2407"/>
      <c r="U26" s="2407"/>
      <c r="V26" s="2407"/>
    </row>
    <row r="27" spans="1:28" ht="13.5" thickTop="1">
      <c r="A27" s="3196" t="s">
        <v>2708</v>
      </c>
      <c r="B27" s="318" t="s">
        <v>2709</v>
      </c>
      <c r="C27" s="2386" t="s">
        <v>3728</v>
      </c>
      <c r="D27" s="2387"/>
      <c r="E27" s="2605"/>
      <c r="F27" s="2605"/>
      <c r="G27" s="2605"/>
      <c r="H27" s="2605"/>
      <c r="I27" s="2605"/>
      <c r="J27" s="2407"/>
      <c r="K27" s="2566"/>
      <c r="L27" s="1800"/>
      <c r="M27" s="1800"/>
      <c r="N27" s="2407"/>
      <c r="O27" s="1800"/>
      <c r="P27" s="2407"/>
      <c r="Q27" s="2407"/>
      <c r="R27" s="2407"/>
      <c r="S27" s="2407"/>
      <c r="T27" s="2407"/>
      <c r="U27" s="2407"/>
      <c r="V27" s="2407"/>
    </row>
    <row r="28" spans="1:28">
      <c r="A28" s="3196"/>
      <c r="B28" s="300" t="s">
        <v>2710</v>
      </c>
      <c r="C28" s="2388" t="s">
        <v>3729</v>
      </c>
      <c r="D28" s="2389"/>
      <c r="E28" s="2605"/>
      <c r="F28" s="2605"/>
      <c r="G28" s="2605"/>
      <c r="H28" s="2605"/>
      <c r="I28" s="2605"/>
      <c r="J28" s="2407"/>
      <c r="K28" s="2564"/>
      <c r="L28" s="2561"/>
      <c r="M28" s="2561"/>
      <c r="N28" s="2407"/>
      <c r="O28" s="1800"/>
      <c r="P28" s="2407"/>
      <c r="Q28" s="2407"/>
      <c r="R28" s="2407"/>
      <c r="S28" s="2407"/>
      <c r="T28" s="2407"/>
      <c r="U28" s="2407"/>
      <c r="V28" s="2407"/>
    </row>
    <row r="29" spans="1:28">
      <c r="A29" s="3196"/>
      <c r="B29" s="300" t="s">
        <v>2711</v>
      </c>
      <c r="C29" s="2390" t="s">
        <v>3730</v>
      </c>
      <c r="D29" s="2391"/>
      <c r="E29" s="2605"/>
      <c r="F29" s="2605"/>
      <c r="G29" s="2605"/>
      <c r="H29" s="2605"/>
      <c r="I29" s="2605"/>
      <c r="J29" s="2407"/>
      <c r="K29" s="2564"/>
      <c r="L29" s="2561"/>
      <c r="M29" s="2561"/>
      <c r="N29" s="2407"/>
      <c r="O29" s="1800"/>
      <c r="P29" s="2407"/>
      <c r="Q29" s="2407"/>
      <c r="R29" s="2407"/>
      <c r="S29" s="2407"/>
      <c r="T29" s="2407"/>
      <c r="U29" s="2407"/>
      <c r="V29" s="2407"/>
    </row>
    <row r="30" spans="1:28">
      <c r="A30" s="3197"/>
      <c r="B30" s="300" t="s">
        <v>2712</v>
      </c>
      <c r="C30" s="3198"/>
      <c r="D30" s="3199"/>
      <c r="E30" s="2605"/>
      <c r="F30" s="2605"/>
      <c r="G30" s="2605"/>
      <c r="H30" s="2605"/>
      <c r="I30" s="2605"/>
      <c r="J30" s="2407"/>
      <c r="K30" s="2564"/>
      <c r="L30" s="2561"/>
      <c r="M30" s="2561"/>
      <c r="N30" s="2407"/>
      <c r="O30" s="1800"/>
      <c r="P30" s="2407"/>
      <c r="Q30" s="2407"/>
      <c r="R30" s="2407"/>
      <c r="S30" s="2407"/>
      <c r="T30" s="2407"/>
      <c r="U30" s="2407"/>
      <c r="V30" s="2407"/>
    </row>
    <row r="31" spans="1:28">
      <c r="A31" s="3200" t="s">
        <v>2713</v>
      </c>
      <c r="B31" s="2392" t="s">
        <v>3731</v>
      </c>
      <c r="C31" s="15" t="str">
        <f>IF(B31="现房","成新及维护状况正常否",IF(B31="在建","工程状态是否正常",IF(B31="土地","是否闲置","-")))</f>
        <v>成新及维护状况正常否</v>
      </c>
      <c r="D31" s="1410"/>
      <c r="E31" s="2393"/>
      <c r="F31" s="2605"/>
      <c r="G31" s="2605"/>
      <c r="H31" s="2605"/>
      <c r="I31" s="2605"/>
      <c r="J31" s="2407"/>
      <c r="K31" s="2563"/>
      <c r="L31" s="2561"/>
      <c r="M31" s="2561"/>
      <c r="N31" s="2407"/>
      <c r="O31" s="1800"/>
      <c r="P31" s="2407"/>
      <c r="Q31" s="2407"/>
      <c r="R31" s="2407"/>
      <c r="S31" s="2407"/>
      <c r="T31" s="2407"/>
      <c r="U31" s="2407"/>
      <c r="V31" s="2407"/>
    </row>
    <row r="32" spans="1:28">
      <c r="A32" s="3201"/>
      <c r="B32" s="2392"/>
      <c r="C32" s="15" t="str">
        <f>IF(B32="现房","成新及维护状况是否正常",IF(B32="在建","工程状态是否正常",IF(B32="土地","是否闲置","-")))</f>
        <v>-</v>
      </c>
      <c r="D32" s="1410"/>
      <c r="E32" s="2393"/>
      <c r="F32" s="2605"/>
      <c r="G32" s="2605"/>
      <c r="H32" s="2605"/>
      <c r="I32" s="2605"/>
      <c r="J32" s="2407"/>
      <c r="K32" s="2564"/>
      <c r="L32" s="2561"/>
      <c r="M32" s="2561"/>
      <c r="N32" s="2407"/>
      <c r="O32" s="1800"/>
      <c r="P32" s="2407"/>
      <c r="Q32" s="2407"/>
      <c r="R32" s="2407"/>
      <c r="S32" s="2407"/>
      <c r="T32" s="2407"/>
      <c r="U32" s="2407"/>
      <c r="V32" s="2407"/>
    </row>
    <row r="33" spans="1:30">
      <c r="A33" s="3201"/>
      <c r="B33" s="2395"/>
      <c r="C33" s="1608" t="str">
        <f>IF(B33="现房","成新及维护状况是否正常",IF(B33="在建","工程状态是否正常",IF(B33="土地","是否闲置","-")))</f>
        <v>-</v>
      </c>
      <c r="D33" s="1403"/>
      <c r="E33" s="2396"/>
      <c r="F33" s="2605"/>
      <c r="G33" s="2605"/>
      <c r="H33" s="2605"/>
      <c r="I33" s="2605"/>
      <c r="J33" s="2407"/>
      <c r="K33" s="2564"/>
      <c r="L33" s="2561"/>
      <c r="M33" s="2561"/>
      <c r="N33" s="2407"/>
      <c r="O33" s="1800"/>
      <c r="P33" s="2407"/>
      <c r="Q33" s="2407"/>
      <c r="R33" s="2407"/>
      <c r="S33" s="2407"/>
      <c r="T33" s="2407"/>
      <c r="U33" s="2407"/>
      <c r="V33" s="2407"/>
    </row>
    <row r="34" spans="1:30">
      <c r="A34" s="300" t="s">
        <v>2714</v>
      </c>
      <c r="B34" s="1977" t="s">
        <v>3732</v>
      </c>
      <c r="C34" s="1977" t="s">
        <v>3733</v>
      </c>
      <c r="D34" s="1977" t="s">
        <v>3734</v>
      </c>
      <c r="E34" s="1977" t="s">
        <v>3735</v>
      </c>
      <c r="F34" s="1977" t="s">
        <v>3736</v>
      </c>
      <c r="G34" s="1977" t="s">
        <v>3737</v>
      </c>
      <c r="H34" s="1977" t="s">
        <v>3738</v>
      </c>
      <c r="I34" s="2605"/>
      <c r="J34" s="2407"/>
      <c r="K34" s="11">
        <f>COUNTIF(B34:H34,"——")</f>
        <v>0</v>
      </c>
      <c r="L34" s="321" t="s">
        <v>2715</v>
      </c>
      <c r="M34" s="321" t="s">
        <v>2716</v>
      </c>
      <c r="N34" s="321" t="s">
        <v>2717</v>
      </c>
      <c r="O34" s="321" t="s">
        <v>2718</v>
      </c>
      <c r="P34" s="321" t="s">
        <v>2719</v>
      </c>
      <c r="Q34" s="321" t="s">
        <v>2720</v>
      </c>
      <c r="R34" s="321" t="s">
        <v>2721</v>
      </c>
      <c r="S34" s="3195" t="s">
        <v>2722</v>
      </c>
      <c r="T34" s="2397" t="str">
        <f>NUMBERSTRING(7-K34,1)&amp;"通"</f>
        <v>七通</v>
      </c>
      <c r="U34" s="2407"/>
      <c r="V34" s="2407"/>
    </row>
    <row r="35" spans="1:30">
      <c r="A35" s="2398"/>
      <c r="B35" s="3195" t="s">
        <v>2723</v>
      </c>
      <c r="C35" s="3195"/>
      <c r="D35" s="3195"/>
      <c r="E35" s="3195"/>
      <c r="F35" s="11">
        <f>C10</f>
        <v>0</v>
      </c>
      <c r="G35" s="2605"/>
      <c r="H35" s="2605"/>
      <c r="I35" s="2605"/>
      <c r="J35" s="2407"/>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通路、通电、通讯、通上水、通下水、通热</v>
      </c>
      <c r="R35" s="143" t="str">
        <f>B34&amp;"、"&amp;C34&amp;"、"&amp;D34&amp;"、"&amp;E34&amp;"、"&amp;F34&amp;"、"&amp;G34&amp;"、"&amp;H34</f>
        <v>通路、通电、通讯、通上水、通下水、通热、燃气</v>
      </c>
      <c r="S35" s="3195"/>
      <c r="T35" s="143" t="str">
        <f>IF(T34="一通",L35,IF(T34="二通",M35,IF(T34="三通",N35,IF(T34="四通",O35,IF(T34="五通",P35,IF(T34="六通",Q35,R35))))))</f>
        <v>通路、通电、通讯、通上水、通下水、通热、燃气</v>
      </c>
      <c r="U35" s="2407"/>
      <c r="V35" s="2407"/>
    </row>
    <row r="36" spans="1:30">
      <c r="A36" s="2345"/>
      <c r="B36" s="11" t="s">
        <v>2681</v>
      </c>
      <c r="C36" s="11" t="s">
        <v>2682</v>
      </c>
      <c r="D36" s="11" t="s">
        <v>2680</v>
      </c>
      <c r="E36" s="11" t="s">
        <v>2685</v>
      </c>
      <c r="F36" s="2607"/>
      <c r="G36" s="2605"/>
      <c r="H36" s="2605"/>
      <c r="I36" s="2605"/>
      <c r="J36" s="2407"/>
      <c r="K36" s="2564"/>
      <c r="L36" s="2561"/>
      <c r="M36" s="2561"/>
      <c r="N36" s="2407"/>
      <c r="O36" s="1800"/>
      <c r="P36" s="2407"/>
      <c r="Q36" s="2407"/>
      <c r="R36" s="2407"/>
      <c r="S36" s="2407"/>
      <c r="T36" s="2407"/>
      <c r="U36" s="2407"/>
      <c r="V36" s="2407"/>
    </row>
    <row r="37" spans="1:30">
      <c r="A37" s="2578" t="s">
        <v>2724</v>
      </c>
      <c r="B37" s="2399"/>
      <c r="C37" s="2399" t="s">
        <v>522</v>
      </c>
      <c r="D37" s="2399"/>
      <c r="E37" s="2399"/>
      <c r="F37" s="2607"/>
      <c r="G37" s="2605"/>
      <c r="H37" s="2605"/>
      <c r="I37" s="2605"/>
      <c r="J37" s="2407"/>
      <c r="K37" s="2564"/>
      <c r="L37" s="2561"/>
      <c r="M37" s="2561"/>
      <c r="N37" s="2407"/>
      <c r="O37" s="1800"/>
      <c r="P37" s="2407"/>
      <c r="Q37" s="2407"/>
      <c r="R37" s="2407"/>
      <c r="S37" s="2407"/>
      <c r="T37" s="2407"/>
      <c r="U37" s="2407"/>
      <c r="V37" s="2407"/>
    </row>
    <row r="38" spans="1:30" ht="13.5" thickBot="1">
      <c r="A38" s="2579" t="s">
        <v>2725</v>
      </c>
      <c r="B38" s="2400"/>
      <c r="C38" s="2400" t="s">
        <v>355</v>
      </c>
      <c r="D38" s="2400"/>
      <c r="E38" s="2400"/>
      <c r="F38" s="2608"/>
      <c r="G38" s="2606"/>
      <c r="H38" s="2606"/>
      <c r="I38" s="2606"/>
      <c r="J38" s="2407"/>
      <c r="K38" s="2564"/>
      <c r="L38" s="2561"/>
      <c r="M38" s="2561"/>
      <c r="N38" s="2407"/>
      <c r="O38" s="1800"/>
      <c r="P38" s="2407"/>
      <c r="Q38" s="2407"/>
      <c r="R38" s="2407"/>
      <c r="S38" s="2407"/>
      <c r="T38" s="2407"/>
      <c r="U38" s="2407"/>
      <c r="V38" s="2407"/>
    </row>
    <row r="39" spans="1:30" s="2403" customFormat="1" ht="14.25" thickTop="1" thickBot="1">
      <c r="A39" s="2401" t="s">
        <v>2726</v>
      </c>
      <c r="B39" s="2402"/>
      <c r="C39" s="2402"/>
      <c r="D39" s="2402"/>
      <c r="E39" s="2402"/>
      <c r="F39" s="2402"/>
      <c r="G39" s="2402"/>
      <c r="H39" s="2402"/>
      <c r="I39" s="2402"/>
      <c r="J39" s="2570"/>
      <c r="K39" s="2571"/>
      <c r="L39" s="2570"/>
      <c r="M39" s="2570"/>
      <c r="N39" s="2570"/>
      <c r="O39" s="2572"/>
      <c r="P39" s="2570"/>
      <c r="Q39" s="2570"/>
      <c r="R39" s="2570"/>
      <c r="S39" s="2570"/>
      <c r="T39" s="2570"/>
      <c r="U39" s="2570"/>
      <c r="V39" s="2570"/>
      <c r="W39" s="2573"/>
      <c r="X39" s="2573"/>
      <c r="Y39" s="2573"/>
      <c r="Z39" s="2573"/>
      <c r="AA39" s="2573"/>
      <c r="AB39" s="2573"/>
      <c r="AC39" s="2573"/>
      <c r="AD39" s="2573"/>
    </row>
    <row r="40" spans="1:30">
      <c r="A40" s="2344"/>
      <c r="B40" s="2344"/>
      <c r="C40" s="2344"/>
      <c r="D40" s="2344"/>
      <c r="E40" s="2344"/>
      <c r="F40" s="2344"/>
      <c r="G40" s="2344"/>
      <c r="H40" s="2344"/>
      <c r="I40" s="1596"/>
      <c r="J40" s="2407"/>
      <c r="K40" s="2563"/>
      <c r="L40" s="1800"/>
      <c r="M40" s="1800"/>
      <c r="N40" s="2407"/>
      <c r="O40" s="1800"/>
      <c r="P40" s="2407"/>
      <c r="Q40" s="2407"/>
      <c r="R40" s="2407"/>
      <c r="S40" s="2407"/>
      <c r="T40" s="2407"/>
      <c r="U40" s="2407"/>
      <c r="V40" s="2407"/>
    </row>
    <row r="41" spans="1:30">
      <c r="A41" s="2404" t="s">
        <v>2727</v>
      </c>
      <c r="B41" s="1757"/>
      <c r="C41" s="1410"/>
      <c r="D41" s="2344"/>
      <c r="E41" s="2344"/>
      <c r="F41" s="2344"/>
      <c r="G41" s="2344"/>
      <c r="H41" s="2344"/>
      <c r="I41" s="1596"/>
      <c r="J41" s="2407"/>
      <c r="K41" s="2564"/>
      <c r="L41" s="2561"/>
      <c r="M41" s="2561"/>
      <c r="N41" s="2407"/>
      <c r="O41" s="1800"/>
      <c r="P41" s="2407"/>
      <c r="Q41" s="2407"/>
      <c r="R41" s="2407"/>
      <c r="S41" s="2407"/>
      <c r="T41" s="2407"/>
      <c r="U41" s="2407"/>
      <c r="V41" s="2407"/>
    </row>
    <row r="42" spans="1:30" ht="25.5">
      <c r="A42" s="321" t="s">
        <v>2728</v>
      </c>
      <c r="B42" s="11" t="s">
        <v>2729</v>
      </c>
      <c r="C42" s="11" t="s">
        <v>2730</v>
      </c>
      <c r="D42" s="11" t="s">
        <v>2731</v>
      </c>
      <c r="E42" s="11" t="s">
        <v>2732</v>
      </c>
      <c r="F42" s="11" t="s">
        <v>2733</v>
      </c>
      <c r="G42" s="11" t="s">
        <v>2734</v>
      </c>
      <c r="H42" s="11" t="s">
        <v>2735</v>
      </c>
      <c r="I42" s="11" t="s">
        <v>2736</v>
      </c>
      <c r="J42" s="2574" t="s">
        <v>2737</v>
      </c>
      <c r="K42" s="2575" t="s">
        <v>2738</v>
      </c>
      <c r="L42" s="2575" t="s">
        <v>2739</v>
      </c>
      <c r="M42" s="2575" t="s">
        <v>2740</v>
      </c>
      <c r="N42" s="2568" t="s">
        <v>2741</v>
      </c>
      <c r="O42" s="2568" t="s">
        <v>2742</v>
      </c>
      <c r="P42" s="2568" t="s">
        <v>2743</v>
      </c>
      <c r="Q42" s="2569" t="s">
        <v>2744</v>
      </c>
      <c r="R42" s="2569" t="s">
        <v>2745</v>
      </c>
      <c r="S42" s="2407"/>
      <c r="T42" s="2407"/>
      <c r="U42" s="2407"/>
      <c r="V42" s="2407"/>
    </row>
    <row r="43" spans="1:30" s="1746" customFormat="1">
      <c r="A43" s="1592"/>
      <c r="B43" s="636"/>
      <c r="C43" s="636"/>
      <c r="D43" s="636"/>
      <c r="E43" s="636"/>
      <c r="F43" s="636"/>
      <c r="G43" s="636"/>
      <c r="H43" s="636"/>
      <c r="I43" s="636"/>
      <c r="J43" s="2405"/>
      <c r="K43" s="2406"/>
      <c r="L43" s="2406"/>
      <c r="M43" s="636"/>
      <c r="N43" s="636"/>
      <c r="O43" s="636"/>
      <c r="P43" s="636"/>
      <c r="Q43" s="636"/>
      <c r="R43" s="636"/>
      <c r="S43" s="2407"/>
      <c r="T43" s="2407"/>
      <c r="U43" s="2407"/>
      <c r="V43" s="2407"/>
    </row>
    <row r="44" spans="1:30" s="1746" customFormat="1">
      <c r="A44" s="1592"/>
      <c r="B44" s="1592"/>
      <c r="C44" s="636"/>
      <c r="D44" s="636"/>
      <c r="E44" s="636"/>
      <c r="F44" s="636"/>
      <c r="G44" s="636"/>
      <c r="H44" s="636"/>
      <c r="I44" s="636"/>
      <c r="J44" s="2405"/>
      <c r="K44" s="2406"/>
      <c r="L44" s="2406"/>
      <c r="M44" s="636"/>
      <c r="N44" s="636"/>
      <c r="O44" s="636"/>
      <c r="P44" s="636"/>
      <c r="Q44" s="636"/>
      <c r="R44" s="636"/>
      <c r="S44" s="2407"/>
      <c r="T44" s="2407"/>
      <c r="U44" s="2407"/>
      <c r="V44" s="2407"/>
    </row>
    <row r="45" spans="1:30" s="1746" customFormat="1">
      <c r="A45" s="1592"/>
      <c r="B45" s="1592"/>
      <c r="C45" s="636"/>
      <c r="D45" s="636"/>
      <c r="E45" s="636"/>
      <c r="F45" s="636"/>
      <c r="G45" s="636"/>
      <c r="H45" s="636"/>
      <c r="I45" s="636"/>
      <c r="J45" s="2405"/>
      <c r="K45" s="2406"/>
      <c r="L45" s="2406"/>
      <c r="M45" s="636"/>
      <c r="N45" s="636"/>
      <c r="O45" s="636"/>
      <c r="P45" s="636"/>
      <c r="Q45" s="636"/>
      <c r="R45" s="636"/>
      <c r="S45" s="2407"/>
      <c r="T45" s="2407"/>
      <c r="U45" s="2407"/>
      <c r="V45" s="2407"/>
    </row>
    <row r="46" spans="1:30" s="1746" customFormat="1">
      <c r="A46" s="1592"/>
      <c r="B46" s="1592"/>
      <c r="C46" s="636"/>
      <c r="D46" s="636"/>
      <c r="E46" s="636"/>
      <c r="F46" s="636"/>
      <c r="G46" s="636"/>
      <c r="H46" s="636"/>
      <c r="I46" s="636"/>
      <c r="J46" s="2405"/>
      <c r="K46" s="2406"/>
      <c r="L46" s="2406"/>
      <c r="M46" s="636"/>
      <c r="N46" s="636"/>
      <c r="O46" s="636"/>
      <c r="P46" s="636"/>
      <c r="Q46" s="636"/>
      <c r="R46" s="636"/>
      <c r="S46" s="2407"/>
      <c r="T46" s="2407"/>
      <c r="U46" s="2407"/>
      <c r="V46" s="2407"/>
    </row>
    <row r="47" spans="1:30" s="1746" customFormat="1">
      <c r="A47" s="1592"/>
      <c r="B47" s="1592"/>
      <c r="C47" s="636"/>
      <c r="D47" s="636"/>
      <c r="E47" s="636"/>
      <c r="F47" s="636"/>
      <c r="G47" s="636"/>
      <c r="H47" s="636"/>
      <c r="I47" s="636"/>
      <c r="J47" s="2405"/>
      <c r="K47" s="2406"/>
      <c r="L47" s="2406"/>
      <c r="M47" s="636"/>
      <c r="N47" s="636"/>
      <c r="O47" s="636"/>
      <c r="P47" s="636"/>
      <c r="Q47" s="636"/>
      <c r="R47" s="636"/>
      <c r="S47" s="2407"/>
      <c r="T47" s="2407"/>
      <c r="U47" s="2407"/>
      <c r="V47" s="2407"/>
    </row>
    <row r="48" spans="1:30" s="1746" customFormat="1">
      <c r="A48" s="1592"/>
      <c r="B48" s="1592"/>
      <c r="C48" s="636"/>
      <c r="D48" s="636"/>
      <c r="E48" s="636"/>
      <c r="F48" s="636"/>
      <c r="G48" s="636"/>
      <c r="H48" s="636"/>
      <c r="I48" s="636"/>
      <c r="J48" s="2405"/>
      <c r="K48" s="2406"/>
      <c r="L48" s="2406"/>
      <c r="M48" s="636"/>
      <c r="N48" s="636"/>
      <c r="O48" s="636"/>
      <c r="P48" s="636"/>
      <c r="Q48" s="636"/>
      <c r="R48" s="636"/>
      <c r="S48" s="2407"/>
      <c r="T48" s="2407"/>
      <c r="U48" s="2407"/>
      <c r="V48" s="2407"/>
    </row>
    <row r="49" spans="1:22" s="1746" customFormat="1">
      <c r="A49" s="1592"/>
      <c r="B49" s="1592"/>
      <c r="C49" s="636"/>
      <c r="D49" s="636"/>
      <c r="E49" s="636"/>
      <c r="F49" s="636"/>
      <c r="G49" s="636"/>
      <c r="H49" s="636"/>
      <c r="I49" s="636"/>
      <c r="J49" s="2405"/>
      <c r="K49" s="2406"/>
      <c r="L49" s="2406"/>
      <c r="M49" s="636"/>
      <c r="N49" s="636"/>
      <c r="O49" s="636"/>
      <c r="P49" s="636"/>
      <c r="Q49" s="636"/>
      <c r="R49" s="636"/>
      <c r="S49" s="2407"/>
      <c r="T49" s="2407"/>
      <c r="U49" s="2407"/>
      <c r="V49" s="2407"/>
    </row>
    <row r="50" spans="1:22" s="1746" customFormat="1">
      <c r="A50" s="1592"/>
      <c r="B50" s="1592"/>
      <c r="C50" s="636"/>
      <c r="D50" s="636"/>
      <c r="E50" s="636"/>
      <c r="F50" s="636"/>
      <c r="G50" s="636"/>
      <c r="H50" s="636"/>
      <c r="I50" s="636"/>
      <c r="J50" s="2405"/>
      <c r="K50" s="2406"/>
      <c r="L50" s="2406"/>
      <c r="M50" s="636"/>
      <c r="N50" s="636"/>
      <c r="O50" s="636"/>
      <c r="P50" s="636"/>
      <c r="Q50" s="636"/>
      <c r="R50" s="636"/>
      <c r="S50" s="2407"/>
      <c r="T50" s="2407"/>
      <c r="U50" s="2407"/>
      <c r="V50" s="2407"/>
    </row>
    <row r="51" spans="1:22" s="1746" customFormat="1">
      <c r="A51" s="1592"/>
      <c r="B51" s="1592"/>
      <c r="C51" s="636"/>
      <c r="D51" s="636"/>
      <c r="E51" s="636"/>
      <c r="F51" s="636"/>
      <c r="G51" s="636"/>
      <c r="H51" s="636"/>
      <c r="I51" s="636"/>
      <c r="J51" s="2405"/>
      <c r="K51" s="2406"/>
      <c r="L51" s="2406"/>
      <c r="M51" s="636"/>
      <c r="N51" s="636"/>
      <c r="O51" s="636"/>
      <c r="P51" s="636"/>
      <c r="Q51" s="636"/>
      <c r="R51" s="636"/>
    </row>
    <row r="52" spans="1:22" s="1746" customFormat="1">
      <c r="A52" s="1592"/>
      <c r="B52" s="1592"/>
      <c r="C52" s="1592"/>
      <c r="D52" s="1592"/>
      <c r="E52" s="1592"/>
      <c r="F52" s="636"/>
      <c r="G52" s="1592"/>
      <c r="H52" s="1592"/>
      <c r="I52" s="1592"/>
      <c r="J52" s="2408"/>
      <c r="K52" s="2406"/>
      <c r="L52" s="2406"/>
      <c r="M52" s="2406"/>
      <c r="N52" s="1592"/>
      <c r="O52" s="1592"/>
      <c r="P52" s="1592"/>
      <c r="Q52" s="1592"/>
      <c r="R52" s="1592"/>
    </row>
    <row r="53" spans="1:22" s="1746" customFormat="1">
      <c r="A53" s="1592"/>
      <c r="B53" s="1592"/>
      <c r="C53" s="1592"/>
      <c r="D53" s="1592"/>
      <c r="E53" s="1592"/>
      <c r="F53" s="636"/>
      <c r="G53" s="1592"/>
      <c r="H53" s="1592"/>
      <c r="I53" s="1592"/>
      <c r="J53" s="2408"/>
      <c r="K53" s="2406"/>
      <c r="L53" s="2406"/>
      <c r="M53" s="2406"/>
      <c r="N53" s="1592"/>
      <c r="O53" s="1592"/>
      <c r="P53" s="1592"/>
      <c r="Q53" s="1592"/>
      <c r="R53" s="1592"/>
    </row>
    <row r="54" spans="1:22" s="1746" customFormat="1">
      <c r="A54" s="1592"/>
      <c r="B54" s="1592"/>
      <c r="C54" s="1592"/>
      <c r="D54" s="1592"/>
      <c r="E54" s="1592"/>
      <c r="F54" s="636"/>
      <c r="G54" s="1592"/>
      <c r="H54" s="1592"/>
      <c r="I54" s="1592"/>
      <c r="J54" s="2408"/>
      <c r="K54" s="2406"/>
      <c r="L54" s="2406"/>
      <c r="M54" s="2406"/>
      <c r="N54" s="1592"/>
      <c r="O54" s="1592"/>
      <c r="P54" s="1592"/>
      <c r="Q54" s="1592"/>
      <c r="R54" s="1592"/>
    </row>
    <row r="55" spans="1:22" s="1746" customFormat="1">
      <c r="A55" s="1592"/>
      <c r="B55" s="1592"/>
      <c r="C55" s="1592"/>
      <c r="D55" s="1592"/>
      <c r="E55" s="1592"/>
      <c r="F55" s="636"/>
      <c r="G55" s="1592"/>
      <c r="H55" s="1592"/>
      <c r="I55" s="1592"/>
      <c r="J55" s="2408"/>
      <c r="K55" s="2406"/>
      <c r="L55" s="2406"/>
      <c r="M55" s="2406"/>
      <c r="N55" s="1592"/>
      <c r="O55" s="1592"/>
      <c r="P55" s="1592"/>
      <c r="Q55" s="1592"/>
      <c r="R55" s="1592"/>
    </row>
    <row r="56" spans="1:22" s="1746" customFormat="1">
      <c r="A56" s="1592"/>
      <c r="B56" s="1592"/>
      <c r="C56" s="1592"/>
      <c r="D56" s="1592"/>
      <c r="E56" s="1592"/>
      <c r="F56" s="636"/>
      <c r="G56" s="1592"/>
      <c r="H56" s="1592"/>
      <c r="I56" s="1592"/>
      <c r="J56" s="2408"/>
      <c r="K56" s="2406"/>
      <c r="L56" s="2406"/>
      <c r="M56" s="2406"/>
      <c r="N56" s="1592"/>
      <c r="O56" s="1592"/>
      <c r="P56" s="1592"/>
      <c r="Q56" s="1592"/>
      <c r="R56" s="15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F26" sqref="F26"/>
    </sheetView>
  </sheetViews>
  <sheetFormatPr defaultColWidth="8.875" defaultRowHeight="14.25"/>
  <cols>
    <col min="1" max="1" width="10.625" style="1593" customWidth="1"/>
    <col min="2" max="2" width="11" style="1593" customWidth="1"/>
    <col min="3" max="3" width="10.375" style="1593" customWidth="1"/>
    <col min="4" max="4" width="9.125" style="1593" customWidth="1"/>
    <col min="5" max="8" width="10" style="1593" customWidth="1"/>
    <col min="9" max="9" width="10.625" style="1593" customWidth="1"/>
    <col min="10" max="10" width="9.5" style="1593" customWidth="1"/>
    <col min="11" max="11" width="11" style="1593" customWidth="1"/>
    <col min="12" max="14" width="9.5" style="1593" customWidth="1"/>
    <col min="15" max="15" width="9.875" style="1593" hidden="1" customWidth="1"/>
    <col min="16" max="16" width="9.75" style="1593" hidden="1" customWidth="1"/>
    <col min="17" max="17" width="9.375" style="1593" hidden="1" customWidth="1"/>
    <col min="18" max="18" width="9.25" style="1593" hidden="1" customWidth="1"/>
    <col min="19" max="19" width="10.875" style="1593" hidden="1" customWidth="1"/>
    <col min="20" max="21" width="10.75" style="1593" hidden="1" customWidth="1"/>
    <col min="22" max="22" width="10.875" style="1593" hidden="1" customWidth="1"/>
    <col min="23" max="27" width="10.75" style="1593" hidden="1" customWidth="1"/>
    <col min="28" max="28" width="10.875" style="1593" hidden="1" customWidth="1"/>
    <col min="29" max="29" width="11" style="1593" bestFit="1" customWidth="1"/>
    <col min="30" max="30" width="10" style="1593" bestFit="1" customWidth="1"/>
    <col min="31" max="31" width="9.75" style="1593" customWidth="1"/>
    <col min="32" max="46" width="9.5" style="1593" customWidth="1"/>
    <col min="47" max="47" width="18.125" style="1593" customWidth="1"/>
    <col min="48" max="50" width="9.75" style="1593" customWidth="1"/>
    <col min="51" max="55" width="10.5" style="1593" bestFit="1" customWidth="1"/>
    <col min="56" max="56" width="9.5" style="1593" bestFit="1" customWidth="1"/>
    <col min="57" max="63" width="9.125" style="1593" bestFit="1" customWidth="1"/>
    <col min="64" max="64" width="9.5" style="1593" bestFit="1" customWidth="1"/>
    <col min="65" max="65" width="9.125" style="1593" bestFit="1" customWidth="1"/>
    <col min="66" max="66" width="9.5" style="1593" bestFit="1" customWidth="1"/>
    <col min="67" max="69" width="9.125" style="1593" bestFit="1" customWidth="1"/>
    <col min="70" max="70" width="9.5" style="1593" bestFit="1" customWidth="1"/>
    <col min="71" max="71" width="9" style="1593" customWidth="1"/>
    <col min="72" max="72" width="9.125" style="1593" bestFit="1" customWidth="1"/>
    <col min="73" max="16384" width="8.875" style="1593"/>
  </cols>
  <sheetData>
    <row r="1" spans="1:72" ht="20.25">
      <c r="A1" s="1594" t="s">
        <v>1507</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1508</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4">
      <c r="A2" s="11" t="s">
        <v>1509</v>
      </c>
      <c r="B2" s="11" t="s">
        <v>1510</v>
      </c>
      <c r="C2" s="11" t="s">
        <v>1511</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1512</v>
      </c>
      <c r="AZ2" s="1094" t="s">
        <v>1513</v>
      </c>
      <c r="BA2" s="11" t="s">
        <v>1514</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2.75">
      <c r="A3" s="13">
        <f>49363.59-3645.71</f>
        <v>45717.88</v>
      </c>
      <c r="B3" s="14">
        <f>IF(C3="否",G5-AT5,G5)</f>
        <v>176954.78</v>
      </c>
      <c r="C3" s="1599" t="s">
        <v>1515</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ht="13.5"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2.75">
      <c r="A5" s="15" t="s">
        <v>1516</v>
      </c>
      <c r="B5" s="1388"/>
      <c r="C5" s="1388"/>
      <c r="D5" s="1389"/>
      <c r="E5" s="16" t="s">
        <v>1</v>
      </c>
      <c r="F5" s="16">
        <f>SUM(F13:F587)</f>
        <v>0</v>
      </c>
      <c r="G5" s="16">
        <f>SUM(G13:G587)</f>
        <v>176954.78</v>
      </c>
      <c r="H5" s="16">
        <f t="shared" ref="H5:AT5" si="0">SUM(H13:H656)</f>
        <v>176954.78</v>
      </c>
      <c r="I5" s="16">
        <f t="shared" si="0"/>
        <v>116688.04</v>
      </c>
      <c r="J5" s="16">
        <f t="shared" si="0"/>
        <v>0</v>
      </c>
      <c r="K5" s="16">
        <f t="shared" si="0"/>
        <v>60266.74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1516</v>
      </c>
      <c r="AW5" s="1388"/>
      <c r="AX5" s="1388"/>
      <c r="AY5" s="17" t="s">
        <v>3</v>
      </c>
      <c r="AZ5" s="18">
        <f t="shared" ref="AZ5:BT5" si="1">SUM(AZ13:AZ656)</f>
        <v>176954.78</v>
      </c>
      <c r="BA5" s="18">
        <f t="shared" si="1"/>
        <v>176954.78</v>
      </c>
      <c r="BB5" s="18">
        <f t="shared" si="1"/>
        <v>116688.04</v>
      </c>
      <c r="BC5" s="18">
        <f t="shared" si="1"/>
        <v>60266.74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2.75">
      <c r="A6" s="15" t="s">
        <v>1517</v>
      </c>
      <c r="B6" s="1604"/>
      <c r="C6" s="1604"/>
      <c r="D6" s="1605"/>
      <c r="E6" s="16">
        <f>H6+AC6+AT6</f>
        <v>45717.88</v>
      </c>
      <c r="F6" s="16" t="s">
        <v>1</v>
      </c>
      <c r="G6" s="16" t="s">
        <v>2</v>
      </c>
      <c r="H6" s="20">
        <f>SUMIF(I$12:AB$12,"总值",I6:AB6)</f>
        <v>45717.88</v>
      </c>
      <c r="I6" s="16">
        <f t="shared" ref="I6:AB6" si="2">ROUND($A$3*I5/$B$3,2)</f>
        <v>30147.42</v>
      </c>
      <c r="J6" s="16">
        <f t="shared" si="2"/>
        <v>0</v>
      </c>
      <c r="K6" s="16">
        <f t="shared" si="2"/>
        <v>15570.46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1517</v>
      </c>
      <c r="AW6" s="1604"/>
      <c r="AX6" s="1604"/>
      <c r="AY6" s="21">
        <f>IF(AY3&gt;0,AY3,ROUND($A$3*AZ5/$B$3,2))</f>
        <v>45717.88</v>
      </c>
      <c r="AZ6" s="16" t="s">
        <v>3</v>
      </c>
      <c r="BA6" s="16">
        <f>ROUND($AY$6*BA5/$AZ$5,2)</f>
        <v>45717.88</v>
      </c>
      <c r="BB6" s="16">
        <f>ROUND($AY$6*BB5/$AZ$5,2)</f>
        <v>30147.42</v>
      </c>
      <c r="BC6" s="16">
        <f t="shared" ref="BC6:BH6" si="4">ROUND($AY$6*BC5/$AZ$5,2)</f>
        <v>15570.46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4.75">
      <c r="A7" s="1591" t="s">
        <v>1518</v>
      </c>
      <c r="B7" s="1591" t="s">
        <v>1519</v>
      </c>
      <c r="C7" s="1591" t="s">
        <v>1520</v>
      </c>
      <c r="D7" s="1591" t="s">
        <v>1521</v>
      </c>
      <c r="E7" s="1591" t="s">
        <v>1522</v>
      </c>
      <c r="F7" s="1591" t="s">
        <v>1523</v>
      </c>
      <c r="G7" s="1608" t="s">
        <v>1524</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1525</v>
      </c>
      <c r="AV7" s="23" t="s">
        <v>1526</v>
      </c>
      <c r="AW7" s="1596" t="s">
        <v>1527</v>
      </c>
      <c r="AX7" s="23" t="s">
        <v>1520</v>
      </c>
      <c r="AY7" s="1388" t="s">
        <v>1528</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4">
      <c r="A8" s="1612"/>
      <c r="B8" s="1612"/>
      <c r="C8" s="1612"/>
      <c r="D8" s="1612"/>
      <c r="E8" s="1612"/>
      <c r="F8" s="1612"/>
      <c r="G8" s="1613" t="s">
        <v>1529</v>
      </c>
      <c r="H8" s="1614" t="s">
        <v>1530</v>
      </c>
      <c r="I8" s="1615"/>
      <c r="J8" s="1398"/>
      <c r="K8" s="1398"/>
      <c r="L8" s="1398"/>
      <c r="M8" s="1398"/>
      <c r="N8" s="1398"/>
      <c r="O8" s="1398"/>
      <c r="P8" s="1398"/>
      <c r="Q8" s="1398"/>
      <c r="R8" s="1398"/>
      <c r="S8" s="1398"/>
      <c r="T8" s="1398"/>
      <c r="U8" s="1398"/>
      <c r="V8" s="1616"/>
      <c r="W8" s="1398"/>
      <c r="X8" s="1398"/>
      <c r="Y8" s="1398"/>
      <c r="Z8" s="1398"/>
      <c r="AA8" s="1616"/>
      <c r="AB8" s="1617"/>
      <c r="AC8" s="846" t="s">
        <v>1531</v>
      </c>
      <c r="AD8" s="1618"/>
      <c r="AE8" s="1610"/>
      <c r="AF8" s="1398"/>
      <c r="AG8" s="1398"/>
      <c r="AH8" s="1398"/>
      <c r="AI8" s="1398"/>
      <c r="AJ8" s="1398"/>
      <c r="AK8" s="1398"/>
      <c r="AL8" s="1398"/>
      <c r="AM8" s="1398"/>
      <c r="AN8" s="1398"/>
      <c r="AO8" s="1398"/>
      <c r="AP8" s="1398"/>
      <c r="AQ8" s="1398"/>
      <c r="AR8" s="1398"/>
      <c r="AS8" s="1398"/>
      <c r="AT8" s="1115" t="s">
        <v>1532</v>
      </c>
      <c r="AU8" s="1612" t="s">
        <v>1533</v>
      </c>
      <c r="AV8" s="1115"/>
      <c r="AW8" s="1597"/>
      <c r="AX8" s="1115"/>
      <c r="AY8" s="1596" t="s">
        <v>1534</v>
      </c>
      <c r="AZ8" s="1397" t="s">
        <v>1535</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2.75">
      <c r="A9" s="1612"/>
      <c r="B9" s="1612"/>
      <c r="C9" s="1612"/>
      <c r="D9" s="1612"/>
      <c r="E9" s="1612"/>
      <c r="F9" s="1612"/>
      <c r="G9" s="1115"/>
      <c r="H9" s="1620" t="s">
        <v>1536</v>
      </c>
      <c r="I9" s="1621" t="s">
        <v>3739</v>
      </c>
      <c r="J9" s="846"/>
      <c r="K9" s="1621" t="s">
        <v>3741</v>
      </c>
      <c r="L9" s="846"/>
      <c r="M9" s="1621"/>
      <c r="N9" s="846"/>
      <c r="O9" s="1621"/>
      <c r="P9" s="846"/>
      <c r="Q9" s="1621"/>
      <c r="R9" s="846"/>
      <c r="S9" s="1621"/>
      <c r="T9" s="846"/>
      <c r="U9" s="1621"/>
      <c r="V9" s="846"/>
      <c r="W9" s="1621"/>
      <c r="X9" s="1622"/>
      <c r="Y9" s="1621"/>
      <c r="Z9" s="846"/>
      <c r="AA9" s="1621"/>
      <c r="AB9" s="846"/>
      <c r="AC9" s="1613"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3"/>
      <c r="AT9" s="1612"/>
      <c r="AU9" s="1612" t="s">
        <v>1539</v>
      </c>
      <c r="AV9" s="1115"/>
      <c r="AW9" s="1597"/>
      <c r="AX9" s="1115"/>
      <c r="AY9" s="28"/>
      <c r="AZ9" s="28" t="s">
        <v>1529</v>
      </c>
      <c r="BA9" s="1624" t="s">
        <v>1540</v>
      </c>
      <c r="BB9" s="1625"/>
      <c r="BC9" s="1133"/>
      <c r="BD9" s="1133"/>
      <c r="BE9" s="1133"/>
      <c r="BF9" s="1133"/>
      <c r="BG9" s="1133"/>
      <c r="BH9" s="1133"/>
      <c r="BI9" s="1133"/>
      <c r="BJ9" s="1133"/>
      <c r="BK9" s="1626"/>
      <c r="BL9" s="15" t="s">
        <v>1541</v>
      </c>
      <c r="BM9" s="1398"/>
      <c r="BN9" s="1615"/>
      <c r="BO9" s="1398"/>
      <c r="BP9" s="1398"/>
      <c r="BQ9" s="1398"/>
      <c r="BR9" s="1398"/>
      <c r="BS9" s="1398"/>
      <c r="BT9" s="26"/>
    </row>
    <row r="10" spans="1:72" s="1619" customFormat="1" ht="12.75">
      <c r="A10" s="1612"/>
      <c r="B10" s="1612"/>
      <c r="C10" s="1612"/>
      <c r="D10" s="1612"/>
      <c r="E10" s="1612"/>
      <c r="F10" s="1612"/>
      <c r="G10" s="1115"/>
      <c r="H10" s="28"/>
      <c r="I10" s="1621" t="s">
        <v>27</v>
      </c>
      <c r="J10" s="846"/>
      <c r="K10" s="1627" t="s">
        <v>3742</v>
      </c>
      <c r="L10" s="846"/>
      <c r="M10" s="1627"/>
      <c r="N10" s="846"/>
      <c r="O10" s="1627"/>
      <c r="P10" s="846"/>
      <c r="Q10" s="1627"/>
      <c r="R10" s="846"/>
      <c r="S10" s="1627"/>
      <c r="T10" s="846"/>
      <c r="U10" s="1627"/>
      <c r="V10" s="846"/>
      <c r="W10" s="1627"/>
      <c r="X10" s="846"/>
      <c r="Y10" s="1627"/>
      <c r="Z10" s="846"/>
      <c r="AA10" s="1627"/>
      <c r="AB10" s="846"/>
      <c r="AC10" s="1115"/>
      <c r="AD10" s="15" t="s">
        <v>1542</v>
      </c>
      <c r="AE10" s="1628"/>
      <c r="AF10" s="15" t="s">
        <v>1542</v>
      </c>
      <c r="AG10" s="1628"/>
      <c r="AH10" s="15" t="s">
        <v>1543</v>
      </c>
      <c r="AI10" s="1628"/>
      <c r="AJ10" s="15" t="s">
        <v>1543</v>
      </c>
      <c r="AK10" s="1628"/>
      <c r="AL10" s="15" t="s">
        <v>1544</v>
      </c>
      <c r="AM10" s="1121"/>
      <c r="AN10" s="15" t="s">
        <v>1544</v>
      </c>
      <c r="AO10" s="1121"/>
      <c r="AP10" s="15" t="s">
        <v>1545</v>
      </c>
      <c r="AQ10" s="1121"/>
      <c r="AR10" s="15" t="s">
        <v>1545</v>
      </c>
      <c r="AS10" s="1121"/>
      <c r="AT10" s="1612"/>
      <c r="AU10" s="1612"/>
      <c r="AV10" s="1115"/>
      <c r="AW10" s="1597"/>
      <c r="AX10" s="1115"/>
      <c r="AY10" s="28"/>
      <c r="AZ10" s="28"/>
      <c r="BA10" s="1629" t="s">
        <v>1536</v>
      </c>
      <c r="BB10" s="1630" t="str">
        <f>I9</f>
        <v>地上</v>
      </c>
      <c r="BC10" s="29" t="str">
        <f>K9</f>
        <v>地下</v>
      </c>
      <c r="BD10" s="29">
        <f>M9</f>
        <v>0</v>
      </c>
      <c r="BE10" s="29">
        <f>O9</f>
        <v>0</v>
      </c>
      <c r="BF10" s="29">
        <f>Q9</f>
        <v>0</v>
      </c>
      <c r="BG10" s="29">
        <f>S9</f>
        <v>0</v>
      </c>
      <c r="BH10" s="29">
        <f>U9</f>
        <v>0</v>
      </c>
      <c r="BI10" s="29">
        <f>W9</f>
        <v>0</v>
      </c>
      <c r="BJ10" s="29">
        <f>Y9</f>
        <v>0</v>
      </c>
      <c r="BK10" s="29">
        <f>AA9</f>
        <v>0</v>
      </c>
      <c r="BL10" s="25" t="s">
        <v>1536</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2.75">
      <c r="A11" s="1612"/>
      <c r="B11" s="1612"/>
      <c r="C11" s="1612"/>
      <c r="D11" s="1612"/>
      <c r="E11" s="1612"/>
      <c r="F11" s="1612"/>
      <c r="G11" s="1115"/>
      <c r="H11" s="1629"/>
      <c r="I11" s="1632" t="s">
        <v>3740</v>
      </c>
      <c r="J11" s="1633"/>
      <c r="K11" s="1632" t="s">
        <v>3743</v>
      </c>
      <c r="L11" s="1633"/>
      <c r="M11" s="1632"/>
      <c r="N11" s="1633"/>
      <c r="O11" s="1632"/>
      <c r="P11" s="1633"/>
      <c r="Q11" s="1632"/>
      <c r="R11" s="1633"/>
      <c r="S11" s="1632"/>
      <c r="T11" s="1633"/>
      <c r="U11" s="1632"/>
      <c r="V11" s="1633"/>
      <c r="W11" s="1632"/>
      <c r="X11" s="1633"/>
      <c r="Y11" s="1632"/>
      <c r="Z11" s="1633"/>
      <c r="AA11" s="1632"/>
      <c r="AB11" s="1633"/>
      <c r="AC11" s="1115"/>
      <c r="AD11" s="1634" t="s">
        <v>1546</v>
      </c>
      <c r="AE11" s="1399"/>
      <c r="AF11" s="1634" t="s">
        <v>1546</v>
      </c>
      <c r="AG11" s="1399"/>
      <c r="AH11" s="1634" t="s">
        <v>1547</v>
      </c>
      <c r="AI11" s="1635"/>
      <c r="AJ11" s="1634" t="s">
        <v>1547</v>
      </c>
      <c r="AK11" s="1399"/>
      <c r="AL11" s="1397"/>
      <c r="AM11" s="1399"/>
      <c r="AN11" s="1397"/>
      <c r="AO11" s="1399"/>
      <c r="AP11" s="1397"/>
      <c r="AQ11" s="1399"/>
      <c r="AR11" s="1397"/>
      <c r="AS11" s="1399"/>
      <c r="AT11" s="1597"/>
      <c r="AU11" s="1612"/>
      <c r="AV11" s="1115"/>
      <c r="AW11" s="1597"/>
      <c r="AX11" s="1115"/>
      <c r="AY11" s="28"/>
      <c r="AZ11" s="28"/>
      <c r="BA11" s="28"/>
      <c r="BB11" s="1617" t="str">
        <f>I10</f>
        <v>办公</v>
      </c>
      <c r="BC11" s="1617" t="str">
        <f>K10</f>
        <v>车库—办公</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2.75">
      <c r="A12" s="1637"/>
      <c r="B12" s="1637"/>
      <c r="C12" s="1637"/>
      <c r="D12" s="1637"/>
      <c r="E12" s="1637"/>
      <c r="F12" s="1637"/>
      <c r="G12" s="30"/>
      <c r="H12" s="1638"/>
      <c r="I12" s="1389"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7" t="s">
        <v>1549</v>
      </c>
      <c r="W12" s="11" t="s">
        <v>1548</v>
      </c>
      <c r="X12" s="11" t="s">
        <v>1549</v>
      </c>
      <c r="Y12" s="11" t="s">
        <v>1548</v>
      </c>
      <c r="Z12" s="11" t="s">
        <v>1549</v>
      </c>
      <c r="AA12" s="11" t="s">
        <v>1548</v>
      </c>
      <c r="AB12" s="11" t="s">
        <v>1549</v>
      </c>
      <c r="AC12" s="1639"/>
      <c r="AD12" s="1389"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7" t="s">
        <v>1549</v>
      </c>
      <c r="AT12" s="1640"/>
      <c r="AU12" s="1637"/>
      <c r="AV12" s="31"/>
      <c r="AW12" s="1596"/>
      <c r="AX12" s="31"/>
      <c r="AY12" s="1641"/>
      <c r="AZ12" s="28"/>
      <c r="BA12" s="1629"/>
      <c r="BB12" s="24" t="str">
        <f>I11</f>
        <v>办公楼</v>
      </c>
      <c r="BC12" s="1642" t="str">
        <f>K11</f>
        <v>车库</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2.75">
      <c r="A13" s="636"/>
      <c r="B13" s="636"/>
      <c r="C13" s="636" t="str">
        <f>四区抵押物清单!B2</f>
        <v>1号楼</v>
      </c>
      <c r="D13" s="1643" t="s">
        <v>3727</v>
      </c>
      <c r="E13" s="16">
        <f>IF($C$3="是",ROUND($A$3*G13/$B$3,2),ROUND($A$3*(G13-AT13)/$B$3,2))</f>
        <v>3056.82</v>
      </c>
      <c r="F13" s="32"/>
      <c r="G13" s="33">
        <f>H13+AC13+AT13</f>
        <v>11831.68</v>
      </c>
      <c r="H13" s="20">
        <f>SUMIF(I$12:AB$12,"总值",I13:AB13)</f>
        <v>11831.68</v>
      </c>
      <c r="I13" s="1644">
        <f>四区抵押物清单!K2</f>
        <v>11831.68</v>
      </c>
      <c r="J13" s="1644"/>
      <c r="K13" s="1644"/>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0</v>
      </c>
      <c r="AW13" s="11">
        <f t="shared" si="6"/>
        <v>0</v>
      </c>
      <c r="AX13" s="11" t="str">
        <f t="shared" si="6"/>
        <v>1号楼</v>
      </c>
      <c r="AY13" s="1389">
        <f>ROUND($AY$6*AZ13/$AZ$5,2)</f>
        <v>3056.82</v>
      </c>
      <c r="AZ13" s="16">
        <f>BA13+BL13</f>
        <v>11831.68</v>
      </c>
      <c r="BA13" s="16">
        <f>SUM(BB13:BK13)</f>
        <v>11831.68</v>
      </c>
      <c r="BB13" s="16">
        <f>IF($D13="是",I13-J13,0)</f>
        <v>11831.68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2.75">
      <c r="A14" s="636"/>
      <c r="B14" s="636"/>
      <c r="C14" s="636" t="str">
        <f>四区抵押物清单!B3</f>
        <v>2号楼</v>
      </c>
      <c r="D14" s="1643" t="s">
        <v>3727</v>
      </c>
      <c r="E14" s="16">
        <f>IF($C$3="是",ROUND($A$3*G14/$B$3,2),ROUND($A$3*(G14-AT14)/$B$3,2))</f>
        <v>2574.86</v>
      </c>
      <c r="F14" s="32"/>
      <c r="G14" s="33">
        <f>H14+AC14+AT14</f>
        <v>9966.19</v>
      </c>
      <c r="H14" s="20">
        <f>SUMIF(I$12:AB$12,"总值",I14:AB14)</f>
        <v>9966.19</v>
      </c>
      <c r="I14" s="1644">
        <f>四区抵押物清单!K3</f>
        <v>9966.19</v>
      </c>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t="str">
        <f t="shared" si="6"/>
        <v>2号楼</v>
      </c>
      <c r="AY14" s="1389">
        <f>ROUND($AY$6*AZ14/$AZ$5,2)</f>
        <v>2574.86</v>
      </c>
      <c r="AZ14" s="16">
        <f>BA14+BL14</f>
        <v>9966.19</v>
      </c>
      <c r="BA14" s="16">
        <f>SUM(BB14:BK14)</f>
        <v>9966.19</v>
      </c>
      <c r="BB14" s="16">
        <f>IF($D14="是",I14-J14,0)</f>
        <v>9966.19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2.75">
      <c r="A15" s="636"/>
      <c r="B15" s="636"/>
      <c r="C15" s="636" t="str">
        <f>四区抵押物清单!B4</f>
        <v>3号楼</v>
      </c>
      <c r="D15" s="1643" t="s">
        <v>3727</v>
      </c>
      <c r="E15" s="16">
        <f>IF($C$3="是",ROUND($A$3*G15/$B$3,2),ROUND($A$3*(G15-AT15)/$B$3,2))</f>
        <v>2574.86</v>
      </c>
      <c r="F15" s="32"/>
      <c r="G15" s="33">
        <f>H15+AC15+AT15</f>
        <v>9966.19</v>
      </c>
      <c r="H15" s="20">
        <f>SUMIF(I$12:AB$12,"总值",I15:AB15)</f>
        <v>9966.19</v>
      </c>
      <c r="I15" s="1644">
        <f>四区抵押物清单!K4</f>
        <v>9966.19</v>
      </c>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t="str">
        <f t="shared" si="6"/>
        <v>3号楼</v>
      </c>
      <c r="AY15" s="1389">
        <f>ROUND($AY$6*AZ15/$AZ$5,2)</f>
        <v>2574.86</v>
      </c>
      <c r="AZ15" s="16">
        <f>BA15+BL15</f>
        <v>9966.19</v>
      </c>
      <c r="BA15" s="16">
        <f>SUM(BB15:BK15)</f>
        <v>9966.19</v>
      </c>
      <c r="BB15" s="16">
        <f>IF($D15="是",I15-J15,0)</f>
        <v>9966.19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2.75">
      <c r="A16" s="636"/>
      <c r="B16" s="636"/>
      <c r="C16" s="636" t="str">
        <f>四区抵押物清单!B5</f>
        <v>4号楼</v>
      </c>
      <c r="D16" s="1643" t="s">
        <v>3727</v>
      </c>
      <c r="E16" s="16">
        <f>IF($C$3="是",ROUND($A$3*G16/$B$3,2),ROUND($A$3*(G16-AT16)/$B$3,2))</f>
        <v>2574.86</v>
      </c>
      <c r="F16" s="32"/>
      <c r="G16" s="33">
        <f>H16+AC16+AT16</f>
        <v>9966.19</v>
      </c>
      <c r="H16" s="20">
        <f>SUMIF(I$12:AB$12,"总值",I16:AB16)</f>
        <v>9966.19</v>
      </c>
      <c r="I16" s="1644">
        <f>四区抵押物清单!K5</f>
        <v>9966.19</v>
      </c>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t="str">
        <f t="shared" si="6"/>
        <v>4号楼</v>
      </c>
      <c r="AY16" s="1389">
        <f>ROUND($AY$6*AZ16/$AZ$5,2)</f>
        <v>2574.86</v>
      </c>
      <c r="AZ16" s="16">
        <f>BA16+BL16</f>
        <v>9966.19</v>
      </c>
      <c r="BA16" s="16">
        <f>SUM(BB16:BK16)</f>
        <v>9966.19</v>
      </c>
      <c r="BB16" s="16">
        <f>IF($D16="是",I16-J16,0)</f>
        <v>9966.19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2.75">
      <c r="A17" s="636"/>
      <c r="B17" s="636"/>
      <c r="C17" s="636" t="str">
        <f>四区抵押物清单!B6</f>
        <v>5号楼</v>
      </c>
      <c r="D17" s="1643" t="s">
        <v>3727</v>
      </c>
      <c r="E17" s="16">
        <f>IF($C$3="是",ROUND($A$3*G17/$B$3,2),ROUND($A$3*(G17-AT17)/$B$3,2))</f>
        <v>3053.02</v>
      </c>
      <c r="F17" s="32"/>
      <c r="G17" s="33">
        <f>H17+AC17+AT17</f>
        <v>11816.96</v>
      </c>
      <c r="H17" s="20">
        <f>SUMIF(I$12:AB$12,"总值",I17:AB17)</f>
        <v>11816.96</v>
      </c>
      <c r="I17" s="1644">
        <f>四区抵押物清单!K6</f>
        <v>11816.96</v>
      </c>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t="str">
        <f t="shared" si="6"/>
        <v>5号楼</v>
      </c>
      <c r="AY17" s="1389">
        <f>ROUND($AY$6*AZ17/$AZ$5,2)</f>
        <v>3053.02</v>
      </c>
      <c r="AZ17" s="16">
        <f>BA17+BL17</f>
        <v>11816.96</v>
      </c>
      <c r="BA17" s="16">
        <f>SUM(BB17:BK17)</f>
        <v>11816.96</v>
      </c>
      <c r="BB17" s="16">
        <f>IF($D17="是",I17-J17,0)</f>
        <v>11816.96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636" t="str">
        <f>四区抵押物清单!B7</f>
        <v>6号楼</v>
      </c>
      <c r="D18" s="1646" t="s">
        <v>3727</v>
      </c>
      <c r="E18" s="35">
        <f t="shared" ref="E18:E112" si="7">IF($C$3="是",ROUND($A$3*G18/$B$3,2),ROUND($A$3*(G18-AT18)/$B$3,2))</f>
        <v>3056.82</v>
      </c>
      <c r="F18" s="36"/>
      <c r="G18" s="37">
        <f t="shared" ref="G18:G109" si="8">H18+AC18+AT18</f>
        <v>11831.67</v>
      </c>
      <c r="H18" s="38">
        <f t="shared" ref="H18:H109" si="9">SUMIF(I$12:AB$12,"总值",I18:AB18)</f>
        <v>11831.67</v>
      </c>
      <c r="I18" s="1644">
        <f>四区抵押物清单!K7</f>
        <v>11831.67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t="str">
        <f t="shared" ref="AX18:AX112" si="13">C18</f>
        <v>6号楼</v>
      </c>
      <c r="AY18" s="41">
        <f t="shared" ref="AY18:AY109" si="14">ROUND($AY$6*AZ18/$AZ$5,2)</f>
        <v>3056.82</v>
      </c>
      <c r="AZ18" s="35">
        <f t="shared" ref="AZ18:AZ109" si="15">BA18+BL18</f>
        <v>11831.67</v>
      </c>
      <c r="BA18" s="35">
        <f t="shared" ref="BA18:BA109" si="16">SUM(BB18:BK18)</f>
        <v>11831.67</v>
      </c>
      <c r="BB18" s="35">
        <f t="shared" ref="BB18:BB109" si="17">IF($D18="是",I18-J18,0)</f>
        <v>11831.67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636" t="str">
        <f>四区抵押物清单!B8</f>
        <v>7号楼</v>
      </c>
      <c r="D19" s="1646" t="s">
        <v>3727</v>
      </c>
      <c r="E19" s="35">
        <f t="shared" si="7"/>
        <v>2540.25</v>
      </c>
      <c r="F19" s="36"/>
      <c r="G19" s="37">
        <f t="shared" si="8"/>
        <v>9832.23</v>
      </c>
      <c r="H19" s="38">
        <f t="shared" si="9"/>
        <v>9832.23</v>
      </c>
      <c r="I19" s="1644">
        <f>四区抵押物清单!K8</f>
        <v>9832.23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t="str">
        <f t="shared" si="13"/>
        <v>7号楼</v>
      </c>
      <c r="AY19" s="41">
        <f t="shared" si="14"/>
        <v>2540.25</v>
      </c>
      <c r="AZ19" s="35">
        <f t="shared" si="15"/>
        <v>9832.23</v>
      </c>
      <c r="BA19" s="35">
        <f t="shared" si="16"/>
        <v>9832.23</v>
      </c>
      <c r="BB19" s="35">
        <f t="shared" si="17"/>
        <v>9832.23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636" t="str">
        <f>四区抵押物清单!B9</f>
        <v>8号楼</v>
      </c>
      <c r="D20" s="1646" t="s">
        <v>3727</v>
      </c>
      <c r="E20" s="35">
        <f t="shared" si="7"/>
        <v>2540.25</v>
      </c>
      <c r="F20" s="36"/>
      <c r="G20" s="37">
        <f t="shared" si="8"/>
        <v>9832.25</v>
      </c>
      <c r="H20" s="38">
        <f t="shared" si="9"/>
        <v>9832.25</v>
      </c>
      <c r="I20" s="1644">
        <f>四区抵押物清单!K9</f>
        <v>9832.25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t="str">
        <f t="shared" si="13"/>
        <v>8号楼</v>
      </c>
      <c r="AY20" s="41">
        <f t="shared" si="14"/>
        <v>2540.25</v>
      </c>
      <c r="AZ20" s="35">
        <f t="shared" si="15"/>
        <v>9832.25</v>
      </c>
      <c r="BA20" s="35">
        <f t="shared" si="16"/>
        <v>9832.25</v>
      </c>
      <c r="BB20" s="35">
        <f t="shared" si="17"/>
        <v>9832.25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636" t="str">
        <f>四区抵押物清单!B10</f>
        <v>9号楼</v>
      </c>
      <c r="D21" s="1646" t="s">
        <v>3727</v>
      </c>
      <c r="E21" s="35">
        <f t="shared" si="7"/>
        <v>2043.92</v>
      </c>
      <c r="F21" s="36"/>
      <c r="G21" s="37">
        <f t="shared" si="8"/>
        <v>7911.17</v>
      </c>
      <c r="H21" s="38">
        <f t="shared" si="9"/>
        <v>7911.17</v>
      </c>
      <c r="I21" s="1644">
        <f>四区抵押物清单!K10</f>
        <v>7911.17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t="str">
        <f t="shared" si="13"/>
        <v>9号楼</v>
      </c>
      <c r="AY21" s="41">
        <f t="shared" si="14"/>
        <v>2043.92</v>
      </c>
      <c r="AZ21" s="35">
        <f t="shared" si="15"/>
        <v>7911.17</v>
      </c>
      <c r="BA21" s="35">
        <f t="shared" si="16"/>
        <v>7911.17</v>
      </c>
      <c r="BB21" s="35">
        <f t="shared" si="17"/>
        <v>7911.17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636" t="str">
        <f>四区抵押物清单!B11</f>
        <v>10号楼</v>
      </c>
      <c r="D22" s="1646" t="s">
        <v>3727</v>
      </c>
      <c r="E22" s="35">
        <f t="shared" si="7"/>
        <v>2043.92</v>
      </c>
      <c r="F22" s="36"/>
      <c r="G22" s="37">
        <f t="shared" si="8"/>
        <v>7911.17</v>
      </c>
      <c r="H22" s="38">
        <f t="shared" si="9"/>
        <v>7911.17</v>
      </c>
      <c r="I22" s="1644">
        <f>四区抵押物清单!K11</f>
        <v>7911.17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t="str">
        <f t="shared" si="13"/>
        <v>10号楼</v>
      </c>
      <c r="AY22" s="41">
        <f t="shared" si="14"/>
        <v>2043.92</v>
      </c>
      <c r="AZ22" s="35">
        <f t="shared" si="15"/>
        <v>7911.17</v>
      </c>
      <c r="BA22" s="35">
        <f t="shared" si="16"/>
        <v>7911.17</v>
      </c>
      <c r="BB22" s="35">
        <f t="shared" si="17"/>
        <v>7911.17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636" t="str">
        <f>四区抵押物清单!B12</f>
        <v>11号楼</v>
      </c>
      <c r="D23" s="1646" t="s">
        <v>3727</v>
      </c>
      <c r="E23" s="35">
        <f t="shared" si="7"/>
        <v>2043.92</v>
      </c>
      <c r="F23" s="36"/>
      <c r="G23" s="37">
        <f t="shared" si="8"/>
        <v>7911.17</v>
      </c>
      <c r="H23" s="38">
        <f t="shared" si="9"/>
        <v>7911.17</v>
      </c>
      <c r="I23" s="1644">
        <f>四区抵押物清单!K12</f>
        <v>7911.17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t="str">
        <f t="shared" si="13"/>
        <v>11号楼</v>
      </c>
      <c r="AY23" s="41">
        <f t="shared" si="14"/>
        <v>2043.92</v>
      </c>
      <c r="AZ23" s="35">
        <f t="shared" si="15"/>
        <v>7911.17</v>
      </c>
      <c r="BA23" s="35">
        <f t="shared" si="16"/>
        <v>7911.17</v>
      </c>
      <c r="BB23" s="35">
        <f t="shared" si="17"/>
        <v>7911.17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636" t="str">
        <f>四区抵押物清单!B13</f>
        <v>12号楼</v>
      </c>
      <c r="D24" s="1646" t="s">
        <v>3727</v>
      </c>
      <c r="E24" s="35">
        <f t="shared" si="7"/>
        <v>2043.92</v>
      </c>
      <c r="F24" s="36"/>
      <c r="G24" s="37">
        <f t="shared" si="8"/>
        <v>7911.17</v>
      </c>
      <c r="H24" s="38">
        <f t="shared" si="9"/>
        <v>7911.17</v>
      </c>
      <c r="I24" s="1644">
        <f>四区抵押物清单!K13</f>
        <v>7911.17</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t="str">
        <f t="shared" si="13"/>
        <v>12号楼</v>
      </c>
      <c r="AY24" s="41">
        <f t="shared" si="14"/>
        <v>2043.92</v>
      </c>
      <c r="AZ24" s="35">
        <f t="shared" si="15"/>
        <v>7911.17</v>
      </c>
      <c r="BA24" s="35">
        <f t="shared" si="16"/>
        <v>7911.17</v>
      </c>
      <c r="BB24" s="35">
        <f t="shared" si="17"/>
        <v>7911.17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636" t="str">
        <f>四区抵押物清单!B14</f>
        <v>13幢</v>
      </c>
      <c r="D25" s="1646" t="s">
        <v>3727</v>
      </c>
      <c r="E25" s="35">
        <f t="shared" si="7"/>
        <v>15570.46</v>
      </c>
      <c r="F25" s="36"/>
      <c r="G25" s="37">
        <f t="shared" si="8"/>
        <v>60266.74</v>
      </c>
      <c r="H25" s="38">
        <f t="shared" si="9"/>
        <v>60266.74</v>
      </c>
      <c r="I25" s="39"/>
      <c r="J25" s="39"/>
      <c r="K25" s="39">
        <f>四区抵押物清单!K14</f>
        <v>60266.74</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t="str">
        <f t="shared" si="13"/>
        <v>13幢</v>
      </c>
      <c r="AY25" s="41">
        <f t="shared" si="14"/>
        <v>15570.46</v>
      </c>
      <c r="AZ25" s="35">
        <f t="shared" si="15"/>
        <v>60266.74</v>
      </c>
      <c r="BA25" s="35">
        <f t="shared" si="16"/>
        <v>60266.74</v>
      </c>
      <c r="BB25" s="35">
        <f t="shared" si="17"/>
        <v>0</v>
      </c>
      <c r="BC25" s="35">
        <f t="shared" si="18"/>
        <v>60266.74</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2" t="s">
        <v>0</v>
      </c>
      <c r="B1" s="3202" t="s">
        <v>4</v>
      </c>
      <c r="C1" s="3202" t="s">
        <v>5</v>
      </c>
      <c r="D1" s="3203" t="s">
        <v>53</v>
      </c>
      <c r="E1" s="3203" t="s">
        <v>54</v>
      </c>
      <c r="F1" s="3203"/>
      <c r="G1" s="3203"/>
      <c r="H1" s="3203"/>
      <c r="I1" s="3203"/>
      <c r="J1" s="3203"/>
      <c r="K1" s="3203"/>
      <c r="L1" s="3203"/>
      <c r="M1" s="3203"/>
    </row>
    <row r="2" spans="1:13" ht="27" customHeight="1">
      <c r="A2" s="3202"/>
      <c r="B2" s="3202"/>
      <c r="C2" s="3202"/>
      <c r="D2" s="3203"/>
      <c r="E2" s="3203" t="s">
        <v>37</v>
      </c>
      <c r="F2" s="3203" t="s">
        <v>38</v>
      </c>
      <c r="G2" s="3203"/>
      <c r="H2" s="3203"/>
      <c r="I2" s="3203"/>
      <c r="J2" s="3203" t="s">
        <v>39</v>
      </c>
      <c r="K2" s="3203"/>
      <c r="L2" s="3203"/>
      <c r="M2" s="3203"/>
    </row>
    <row r="3" spans="1:13" ht="28.5">
      <c r="A3" s="3202"/>
      <c r="B3" s="3202"/>
      <c r="C3" s="3202"/>
      <c r="D3" s="3203"/>
      <c r="E3" s="32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3" t="s">
        <v>55</v>
      </c>
      <c r="B9" s="3203"/>
      <c r="C9" s="32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pane ySplit="1" topLeftCell="A8" activePane="bottomLeft" state="frozen"/>
      <selection pane="bottomLeft" activeCell="D6" sqref="D6"/>
    </sheetView>
  </sheetViews>
  <sheetFormatPr defaultColWidth="9" defaultRowHeight="12"/>
  <cols>
    <col min="1" max="1" width="5.125" style="2969" customWidth="1"/>
    <col min="2" max="2" width="7.5" style="2969" customWidth="1"/>
    <col min="3" max="3" width="35.375" style="2965" customWidth="1"/>
    <col min="4" max="4" width="22.75" style="2969" customWidth="1"/>
    <col min="5" max="5" width="17.125" style="2969" customWidth="1"/>
    <col min="6" max="7" width="8.75" style="2969" customWidth="1"/>
    <col min="8" max="8" width="10.625" style="2969" customWidth="1"/>
    <col min="9" max="9" width="8.75" style="2969" customWidth="1"/>
    <col min="10" max="10" width="12" style="2969" customWidth="1"/>
    <col min="11" max="11" width="9.75" style="2965" customWidth="1"/>
    <col min="12" max="16384" width="9" style="2965"/>
  </cols>
  <sheetData>
    <row r="1" spans="1:13" s="2961" customFormat="1" ht="29.25" customHeight="1">
      <c r="A1" s="2960" t="s">
        <v>3168</v>
      </c>
      <c r="B1" s="2960" t="s">
        <v>3169</v>
      </c>
      <c r="C1" s="2960" t="s">
        <v>3170</v>
      </c>
      <c r="D1" s="2960" t="s">
        <v>3171</v>
      </c>
      <c r="E1" s="2960" t="s">
        <v>1100</v>
      </c>
      <c r="F1" s="2960" t="s">
        <v>3172</v>
      </c>
      <c r="G1" s="2960" t="s">
        <v>3173</v>
      </c>
      <c r="H1" s="2960" t="s">
        <v>3174</v>
      </c>
      <c r="I1" s="2960" t="s">
        <v>3175</v>
      </c>
      <c r="J1" s="2960" t="s">
        <v>3176</v>
      </c>
      <c r="K1" s="2960" t="s">
        <v>3177</v>
      </c>
    </row>
    <row r="2" spans="1:13" ht="20.100000000000001" customHeight="1">
      <c r="A2" s="2962">
        <v>1</v>
      </c>
      <c r="B2" s="2962" t="s">
        <v>3178</v>
      </c>
      <c r="C2" s="2963" t="s">
        <v>3746</v>
      </c>
      <c r="D2" s="2962" t="s">
        <v>3179</v>
      </c>
      <c r="E2" s="2962" t="s">
        <v>3180</v>
      </c>
      <c r="F2" s="2962">
        <v>11696.62</v>
      </c>
      <c r="G2" s="2962">
        <v>135.06</v>
      </c>
      <c r="H2" s="2962">
        <f t="shared" ref="H2:H13" si="0">F2+G2</f>
        <v>11831.68</v>
      </c>
      <c r="I2" s="2962">
        <v>0</v>
      </c>
      <c r="J2" s="2962">
        <f t="shared" ref="J2:J13" si="1">H2+I2</f>
        <v>11831.68</v>
      </c>
      <c r="K2" s="2964">
        <v>11831.68</v>
      </c>
      <c r="M2" s="2965">
        <f>K2-J2</f>
        <v>0</v>
      </c>
    </row>
    <row r="3" spans="1:13" ht="20.100000000000001" customHeight="1">
      <c r="A3" s="2962">
        <v>2</v>
      </c>
      <c r="B3" s="2962" t="s">
        <v>3181</v>
      </c>
      <c r="C3" s="2963" t="s">
        <v>3747</v>
      </c>
      <c r="D3" s="2962" t="s">
        <v>3182</v>
      </c>
      <c r="E3" s="2962" t="s">
        <v>3180</v>
      </c>
      <c r="F3" s="2962">
        <v>9831.15</v>
      </c>
      <c r="G3" s="2962">
        <v>135.04</v>
      </c>
      <c r="H3" s="2962">
        <f t="shared" si="0"/>
        <v>9966.19</v>
      </c>
      <c r="I3" s="2962">
        <v>0</v>
      </c>
      <c r="J3" s="2962">
        <f t="shared" si="1"/>
        <v>9966.19</v>
      </c>
      <c r="K3" s="2964">
        <v>9966.19</v>
      </c>
      <c r="M3" s="2965">
        <f t="shared" ref="M3:M15" si="2">K3-J3</f>
        <v>0</v>
      </c>
    </row>
    <row r="4" spans="1:13" ht="20.100000000000001" customHeight="1">
      <c r="A4" s="2962">
        <v>3</v>
      </c>
      <c r="B4" s="2962" t="s">
        <v>3183</v>
      </c>
      <c r="C4" s="2963" t="s">
        <v>3745</v>
      </c>
      <c r="D4" s="2962" t="s">
        <v>3184</v>
      </c>
      <c r="E4" s="2962" t="s">
        <v>3180</v>
      </c>
      <c r="F4" s="2962">
        <v>9831.15</v>
      </c>
      <c r="G4" s="2962">
        <v>135.04</v>
      </c>
      <c r="H4" s="2962">
        <f t="shared" si="0"/>
        <v>9966.19</v>
      </c>
      <c r="I4" s="2962">
        <v>0</v>
      </c>
      <c r="J4" s="2962">
        <f t="shared" si="1"/>
        <v>9966.19</v>
      </c>
      <c r="K4" s="2964">
        <v>9966.19</v>
      </c>
      <c r="M4" s="2965">
        <f t="shared" si="2"/>
        <v>0</v>
      </c>
    </row>
    <row r="5" spans="1:13" ht="20.100000000000001" customHeight="1">
      <c r="A5" s="2962">
        <v>4</v>
      </c>
      <c r="B5" s="2962" t="s">
        <v>3185</v>
      </c>
      <c r="C5" s="2963" t="s">
        <v>3186</v>
      </c>
      <c r="D5" s="2962" t="s">
        <v>3187</v>
      </c>
      <c r="E5" s="2962" t="s">
        <v>3180</v>
      </c>
      <c r="F5" s="2962">
        <v>9831.15</v>
      </c>
      <c r="G5" s="2962">
        <v>135.04</v>
      </c>
      <c r="H5" s="2962">
        <f t="shared" si="0"/>
        <v>9966.19</v>
      </c>
      <c r="I5" s="2962">
        <v>0</v>
      </c>
      <c r="J5" s="2962">
        <f t="shared" si="1"/>
        <v>9966.19</v>
      </c>
      <c r="K5" s="2964">
        <v>9966.19</v>
      </c>
      <c r="M5" s="2965">
        <f t="shared" si="2"/>
        <v>0</v>
      </c>
    </row>
    <row r="6" spans="1:13" ht="20.100000000000001" customHeight="1">
      <c r="A6" s="2962">
        <v>5</v>
      </c>
      <c r="B6" s="2962" t="s">
        <v>3188</v>
      </c>
      <c r="C6" s="2963" t="s">
        <v>3189</v>
      </c>
      <c r="D6" s="2962" t="s">
        <v>3190</v>
      </c>
      <c r="E6" s="2962" t="s">
        <v>3180</v>
      </c>
      <c r="F6" s="2962">
        <v>11696.62</v>
      </c>
      <c r="G6" s="2962">
        <v>120.34</v>
      </c>
      <c r="H6" s="2962">
        <f t="shared" si="0"/>
        <v>11816.960000000001</v>
      </c>
      <c r="I6" s="2962">
        <v>0</v>
      </c>
      <c r="J6" s="2962">
        <f t="shared" si="1"/>
        <v>11816.960000000001</v>
      </c>
      <c r="K6" s="2964">
        <v>11816.96</v>
      </c>
      <c r="M6" s="2965">
        <f t="shared" si="2"/>
        <v>0</v>
      </c>
    </row>
    <row r="7" spans="1:13" ht="20.100000000000001" customHeight="1">
      <c r="A7" s="2962">
        <v>6</v>
      </c>
      <c r="B7" s="2962" t="s">
        <v>3191</v>
      </c>
      <c r="C7" s="2963" t="s">
        <v>3192</v>
      </c>
      <c r="D7" s="2962" t="s">
        <v>3193</v>
      </c>
      <c r="E7" s="2962" t="s">
        <v>3180</v>
      </c>
      <c r="F7" s="2962">
        <v>11696.61</v>
      </c>
      <c r="G7" s="2962">
        <v>135.06</v>
      </c>
      <c r="H7" s="2962">
        <f t="shared" si="0"/>
        <v>11831.67</v>
      </c>
      <c r="I7" s="2962">
        <v>0</v>
      </c>
      <c r="J7" s="2962">
        <f t="shared" si="1"/>
        <v>11831.67</v>
      </c>
      <c r="K7" s="2964">
        <v>11831.67</v>
      </c>
      <c r="M7" s="2965">
        <f t="shared" si="2"/>
        <v>0</v>
      </c>
    </row>
    <row r="8" spans="1:13" ht="20.100000000000001" customHeight="1">
      <c r="A8" s="2962">
        <v>7</v>
      </c>
      <c r="B8" s="2962" t="s">
        <v>3194</v>
      </c>
      <c r="C8" s="2963" t="s">
        <v>3195</v>
      </c>
      <c r="D8" s="2962" t="s">
        <v>3196</v>
      </c>
      <c r="E8" s="2962" t="s">
        <v>3180</v>
      </c>
      <c r="F8" s="2962">
        <v>9697.19</v>
      </c>
      <c r="G8" s="2962">
        <v>135.04</v>
      </c>
      <c r="H8" s="2962">
        <f t="shared" si="0"/>
        <v>9832.2300000000014</v>
      </c>
      <c r="I8" s="2962">
        <v>0</v>
      </c>
      <c r="J8" s="2962">
        <f t="shared" si="1"/>
        <v>9832.2300000000014</v>
      </c>
      <c r="K8" s="2964">
        <v>9832.23</v>
      </c>
      <c r="M8" s="2965">
        <f t="shared" si="2"/>
        <v>0</v>
      </c>
    </row>
    <row r="9" spans="1:13" ht="20.100000000000001" customHeight="1">
      <c r="A9" s="2962">
        <v>8</v>
      </c>
      <c r="B9" s="2962" t="s">
        <v>3197</v>
      </c>
      <c r="C9" s="2963" t="s">
        <v>3198</v>
      </c>
      <c r="D9" s="2962" t="s">
        <v>3199</v>
      </c>
      <c r="E9" s="2962" t="s">
        <v>3180</v>
      </c>
      <c r="F9" s="2962">
        <v>9697.19</v>
      </c>
      <c r="G9" s="2962">
        <v>135.06</v>
      </c>
      <c r="H9" s="2962">
        <f t="shared" si="0"/>
        <v>9832.25</v>
      </c>
      <c r="I9" s="2962">
        <v>0</v>
      </c>
      <c r="J9" s="2962">
        <f t="shared" si="1"/>
        <v>9832.25</v>
      </c>
      <c r="K9" s="2964">
        <v>9832.25</v>
      </c>
      <c r="M9" s="2965">
        <f t="shared" si="2"/>
        <v>0</v>
      </c>
    </row>
    <row r="10" spans="1:13" ht="20.100000000000001" customHeight="1">
      <c r="A10" s="2962">
        <v>9</v>
      </c>
      <c r="B10" s="2962" t="s">
        <v>3200</v>
      </c>
      <c r="C10" s="2963" t="s">
        <v>3201</v>
      </c>
      <c r="D10" s="2962" t="s">
        <v>3202</v>
      </c>
      <c r="E10" s="2962" t="s">
        <v>3180</v>
      </c>
      <c r="F10" s="2962">
        <v>7775.5</v>
      </c>
      <c r="G10" s="2962">
        <v>135.66999999999999</v>
      </c>
      <c r="H10" s="2962">
        <f t="shared" si="0"/>
        <v>7911.17</v>
      </c>
      <c r="I10" s="2962">
        <v>0</v>
      </c>
      <c r="J10" s="2962">
        <f t="shared" si="1"/>
        <v>7911.17</v>
      </c>
      <c r="K10" s="2964">
        <v>7911.17</v>
      </c>
      <c r="M10" s="2965">
        <f t="shared" si="2"/>
        <v>0</v>
      </c>
    </row>
    <row r="11" spans="1:13" ht="20.100000000000001" customHeight="1">
      <c r="A11" s="2962">
        <v>10</v>
      </c>
      <c r="B11" s="2962" t="s">
        <v>3203</v>
      </c>
      <c r="C11" s="2963" t="s">
        <v>3204</v>
      </c>
      <c r="D11" s="2962" t="s">
        <v>3205</v>
      </c>
      <c r="E11" s="2962" t="s">
        <v>3180</v>
      </c>
      <c r="F11" s="2962">
        <v>7775.5</v>
      </c>
      <c r="G11" s="2962">
        <v>135.66999999999999</v>
      </c>
      <c r="H11" s="2962">
        <f t="shared" si="0"/>
        <v>7911.17</v>
      </c>
      <c r="I11" s="2962">
        <v>0</v>
      </c>
      <c r="J11" s="2962">
        <f t="shared" si="1"/>
        <v>7911.17</v>
      </c>
      <c r="K11" s="2964">
        <v>7911.17</v>
      </c>
      <c r="M11" s="2965">
        <f t="shared" si="2"/>
        <v>0</v>
      </c>
    </row>
    <row r="12" spans="1:13" ht="20.100000000000001" customHeight="1">
      <c r="A12" s="2962">
        <v>11</v>
      </c>
      <c r="B12" s="2962" t="s">
        <v>3206</v>
      </c>
      <c r="C12" s="2963" t="s">
        <v>3207</v>
      </c>
      <c r="D12" s="2962" t="s">
        <v>3208</v>
      </c>
      <c r="E12" s="2962" t="s">
        <v>3180</v>
      </c>
      <c r="F12" s="2962">
        <v>7775.5</v>
      </c>
      <c r="G12" s="2962">
        <v>135.66999999999999</v>
      </c>
      <c r="H12" s="2962">
        <f t="shared" si="0"/>
        <v>7911.17</v>
      </c>
      <c r="I12" s="2962">
        <v>0</v>
      </c>
      <c r="J12" s="2962">
        <f t="shared" si="1"/>
        <v>7911.17</v>
      </c>
      <c r="K12" s="2964">
        <v>7911.17</v>
      </c>
      <c r="M12" s="2965">
        <f t="shared" si="2"/>
        <v>0</v>
      </c>
    </row>
    <row r="13" spans="1:13" ht="20.100000000000001" customHeight="1">
      <c r="A13" s="2962">
        <v>12</v>
      </c>
      <c r="B13" s="2962" t="s">
        <v>3209</v>
      </c>
      <c r="C13" s="2963" t="s">
        <v>3210</v>
      </c>
      <c r="D13" s="2962" t="s">
        <v>3211</v>
      </c>
      <c r="E13" s="2962" t="s">
        <v>3180</v>
      </c>
      <c r="F13" s="2962">
        <v>7775.5</v>
      </c>
      <c r="G13" s="2962">
        <v>135.66999999999999</v>
      </c>
      <c r="H13" s="2962">
        <f t="shared" si="0"/>
        <v>7911.17</v>
      </c>
      <c r="I13" s="2962">
        <v>0</v>
      </c>
      <c r="J13" s="2962">
        <f t="shared" si="1"/>
        <v>7911.17</v>
      </c>
      <c r="K13" s="2964">
        <v>7911.17</v>
      </c>
      <c r="M13" s="2965">
        <f t="shared" si="2"/>
        <v>0</v>
      </c>
    </row>
    <row r="14" spans="1:13" ht="51" customHeight="1">
      <c r="A14" s="2962">
        <v>13</v>
      </c>
      <c r="B14" s="2962" t="s">
        <v>3212</v>
      </c>
      <c r="C14" s="2963" t="s">
        <v>3213</v>
      </c>
      <c r="D14" s="2962" t="s">
        <v>3214</v>
      </c>
      <c r="E14" s="2960" t="s">
        <v>3215</v>
      </c>
      <c r="F14" s="2962">
        <v>2103.85</v>
      </c>
      <c r="G14" s="2962"/>
      <c r="H14" s="2962">
        <f>F14</f>
        <v>2103.85</v>
      </c>
      <c r="I14" s="2962">
        <v>58162.89</v>
      </c>
      <c r="J14" s="2962">
        <f>I14+F14</f>
        <v>60266.74</v>
      </c>
      <c r="K14" s="2964">
        <v>60266.74</v>
      </c>
      <c r="L14" s="2965">
        <v>14958.48</v>
      </c>
      <c r="M14" s="2965">
        <f t="shared" si="2"/>
        <v>0</v>
      </c>
    </row>
    <row r="15" spans="1:13" ht="20.100000000000001" customHeight="1">
      <c r="A15" s="2966" t="s">
        <v>37</v>
      </c>
      <c r="B15" s="2966"/>
      <c r="C15" s="2967"/>
      <c r="D15" s="2966"/>
      <c r="E15" s="2966"/>
      <c r="F15" s="2966">
        <f t="shared" ref="F15:K15" si="3">SUM(F2:F14)</f>
        <v>117183.53000000001</v>
      </c>
      <c r="G15" s="2966">
        <f t="shared" si="3"/>
        <v>1608.3600000000001</v>
      </c>
      <c r="H15" s="2968">
        <f t="shared" si="3"/>
        <v>118791.89</v>
      </c>
      <c r="I15" s="2966">
        <f t="shared" si="3"/>
        <v>58162.89</v>
      </c>
      <c r="J15" s="2968">
        <f t="shared" si="3"/>
        <v>176954.78</v>
      </c>
      <c r="K15" s="2966">
        <f t="shared" si="3"/>
        <v>176954.78</v>
      </c>
      <c r="M15" s="2965">
        <f t="shared" si="2"/>
        <v>0</v>
      </c>
    </row>
    <row r="16" spans="1:13" ht="20.100000000000001" customHeight="1">
      <c r="C16" s="2969" t="s">
        <v>3216</v>
      </c>
    </row>
    <row r="17" spans="3:3" ht="20.100000000000001" customHeight="1">
      <c r="C17" s="2969" t="s">
        <v>3217</v>
      </c>
    </row>
  </sheetData>
  <phoneticPr fontId="140"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18"/>
  <sheetViews>
    <sheetView topLeftCell="A52" workbookViewId="0">
      <selection activeCell="G214" sqref="G214"/>
    </sheetView>
  </sheetViews>
  <sheetFormatPr defaultColWidth="9" defaultRowHeight="12.75"/>
  <cols>
    <col min="1" max="1" width="9" style="2971"/>
    <col min="2" max="2" width="12.75" style="2971" customWidth="1"/>
    <col min="3" max="3" width="11.5" style="2971" customWidth="1"/>
    <col min="4" max="4" width="12.375" style="2971" customWidth="1"/>
    <col min="5" max="5" width="12.125" style="2971" customWidth="1"/>
    <col min="6" max="7" width="12" style="2971" customWidth="1"/>
    <col min="8" max="8" width="14.625" style="2971" customWidth="1"/>
    <col min="9" max="9" width="11.375" style="2971" customWidth="1"/>
    <col min="10" max="10" width="11.875" style="2971" customWidth="1"/>
    <col min="11" max="11" width="13.625" style="2971" customWidth="1"/>
    <col min="12" max="12" width="12.75" style="2971" customWidth="1"/>
    <col min="13" max="14" width="9" style="2971"/>
    <col min="15" max="15" width="9.75" style="2971" customWidth="1"/>
    <col min="16" max="257" width="9" style="2971"/>
    <col min="258" max="258" width="12.75" style="2971" customWidth="1"/>
    <col min="259" max="259" width="11.5" style="2971" customWidth="1"/>
    <col min="260" max="260" width="12.375" style="2971" customWidth="1"/>
    <col min="261" max="261" width="12.125" style="2971" customWidth="1"/>
    <col min="262" max="263" width="12" style="2971" customWidth="1"/>
    <col min="264" max="265" width="11.375" style="2971" customWidth="1"/>
    <col min="266" max="266" width="11.875" style="2971" customWidth="1"/>
    <col min="267" max="267" width="9" style="2971"/>
    <col min="268" max="268" width="12.75" style="2971" customWidth="1"/>
    <col min="269" max="513" width="9" style="2971"/>
    <col min="514" max="514" width="12.75" style="2971" customWidth="1"/>
    <col min="515" max="515" width="11.5" style="2971" customWidth="1"/>
    <col min="516" max="516" width="12.375" style="2971" customWidth="1"/>
    <col min="517" max="517" width="12.125" style="2971" customWidth="1"/>
    <col min="518" max="519" width="12" style="2971" customWidth="1"/>
    <col min="520" max="521" width="11.375" style="2971" customWidth="1"/>
    <col min="522" max="522" width="11.875" style="2971" customWidth="1"/>
    <col min="523" max="523" width="9" style="2971"/>
    <col min="524" max="524" width="12.75" style="2971" customWidth="1"/>
    <col min="525" max="769" width="9" style="2971"/>
    <col min="770" max="770" width="12.75" style="2971" customWidth="1"/>
    <col min="771" max="771" width="11.5" style="2971" customWidth="1"/>
    <col min="772" max="772" width="12.375" style="2971" customWidth="1"/>
    <col min="773" max="773" width="12.125" style="2971" customWidth="1"/>
    <col min="774" max="775" width="12" style="2971" customWidth="1"/>
    <col min="776" max="777" width="11.375" style="2971" customWidth="1"/>
    <col min="778" max="778" width="11.875" style="2971" customWidth="1"/>
    <col min="779" max="779" width="9" style="2971"/>
    <col min="780" max="780" width="12.75" style="2971" customWidth="1"/>
    <col min="781" max="1025" width="9" style="2971"/>
    <col min="1026" max="1026" width="12.75" style="2971" customWidth="1"/>
    <col min="1027" max="1027" width="11.5" style="2971" customWidth="1"/>
    <col min="1028" max="1028" width="12.375" style="2971" customWidth="1"/>
    <col min="1029" max="1029" width="12.125" style="2971" customWidth="1"/>
    <col min="1030" max="1031" width="12" style="2971" customWidth="1"/>
    <col min="1032" max="1033" width="11.375" style="2971" customWidth="1"/>
    <col min="1034" max="1034" width="11.875" style="2971" customWidth="1"/>
    <col min="1035" max="1035" width="9" style="2971"/>
    <col min="1036" max="1036" width="12.75" style="2971" customWidth="1"/>
    <col min="1037" max="1281" width="9" style="2971"/>
    <col min="1282" max="1282" width="12.75" style="2971" customWidth="1"/>
    <col min="1283" max="1283" width="11.5" style="2971" customWidth="1"/>
    <col min="1284" max="1284" width="12.375" style="2971" customWidth="1"/>
    <col min="1285" max="1285" width="12.125" style="2971" customWidth="1"/>
    <col min="1286" max="1287" width="12" style="2971" customWidth="1"/>
    <col min="1288" max="1289" width="11.375" style="2971" customWidth="1"/>
    <col min="1290" max="1290" width="11.875" style="2971" customWidth="1"/>
    <col min="1291" max="1291" width="9" style="2971"/>
    <col min="1292" max="1292" width="12.75" style="2971" customWidth="1"/>
    <col min="1293" max="1537" width="9" style="2971"/>
    <col min="1538" max="1538" width="12.75" style="2971" customWidth="1"/>
    <col min="1539" max="1539" width="11.5" style="2971" customWidth="1"/>
    <col min="1540" max="1540" width="12.375" style="2971" customWidth="1"/>
    <col min="1541" max="1541" width="12.125" style="2971" customWidth="1"/>
    <col min="1542" max="1543" width="12" style="2971" customWidth="1"/>
    <col min="1544" max="1545" width="11.375" style="2971" customWidth="1"/>
    <col min="1546" max="1546" width="11.875" style="2971" customWidth="1"/>
    <col min="1547" max="1547" width="9" style="2971"/>
    <col min="1548" max="1548" width="12.75" style="2971" customWidth="1"/>
    <col min="1549" max="1793" width="9" style="2971"/>
    <col min="1794" max="1794" width="12.75" style="2971" customWidth="1"/>
    <col min="1795" max="1795" width="11.5" style="2971" customWidth="1"/>
    <col min="1796" max="1796" width="12.375" style="2971" customWidth="1"/>
    <col min="1797" max="1797" width="12.125" style="2971" customWidth="1"/>
    <col min="1798" max="1799" width="12" style="2971" customWidth="1"/>
    <col min="1800" max="1801" width="11.375" style="2971" customWidth="1"/>
    <col min="1802" max="1802" width="11.875" style="2971" customWidth="1"/>
    <col min="1803" max="1803" width="9" style="2971"/>
    <col min="1804" max="1804" width="12.75" style="2971" customWidth="1"/>
    <col min="1805" max="2049" width="9" style="2971"/>
    <col min="2050" max="2050" width="12.75" style="2971" customWidth="1"/>
    <col min="2051" max="2051" width="11.5" style="2971" customWidth="1"/>
    <col min="2052" max="2052" width="12.375" style="2971" customWidth="1"/>
    <col min="2053" max="2053" width="12.125" style="2971" customWidth="1"/>
    <col min="2054" max="2055" width="12" style="2971" customWidth="1"/>
    <col min="2056" max="2057" width="11.375" style="2971" customWidth="1"/>
    <col min="2058" max="2058" width="11.875" style="2971" customWidth="1"/>
    <col min="2059" max="2059" width="9" style="2971"/>
    <col min="2060" max="2060" width="12.75" style="2971" customWidth="1"/>
    <col min="2061" max="2305" width="9" style="2971"/>
    <col min="2306" max="2306" width="12.75" style="2971" customWidth="1"/>
    <col min="2307" max="2307" width="11.5" style="2971" customWidth="1"/>
    <col min="2308" max="2308" width="12.375" style="2971" customWidth="1"/>
    <col min="2309" max="2309" width="12.125" style="2971" customWidth="1"/>
    <col min="2310" max="2311" width="12" style="2971" customWidth="1"/>
    <col min="2312" max="2313" width="11.375" style="2971" customWidth="1"/>
    <col min="2314" max="2314" width="11.875" style="2971" customWidth="1"/>
    <col min="2315" max="2315" width="9" style="2971"/>
    <col min="2316" max="2316" width="12.75" style="2971" customWidth="1"/>
    <col min="2317" max="2561" width="9" style="2971"/>
    <col min="2562" max="2562" width="12.75" style="2971" customWidth="1"/>
    <col min="2563" max="2563" width="11.5" style="2971" customWidth="1"/>
    <col min="2564" max="2564" width="12.375" style="2971" customWidth="1"/>
    <col min="2565" max="2565" width="12.125" style="2971" customWidth="1"/>
    <col min="2566" max="2567" width="12" style="2971" customWidth="1"/>
    <col min="2568" max="2569" width="11.375" style="2971" customWidth="1"/>
    <col min="2570" max="2570" width="11.875" style="2971" customWidth="1"/>
    <col min="2571" max="2571" width="9" style="2971"/>
    <col min="2572" max="2572" width="12.75" style="2971" customWidth="1"/>
    <col min="2573" max="2817" width="9" style="2971"/>
    <col min="2818" max="2818" width="12.75" style="2971" customWidth="1"/>
    <col min="2819" max="2819" width="11.5" style="2971" customWidth="1"/>
    <col min="2820" max="2820" width="12.375" style="2971" customWidth="1"/>
    <col min="2821" max="2821" width="12.125" style="2971" customWidth="1"/>
    <col min="2822" max="2823" width="12" style="2971" customWidth="1"/>
    <col min="2824" max="2825" width="11.375" style="2971" customWidth="1"/>
    <col min="2826" max="2826" width="11.875" style="2971" customWidth="1"/>
    <col min="2827" max="2827" width="9" style="2971"/>
    <col min="2828" max="2828" width="12.75" style="2971" customWidth="1"/>
    <col min="2829" max="3073" width="9" style="2971"/>
    <col min="3074" max="3074" width="12.75" style="2971" customWidth="1"/>
    <col min="3075" max="3075" width="11.5" style="2971" customWidth="1"/>
    <col min="3076" max="3076" width="12.375" style="2971" customWidth="1"/>
    <col min="3077" max="3077" width="12.125" style="2971" customWidth="1"/>
    <col min="3078" max="3079" width="12" style="2971" customWidth="1"/>
    <col min="3080" max="3081" width="11.375" style="2971" customWidth="1"/>
    <col min="3082" max="3082" width="11.875" style="2971" customWidth="1"/>
    <col min="3083" max="3083" width="9" style="2971"/>
    <col min="3084" max="3084" width="12.75" style="2971" customWidth="1"/>
    <col min="3085" max="3329" width="9" style="2971"/>
    <col min="3330" max="3330" width="12.75" style="2971" customWidth="1"/>
    <col min="3331" max="3331" width="11.5" style="2971" customWidth="1"/>
    <col min="3332" max="3332" width="12.375" style="2971" customWidth="1"/>
    <col min="3333" max="3333" width="12.125" style="2971" customWidth="1"/>
    <col min="3334" max="3335" width="12" style="2971" customWidth="1"/>
    <col min="3336" max="3337" width="11.375" style="2971" customWidth="1"/>
    <col min="3338" max="3338" width="11.875" style="2971" customWidth="1"/>
    <col min="3339" max="3339" width="9" style="2971"/>
    <col min="3340" max="3340" width="12.75" style="2971" customWidth="1"/>
    <col min="3341" max="3585" width="9" style="2971"/>
    <col min="3586" max="3586" width="12.75" style="2971" customWidth="1"/>
    <col min="3587" max="3587" width="11.5" style="2971" customWidth="1"/>
    <col min="3588" max="3588" width="12.375" style="2971" customWidth="1"/>
    <col min="3589" max="3589" width="12.125" style="2971" customWidth="1"/>
    <col min="3590" max="3591" width="12" style="2971" customWidth="1"/>
    <col min="3592" max="3593" width="11.375" style="2971" customWidth="1"/>
    <col min="3594" max="3594" width="11.875" style="2971" customWidth="1"/>
    <col min="3595" max="3595" width="9" style="2971"/>
    <col min="3596" max="3596" width="12.75" style="2971" customWidth="1"/>
    <col min="3597" max="3841" width="9" style="2971"/>
    <col min="3842" max="3842" width="12.75" style="2971" customWidth="1"/>
    <col min="3843" max="3843" width="11.5" style="2971" customWidth="1"/>
    <col min="3844" max="3844" width="12.375" style="2971" customWidth="1"/>
    <col min="3845" max="3845" width="12.125" style="2971" customWidth="1"/>
    <col min="3846" max="3847" width="12" style="2971" customWidth="1"/>
    <col min="3848" max="3849" width="11.375" style="2971" customWidth="1"/>
    <col min="3850" max="3850" width="11.875" style="2971" customWidth="1"/>
    <col min="3851" max="3851" width="9" style="2971"/>
    <col min="3852" max="3852" width="12.75" style="2971" customWidth="1"/>
    <col min="3853" max="4097" width="9" style="2971"/>
    <col min="4098" max="4098" width="12.75" style="2971" customWidth="1"/>
    <col min="4099" max="4099" width="11.5" style="2971" customWidth="1"/>
    <col min="4100" max="4100" width="12.375" style="2971" customWidth="1"/>
    <col min="4101" max="4101" width="12.125" style="2971" customWidth="1"/>
    <col min="4102" max="4103" width="12" style="2971" customWidth="1"/>
    <col min="4104" max="4105" width="11.375" style="2971" customWidth="1"/>
    <col min="4106" max="4106" width="11.875" style="2971" customWidth="1"/>
    <col min="4107" max="4107" width="9" style="2971"/>
    <col min="4108" max="4108" width="12.75" style="2971" customWidth="1"/>
    <col min="4109" max="4353" width="9" style="2971"/>
    <col min="4354" max="4354" width="12.75" style="2971" customWidth="1"/>
    <col min="4355" max="4355" width="11.5" style="2971" customWidth="1"/>
    <col min="4356" max="4356" width="12.375" style="2971" customWidth="1"/>
    <col min="4357" max="4357" width="12.125" style="2971" customWidth="1"/>
    <col min="4358" max="4359" width="12" style="2971" customWidth="1"/>
    <col min="4360" max="4361" width="11.375" style="2971" customWidth="1"/>
    <col min="4362" max="4362" width="11.875" style="2971" customWidth="1"/>
    <col min="4363" max="4363" width="9" style="2971"/>
    <col min="4364" max="4364" width="12.75" style="2971" customWidth="1"/>
    <col min="4365" max="4609" width="9" style="2971"/>
    <col min="4610" max="4610" width="12.75" style="2971" customWidth="1"/>
    <col min="4611" max="4611" width="11.5" style="2971" customWidth="1"/>
    <col min="4612" max="4612" width="12.375" style="2971" customWidth="1"/>
    <col min="4613" max="4613" width="12.125" style="2971" customWidth="1"/>
    <col min="4614" max="4615" width="12" style="2971" customWidth="1"/>
    <col min="4616" max="4617" width="11.375" style="2971" customWidth="1"/>
    <col min="4618" max="4618" width="11.875" style="2971" customWidth="1"/>
    <col min="4619" max="4619" width="9" style="2971"/>
    <col min="4620" max="4620" width="12.75" style="2971" customWidth="1"/>
    <col min="4621" max="4865" width="9" style="2971"/>
    <col min="4866" max="4866" width="12.75" style="2971" customWidth="1"/>
    <col min="4867" max="4867" width="11.5" style="2971" customWidth="1"/>
    <col min="4868" max="4868" width="12.375" style="2971" customWidth="1"/>
    <col min="4869" max="4869" width="12.125" style="2971" customWidth="1"/>
    <col min="4870" max="4871" width="12" style="2971" customWidth="1"/>
    <col min="4872" max="4873" width="11.375" style="2971" customWidth="1"/>
    <col min="4874" max="4874" width="11.875" style="2971" customWidth="1"/>
    <col min="4875" max="4875" width="9" style="2971"/>
    <col min="4876" max="4876" width="12.75" style="2971" customWidth="1"/>
    <col min="4877" max="5121" width="9" style="2971"/>
    <col min="5122" max="5122" width="12.75" style="2971" customWidth="1"/>
    <col min="5123" max="5123" width="11.5" style="2971" customWidth="1"/>
    <col min="5124" max="5124" width="12.375" style="2971" customWidth="1"/>
    <col min="5125" max="5125" width="12.125" style="2971" customWidth="1"/>
    <col min="5126" max="5127" width="12" style="2971" customWidth="1"/>
    <col min="5128" max="5129" width="11.375" style="2971" customWidth="1"/>
    <col min="5130" max="5130" width="11.875" style="2971" customWidth="1"/>
    <col min="5131" max="5131" width="9" style="2971"/>
    <col min="5132" max="5132" width="12.75" style="2971" customWidth="1"/>
    <col min="5133" max="5377" width="9" style="2971"/>
    <col min="5378" max="5378" width="12.75" style="2971" customWidth="1"/>
    <col min="5379" max="5379" width="11.5" style="2971" customWidth="1"/>
    <col min="5380" max="5380" width="12.375" style="2971" customWidth="1"/>
    <col min="5381" max="5381" width="12.125" style="2971" customWidth="1"/>
    <col min="5382" max="5383" width="12" style="2971" customWidth="1"/>
    <col min="5384" max="5385" width="11.375" style="2971" customWidth="1"/>
    <col min="5386" max="5386" width="11.875" style="2971" customWidth="1"/>
    <col min="5387" max="5387" width="9" style="2971"/>
    <col min="5388" max="5388" width="12.75" style="2971" customWidth="1"/>
    <col min="5389" max="5633" width="9" style="2971"/>
    <col min="5634" max="5634" width="12.75" style="2971" customWidth="1"/>
    <col min="5635" max="5635" width="11.5" style="2971" customWidth="1"/>
    <col min="5636" max="5636" width="12.375" style="2971" customWidth="1"/>
    <col min="5637" max="5637" width="12.125" style="2971" customWidth="1"/>
    <col min="5638" max="5639" width="12" style="2971" customWidth="1"/>
    <col min="5640" max="5641" width="11.375" style="2971" customWidth="1"/>
    <col min="5642" max="5642" width="11.875" style="2971" customWidth="1"/>
    <col min="5643" max="5643" width="9" style="2971"/>
    <col min="5644" max="5644" width="12.75" style="2971" customWidth="1"/>
    <col min="5645" max="5889" width="9" style="2971"/>
    <col min="5890" max="5890" width="12.75" style="2971" customWidth="1"/>
    <col min="5891" max="5891" width="11.5" style="2971" customWidth="1"/>
    <col min="5892" max="5892" width="12.375" style="2971" customWidth="1"/>
    <col min="5893" max="5893" width="12.125" style="2971" customWidth="1"/>
    <col min="5894" max="5895" width="12" style="2971" customWidth="1"/>
    <col min="5896" max="5897" width="11.375" style="2971" customWidth="1"/>
    <col min="5898" max="5898" width="11.875" style="2971" customWidth="1"/>
    <col min="5899" max="5899" width="9" style="2971"/>
    <col min="5900" max="5900" width="12.75" style="2971" customWidth="1"/>
    <col min="5901" max="6145" width="9" style="2971"/>
    <col min="6146" max="6146" width="12.75" style="2971" customWidth="1"/>
    <col min="6147" max="6147" width="11.5" style="2971" customWidth="1"/>
    <col min="6148" max="6148" width="12.375" style="2971" customWidth="1"/>
    <col min="6149" max="6149" width="12.125" style="2971" customWidth="1"/>
    <col min="6150" max="6151" width="12" style="2971" customWidth="1"/>
    <col min="6152" max="6153" width="11.375" style="2971" customWidth="1"/>
    <col min="6154" max="6154" width="11.875" style="2971" customWidth="1"/>
    <col min="6155" max="6155" width="9" style="2971"/>
    <col min="6156" max="6156" width="12.75" style="2971" customWidth="1"/>
    <col min="6157" max="6401" width="9" style="2971"/>
    <col min="6402" max="6402" width="12.75" style="2971" customWidth="1"/>
    <col min="6403" max="6403" width="11.5" style="2971" customWidth="1"/>
    <col min="6404" max="6404" width="12.375" style="2971" customWidth="1"/>
    <col min="6405" max="6405" width="12.125" style="2971" customWidth="1"/>
    <col min="6406" max="6407" width="12" style="2971" customWidth="1"/>
    <col min="6408" max="6409" width="11.375" style="2971" customWidth="1"/>
    <col min="6410" max="6410" width="11.875" style="2971" customWidth="1"/>
    <col min="6411" max="6411" width="9" style="2971"/>
    <col min="6412" max="6412" width="12.75" style="2971" customWidth="1"/>
    <col min="6413" max="6657" width="9" style="2971"/>
    <col min="6658" max="6658" width="12.75" style="2971" customWidth="1"/>
    <col min="6659" max="6659" width="11.5" style="2971" customWidth="1"/>
    <col min="6660" max="6660" width="12.375" style="2971" customWidth="1"/>
    <col min="6661" max="6661" width="12.125" style="2971" customWidth="1"/>
    <col min="6662" max="6663" width="12" style="2971" customWidth="1"/>
    <col min="6664" max="6665" width="11.375" style="2971" customWidth="1"/>
    <col min="6666" max="6666" width="11.875" style="2971" customWidth="1"/>
    <col min="6667" max="6667" width="9" style="2971"/>
    <col min="6668" max="6668" width="12.75" style="2971" customWidth="1"/>
    <col min="6669" max="6913" width="9" style="2971"/>
    <col min="6914" max="6914" width="12.75" style="2971" customWidth="1"/>
    <col min="6915" max="6915" width="11.5" style="2971" customWidth="1"/>
    <col min="6916" max="6916" width="12.375" style="2971" customWidth="1"/>
    <col min="6917" max="6917" width="12.125" style="2971" customWidth="1"/>
    <col min="6918" max="6919" width="12" style="2971" customWidth="1"/>
    <col min="6920" max="6921" width="11.375" style="2971" customWidth="1"/>
    <col min="6922" max="6922" width="11.875" style="2971" customWidth="1"/>
    <col min="6923" max="6923" width="9" style="2971"/>
    <col min="6924" max="6924" width="12.75" style="2971" customWidth="1"/>
    <col min="6925" max="7169" width="9" style="2971"/>
    <col min="7170" max="7170" width="12.75" style="2971" customWidth="1"/>
    <col min="7171" max="7171" width="11.5" style="2971" customWidth="1"/>
    <col min="7172" max="7172" width="12.375" style="2971" customWidth="1"/>
    <col min="7173" max="7173" width="12.125" style="2971" customWidth="1"/>
    <col min="7174" max="7175" width="12" style="2971" customWidth="1"/>
    <col min="7176" max="7177" width="11.375" style="2971" customWidth="1"/>
    <col min="7178" max="7178" width="11.875" style="2971" customWidth="1"/>
    <col min="7179" max="7179" width="9" style="2971"/>
    <col min="7180" max="7180" width="12.75" style="2971" customWidth="1"/>
    <col min="7181" max="7425" width="9" style="2971"/>
    <col min="7426" max="7426" width="12.75" style="2971" customWidth="1"/>
    <col min="7427" max="7427" width="11.5" style="2971" customWidth="1"/>
    <col min="7428" max="7428" width="12.375" style="2971" customWidth="1"/>
    <col min="7429" max="7429" width="12.125" style="2971" customWidth="1"/>
    <col min="7430" max="7431" width="12" style="2971" customWidth="1"/>
    <col min="7432" max="7433" width="11.375" style="2971" customWidth="1"/>
    <col min="7434" max="7434" width="11.875" style="2971" customWidth="1"/>
    <col min="7435" max="7435" width="9" style="2971"/>
    <col min="7436" max="7436" width="12.75" style="2971" customWidth="1"/>
    <col min="7437" max="7681" width="9" style="2971"/>
    <col min="7682" max="7682" width="12.75" style="2971" customWidth="1"/>
    <col min="7683" max="7683" width="11.5" style="2971" customWidth="1"/>
    <col min="7684" max="7684" width="12.375" style="2971" customWidth="1"/>
    <col min="7685" max="7685" width="12.125" style="2971" customWidth="1"/>
    <col min="7686" max="7687" width="12" style="2971" customWidth="1"/>
    <col min="7688" max="7689" width="11.375" style="2971" customWidth="1"/>
    <col min="7690" max="7690" width="11.875" style="2971" customWidth="1"/>
    <col min="7691" max="7691" width="9" style="2971"/>
    <col min="7692" max="7692" width="12.75" style="2971" customWidth="1"/>
    <col min="7693" max="7937" width="9" style="2971"/>
    <col min="7938" max="7938" width="12.75" style="2971" customWidth="1"/>
    <col min="7939" max="7939" width="11.5" style="2971" customWidth="1"/>
    <col min="7940" max="7940" width="12.375" style="2971" customWidth="1"/>
    <col min="7941" max="7941" width="12.125" style="2971" customWidth="1"/>
    <col min="7942" max="7943" width="12" style="2971" customWidth="1"/>
    <col min="7944" max="7945" width="11.375" style="2971" customWidth="1"/>
    <col min="7946" max="7946" width="11.875" style="2971" customWidth="1"/>
    <col min="7947" max="7947" width="9" style="2971"/>
    <col min="7948" max="7948" width="12.75" style="2971" customWidth="1"/>
    <col min="7949" max="8193" width="9" style="2971"/>
    <col min="8194" max="8194" width="12.75" style="2971" customWidth="1"/>
    <col min="8195" max="8195" width="11.5" style="2971" customWidth="1"/>
    <col min="8196" max="8196" width="12.375" style="2971" customWidth="1"/>
    <col min="8197" max="8197" width="12.125" style="2971" customWidth="1"/>
    <col min="8198" max="8199" width="12" style="2971" customWidth="1"/>
    <col min="8200" max="8201" width="11.375" style="2971" customWidth="1"/>
    <col min="8202" max="8202" width="11.875" style="2971" customWidth="1"/>
    <col min="8203" max="8203" width="9" style="2971"/>
    <col min="8204" max="8204" width="12.75" style="2971" customWidth="1"/>
    <col min="8205" max="8449" width="9" style="2971"/>
    <col min="8450" max="8450" width="12.75" style="2971" customWidth="1"/>
    <col min="8451" max="8451" width="11.5" style="2971" customWidth="1"/>
    <col min="8452" max="8452" width="12.375" style="2971" customWidth="1"/>
    <col min="8453" max="8453" width="12.125" style="2971" customWidth="1"/>
    <col min="8454" max="8455" width="12" style="2971" customWidth="1"/>
    <col min="8456" max="8457" width="11.375" style="2971" customWidth="1"/>
    <col min="8458" max="8458" width="11.875" style="2971" customWidth="1"/>
    <col min="8459" max="8459" width="9" style="2971"/>
    <col min="8460" max="8460" width="12.75" style="2971" customWidth="1"/>
    <col min="8461" max="8705" width="9" style="2971"/>
    <col min="8706" max="8706" width="12.75" style="2971" customWidth="1"/>
    <col min="8707" max="8707" width="11.5" style="2971" customWidth="1"/>
    <col min="8708" max="8708" width="12.375" style="2971" customWidth="1"/>
    <col min="8709" max="8709" width="12.125" style="2971" customWidth="1"/>
    <col min="8710" max="8711" width="12" style="2971" customWidth="1"/>
    <col min="8712" max="8713" width="11.375" style="2971" customWidth="1"/>
    <col min="8714" max="8714" width="11.875" style="2971" customWidth="1"/>
    <col min="8715" max="8715" width="9" style="2971"/>
    <col min="8716" max="8716" width="12.75" style="2971" customWidth="1"/>
    <col min="8717" max="8961" width="9" style="2971"/>
    <col min="8962" max="8962" width="12.75" style="2971" customWidth="1"/>
    <col min="8963" max="8963" width="11.5" style="2971" customWidth="1"/>
    <col min="8964" max="8964" width="12.375" style="2971" customWidth="1"/>
    <col min="8965" max="8965" width="12.125" style="2971" customWidth="1"/>
    <col min="8966" max="8967" width="12" style="2971" customWidth="1"/>
    <col min="8968" max="8969" width="11.375" style="2971" customWidth="1"/>
    <col min="8970" max="8970" width="11.875" style="2971" customWidth="1"/>
    <col min="8971" max="8971" width="9" style="2971"/>
    <col min="8972" max="8972" width="12.75" style="2971" customWidth="1"/>
    <col min="8973" max="9217" width="9" style="2971"/>
    <col min="9218" max="9218" width="12.75" style="2971" customWidth="1"/>
    <col min="9219" max="9219" width="11.5" style="2971" customWidth="1"/>
    <col min="9220" max="9220" width="12.375" style="2971" customWidth="1"/>
    <col min="9221" max="9221" width="12.125" style="2971" customWidth="1"/>
    <col min="9222" max="9223" width="12" style="2971" customWidth="1"/>
    <col min="9224" max="9225" width="11.375" style="2971" customWidth="1"/>
    <col min="9226" max="9226" width="11.875" style="2971" customWidth="1"/>
    <col min="9227" max="9227" width="9" style="2971"/>
    <col min="9228" max="9228" width="12.75" style="2971" customWidth="1"/>
    <col min="9229" max="9473" width="9" style="2971"/>
    <col min="9474" max="9474" width="12.75" style="2971" customWidth="1"/>
    <col min="9475" max="9475" width="11.5" style="2971" customWidth="1"/>
    <col min="9476" max="9476" width="12.375" style="2971" customWidth="1"/>
    <col min="9477" max="9477" width="12.125" style="2971" customWidth="1"/>
    <col min="9478" max="9479" width="12" style="2971" customWidth="1"/>
    <col min="9480" max="9481" width="11.375" style="2971" customWidth="1"/>
    <col min="9482" max="9482" width="11.875" style="2971" customWidth="1"/>
    <col min="9483" max="9483" width="9" style="2971"/>
    <col min="9484" max="9484" width="12.75" style="2971" customWidth="1"/>
    <col min="9485" max="9729" width="9" style="2971"/>
    <col min="9730" max="9730" width="12.75" style="2971" customWidth="1"/>
    <col min="9731" max="9731" width="11.5" style="2971" customWidth="1"/>
    <col min="9732" max="9732" width="12.375" style="2971" customWidth="1"/>
    <col min="9733" max="9733" width="12.125" style="2971" customWidth="1"/>
    <col min="9734" max="9735" width="12" style="2971" customWidth="1"/>
    <col min="9736" max="9737" width="11.375" style="2971" customWidth="1"/>
    <col min="9738" max="9738" width="11.875" style="2971" customWidth="1"/>
    <col min="9739" max="9739" width="9" style="2971"/>
    <col min="9740" max="9740" width="12.75" style="2971" customWidth="1"/>
    <col min="9741" max="9985" width="9" style="2971"/>
    <col min="9986" max="9986" width="12.75" style="2971" customWidth="1"/>
    <col min="9987" max="9987" width="11.5" style="2971" customWidth="1"/>
    <col min="9988" max="9988" width="12.375" style="2971" customWidth="1"/>
    <col min="9989" max="9989" width="12.125" style="2971" customWidth="1"/>
    <col min="9990" max="9991" width="12" style="2971" customWidth="1"/>
    <col min="9992" max="9993" width="11.375" style="2971" customWidth="1"/>
    <col min="9994" max="9994" width="11.875" style="2971" customWidth="1"/>
    <col min="9995" max="9995" width="9" style="2971"/>
    <col min="9996" max="9996" width="12.75" style="2971" customWidth="1"/>
    <col min="9997" max="10241" width="9" style="2971"/>
    <col min="10242" max="10242" width="12.75" style="2971" customWidth="1"/>
    <col min="10243" max="10243" width="11.5" style="2971" customWidth="1"/>
    <col min="10244" max="10244" width="12.375" style="2971" customWidth="1"/>
    <col min="10245" max="10245" width="12.125" style="2971" customWidth="1"/>
    <col min="10246" max="10247" width="12" style="2971" customWidth="1"/>
    <col min="10248" max="10249" width="11.375" style="2971" customWidth="1"/>
    <col min="10250" max="10250" width="11.875" style="2971" customWidth="1"/>
    <col min="10251" max="10251" width="9" style="2971"/>
    <col min="10252" max="10252" width="12.75" style="2971" customWidth="1"/>
    <col min="10253" max="10497" width="9" style="2971"/>
    <col min="10498" max="10498" width="12.75" style="2971" customWidth="1"/>
    <col min="10499" max="10499" width="11.5" style="2971" customWidth="1"/>
    <col min="10500" max="10500" width="12.375" style="2971" customWidth="1"/>
    <col min="10501" max="10501" width="12.125" style="2971" customWidth="1"/>
    <col min="10502" max="10503" width="12" style="2971" customWidth="1"/>
    <col min="10504" max="10505" width="11.375" style="2971" customWidth="1"/>
    <col min="10506" max="10506" width="11.875" style="2971" customWidth="1"/>
    <col min="10507" max="10507" width="9" style="2971"/>
    <col min="10508" max="10508" width="12.75" style="2971" customWidth="1"/>
    <col min="10509" max="10753" width="9" style="2971"/>
    <col min="10754" max="10754" width="12.75" style="2971" customWidth="1"/>
    <col min="10755" max="10755" width="11.5" style="2971" customWidth="1"/>
    <col min="10756" max="10756" width="12.375" style="2971" customWidth="1"/>
    <col min="10757" max="10757" width="12.125" style="2971" customWidth="1"/>
    <col min="10758" max="10759" width="12" style="2971" customWidth="1"/>
    <col min="10760" max="10761" width="11.375" style="2971" customWidth="1"/>
    <col min="10762" max="10762" width="11.875" style="2971" customWidth="1"/>
    <col min="10763" max="10763" width="9" style="2971"/>
    <col min="10764" max="10764" width="12.75" style="2971" customWidth="1"/>
    <col min="10765" max="11009" width="9" style="2971"/>
    <col min="11010" max="11010" width="12.75" style="2971" customWidth="1"/>
    <col min="11011" max="11011" width="11.5" style="2971" customWidth="1"/>
    <col min="11012" max="11012" width="12.375" style="2971" customWidth="1"/>
    <col min="11013" max="11013" width="12.125" style="2971" customWidth="1"/>
    <col min="11014" max="11015" width="12" style="2971" customWidth="1"/>
    <col min="11016" max="11017" width="11.375" style="2971" customWidth="1"/>
    <col min="11018" max="11018" width="11.875" style="2971" customWidth="1"/>
    <col min="11019" max="11019" width="9" style="2971"/>
    <col min="11020" max="11020" width="12.75" style="2971" customWidth="1"/>
    <col min="11021" max="11265" width="9" style="2971"/>
    <col min="11266" max="11266" width="12.75" style="2971" customWidth="1"/>
    <col min="11267" max="11267" width="11.5" style="2971" customWidth="1"/>
    <col min="11268" max="11268" width="12.375" style="2971" customWidth="1"/>
    <col min="11269" max="11269" width="12.125" style="2971" customWidth="1"/>
    <col min="11270" max="11271" width="12" style="2971" customWidth="1"/>
    <col min="11272" max="11273" width="11.375" style="2971" customWidth="1"/>
    <col min="11274" max="11274" width="11.875" style="2971" customWidth="1"/>
    <col min="11275" max="11275" width="9" style="2971"/>
    <col min="11276" max="11276" width="12.75" style="2971" customWidth="1"/>
    <col min="11277" max="11521" width="9" style="2971"/>
    <col min="11522" max="11522" width="12.75" style="2971" customWidth="1"/>
    <col min="11523" max="11523" width="11.5" style="2971" customWidth="1"/>
    <col min="11524" max="11524" width="12.375" style="2971" customWidth="1"/>
    <col min="11525" max="11525" width="12.125" style="2971" customWidth="1"/>
    <col min="11526" max="11527" width="12" style="2971" customWidth="1"/>
    <col min="11528" max="11529" width="11.375" style="2971" customWidth="1"/>
    <col min="11530" max="11530" width="11.875" style="2971" customWidth="1"/>
    <col min="11531" max="11531" width="9" style="2971"/>
    <col min="11532" max="11532" width="12.75" style="2971" customWidth="1"/>
    <col min="11533" max="11777" width="9" style="2971"/>
    <col min="11778" max="11778" width="12.75" style="2971" customWidth="1"/>
    <col min="11779" max="11779" width="11.5" style="2971" customWidth="1"/>
    <col min="11780" max="11780" width="12.375" style="2971" customWidth="1"/>
    <col min="11781" max="11781" width="12.125" style="2971" customWidth="1"/>
    <col min="11782" max="11783" width="12" style="2971" customWidth="1"/>
    <col min="11784" max="11785" width="11.375" style="2971" customWidth="1"/>
    <col min="11786" max="11786" width="11.875" style="2971" customWidth="1"/>
    <col min="11787" max="11787" width="9" style="2971"/>
    <col min="11788" max="11788" width="12.75" style="2971" customWidth="1"/>
    <col min="11789" max="12033" width="9" style="2971"/>
    <col min="12034" max="12034" width="12.75" style="2971" customWidth="1"/>
    <col min="12035" max="12035" width="11.5" style="2971" customWidth="1"/>
    <col min="12036" max="12036" width="12.375" style="2971" customWidth="1"/>
    <col min="12037" max="12037" width="12.125" style="2971" customWidth="1"/>
    <col min="12038" max="12039" width="12" style="2971" customWidth="1"/>
    <col min="12040" max="12041" width="11.375" style="2971" customWidth="1"/>
    <col min="12042" max="12042" width="11.875" style="2971" customWidth="1"/>
    <col min="12043" max="12043" width="9" style="2971"/>
    <col min="12044" max="12044" width="12.75" style="2971" customWidth="1"/>
    <col min="12045" max="12289" width="9" style="2971"/>
    <col min="12290" max="12290" width="12.75" style="2971" customWidth="1"/>
    <col min="12291" max="12291" width="11.5" style="2971" customWidth="1"/>
    <col min="12292" max="12292" width="12.375" style="2971" customWidth="1"/>
    <col min="12293" max="12293" width="12.125" style="2971" customWidth="1"/>
    <col min="12294" max="12295" width="12" style="2971" customWidth="1"/>
    <col min="12296" max="12297" width="11.375" style="2971" customWidth="1"/>
    <col min="12298" max="12298" width="11.875" style="2971" customWidth="1"/>
    <col min="12299" max="12299" width="9" style="2971"/>
    <col min="12300" max="12300" width="12.75" style="2971" customWidth="1"/>
    <col min="12301" max="12545" width="9" style="2971"/>
    <col min="12546" max="12546" width="12.75" style="2971" customWidth="1"/>
    <col min="12547" max="12547" width="11.5" style="2971" customWidth="1"/>
    <col min="12548" max="12548" width="12.375" style="2971" customWidth="1"/>
    <col min="12549" max="12549" width="12.125" style="2971" customWidth="1"/>
    <col min="12550" max="12551" width="12" style="2971" customWidth="1"/>
    <col min="12552" max="12553" width="11.375" style="2971" customWidth="1"/>
    <col min="12554" max="12554" width="11.875" style="2971" customWidth="1"/>
    <col min="12555" max="12555" width="9" style="2971"/>
    <col min="12556" max="12556" width="12.75" style="2971" customWidth="1"/>
    <col min="12557" max="12801" width="9" style="2971"/>
    <col min="12802" max="12802" width="12.75" style="2971" customWidth="1"/>
    <col min="12803" max="12803" width="11.5" style="2971" customWidth="1"/>
    <col min="12804" max="12804" width="12.375" style="2971" customWidth="1"/>
    <col min="12805" max="12805" width="12.125" style="2971" customWidth="1"/>
    <col min="12806" max="12807" width="12" style="2971" customWidth="1"/>
    <col min="12808" max="12809" width="11.375" style="2971" customWidth="1"/>
    <col min="12810" max="12810" width="11.875" style="2971" customWidth="1"/>
    <col min="12811" max="12811" width="9" style="2971"/>
    <col min="12812" max="12812" width="12.75" style="2971" customWidth="1"/>
    <col min="12813" max="13057" width="9" style="2971"/>
    <col min="13058" max="13058" width="12.75" style="2971" customWidth="1"/>
    <col min="13059" max="13059" width="11.5" style="2971" customWidth="1"/>
    <col min="13060" max="13060" width="12.375" style="2971" customWidth="1"/>
    <col min="13061" max="13061" width="12.125" style="2971" customWidth="1"/>
    <col min="13062" max="13063" width="12" style="2971" customWidth="1"/>
    <col min="13064" max="13065" width="11.375" style="2971" customWidth="1"/>
    <col min="13066" max="13066" width="11.875" style="2971" customWidth="1"/>
    <col min="13067" max="13067" width="9" style="2971"/>
    <col min="13068" max="13068" width="12.75" style="2971" customWidth="1"/>
    <col min="13069" max="13313" width="9" style="2971"/>
    <col min="13314" max="13314" width="12.75" style="2971" customWidth="1"/>
    <col min="13315" max="13315" width="11.5" style="2971" customWidth="1"/>
    <col min="13316" max="13316" width="12.375" style="2971" customWidth="1"/>
    <col min="13317" max="13317" width="12.125" style="2971" customWidth="1"/>
    <col min="13318" max="13319" width="12" style="2971" customWidth="1"/>
    <col min="13320" max="13321" width="11.375" style="2971" customWidth="1"/>
    <col min="13322" max="13322" width="11.875" style="2971" customWidth="1"/>
    <col min="13323" max="13323" width="9" style="2971"/>
    <col min="13324" max="13324" width="12.75" style="2971" customWidth="1"/>
    <col min="13325" max="13569" width="9" style="2971"/>
    <col min="13570" max="13570" width="12.75" style="2971" customWidth="1"/>
    <col min="13571" max="13571" width="11.5" style="2971" customWidth="1"/>
    <col min="13572" max="13572" width="12.375" style="2971" customWidth="1"/>
    <col min="13573" max="13573" width="12.125" style="2971" customWidth="1"/>
    <col min="13574" max="13575" width="12" style="2971" customWidth="1"/>
    <col min="13576" max="13577" width="11.375" style="2971" customWidth="1"/>
    <col min="13578" max="13578" width="11.875" style="2971" customWidth="1"/>
    <col min="13579" max="13579" width="9" style="2971"/>
    <col min="13580" max="13580" width="12.75" style="2971" customWidth="1"/>
    <col min="13581" max="13825" width="9" style="2971"/>
    <col min="13826" max="13826" width="12.75" style="2971" customWidth="1"/>
    <col min="13827" max="13827" width="11.5" style="2971" customWidth="1"/>
    <col min="13828" max="13828" width="12.375" style="2971" customWidth="1"/>
    <col min="13829" max="13829" width="12.125" style="2971" customWidth="1"/>
    <col min="13830" max="13831" width="12" style="2971" customWidth="1"/>
    <col min="13832" max="13833" width="11.375" style="2971" customWidth="1"/>
    <col min="13834" max="13834" width="11.875" style="2971" customWidth="1"/>
    <col min="13835" max="13835" width="9" style="2971"/>
    <col min="13836" max="13836" width="12.75" style="2971" customWidth="1"/>
    <col min="13837" max="14081" width="9" style="2971"/>
    <col min="14082" max="14082" width="12.75" style="2971" customWidth="1"/>
    <col min="14083" max="14083" width="11.5" style="2971" customWidth="1"/>
    <col min="14084" max="14084" width="12.375" style="2971" customWidth="1"/>
    <col min="14085" max="14085" width="12.125" style="2971" customWidth="1"/>
    <col min="14086" max="14087" width="12" style="2971" customWidth="1"/>
    <col min="14088" max="14089" width="11.375" style="2971" customWidth="1"/>
    <col min="14090" max="14090" width="11.875" style="2971" customWidth="1"/>
    <col min="14091" max="14091" width="9" style="2971"/>
    <col min="14092" max="14092" width="12.75" style="2971" customWidth="1"/>
    <col min="14093" max="14337" width="9" style="2971"/>
    <col min="14338" max="14338" width="12.75" style="2971" customWidth="1"/>
    <col min="14339" max="14339" width="11.5" style="2971" customWidth="1"/>
    <col min="14340" max="14340" width="12.375" style="2971" customWidth="1"/>
    <col min="14341" max="14341" width="12.125" style="2971" customWidth="1"/>
    <col min="14342" max="14343" width="12" style="2971" customWidth="1"/>
    <col min="14344" max="14345" width="11.375" style="2971" customWidth="1"/>
    <col min="14346" max="14346" width="11.875" style="2971" customWidth="1"/>
    <col min="14347" max="14347" width="9" style="2971"/>
    <col min="14348" max="14348" width="12.75" style="2971" customWidth="1"/>
    <col min="14349" max="14593" width="9" style="2971"/>
    <col min="14594" max="14594" width="12.75" style="2971" customWidth="1"/>
    <col min="14595" max="14595" width="11.5" style="2971" customWidth="1"/>
    <col min="14596" max="14596" width="12.375" style="2971" customWidth="1"/>
    <col min="14597" max="14597" width="12.125" style="2971" customWidth="1"/>
    <col min="14598" max="14599" width="12" style="2971" customWidth="1"/>
    <col min="14600" max="14601" width="11.375" style="2971" customWidth="1"/>
    <col min="14602" max="14602" width="11.875" style="2971" customWidth="1"/>
    <col min="14603" max="14603" width="9" style="2971"/>
    <col min="14604" max="14604" width="12.75" style="2971" customWidth="1"/>
    <col min="14605" max="14849" width="9" style="2971"/>
    <col min="14850" max="14850" width="12.75" style="2971" customWidth="1"/>
    <col min="14851" max="14851" width="11.5" style="2971" customWidth="1"/>
    <col min="14852" max="14852" width="12.375" style="2971" customWidth="1"/>
    <col min="14853" max="14853" width="12.125" style="2971" customWidth="1"/>
    <col min="14854" max="14855" width="12" style="2971" customWidth="1"/>
    <col min="14856" max="14857" width="11.375" style="2971" customWidth="1"/>
    <col min="14858" max="14858" width="11.875" style="2971" customWidth="1"/>
    <col min="14859" max="14859" width="9" style="2971"/>
    <col min="14860" max="14860" width="12.75" style="2971" customWidth="1"/>
    <col min="14861" max="15105" width="9" style="2971"/>
    <col min="15106" max="15106" width="12.75" style="2971" customWidth="1"/>
    <col min="15107" max="15107" width="11.5" style="2971" customWidth="1"/>
    <col min="15108" max="15108" width="12.375" style="2971" customWidth="1"/>
    <col min="15109" max="15109" width="12.125" style="2971" customWidth="1"/>
    <col min="15110" max="15111" width="12" style="2971" customWidth="1"/>
    <col min="15112" max="15113" width="11.375" style="2971" customWidth="1"/>
    <col min="15114" max="15114" width="11.875" style="2971" customWidth="1"/>
    <col min="15115" max="15115" width="9" style="2971"/>
    <col min="15116" max="15116" width="12.75" style="2971" customWidth="1"/>
    <col min="15117" max="15361" width="9" style="2971"/>
    <col min="15362" max="15362" width="12.75" style="2971" customWidth="1"/>
    <col min="15363" max="15363" width="11.5" style="2971" customWidth="1"/>
    <col min="15364" max="15364" width="12.375" style="2971" customWidth="1"/>
    <col min="15365" max="15365" width="12.125" style="2971" customWidth="1"/>
    <col min="15366" max="15367" width="12" style="2971" customWidth="1"/>
    <col min="15368" max="15369" width="11.375" style="2971" customWidth="1"/>
    <col min="15370" max="15370" width="11.875" style="2971" customWidth="1"/>
    <col min="15371" max="15371" width="9" style="2971"/>
    <col min="15372" max="15372" width="12.75" style="2971" customWidth="1"/>
    <col min="15373" max="15617" width="9" style="2971"/>
    <col min="15618" max="15618" width="12.75" style="2971" customWidth="1"/>
    <col min="15619" max="15619" width="11.5" style="2971" customWidth="1"/>
    <col min="15620" max="15620" width="12.375" style="2971" customWidth="1"/>
    <col min="15621" max="15621" width="12.125" style="2971" customWidth="1"/>
    <col min="15622" max="15623" width="12" style="2971" customWidth="1"/>
    <col min="15624" max="15625" width="11.375" style="2971" customWidth="1"/>
    <col min="15626" max="15626" width="11.875" style="2971" customWidth="1"/>
    <col min="15627" max="15627" width="9" style="2971"/>
    <col min="15628" max="15628" width="12.75" style="2971" customWidth="1"/>
    <col min="15629" max="15873" width="9" style="2971"/>
    <col min="15874" max="15874" width="12.75" style="2971" customWidth="1"/>
    <col min="15875" max="15875" width="11.5" style="2971" customWidth="1"/>
    <col min="15876" max="15876" width="12.375" style="2971" customWidth="1"/>
    <col min="15877" max="15877" width="12.125" style="2971" customWidth="1"/>
    <col min="15878" max="15879" width="12" style="2971" customWidth="1"/>
    <col min="15880" max="15881" width="11.375" style="2971" customWidth="1"/>
    <col min="15882" max="15882" width="11.875" style="2971" customWidth="1"/>
    <col min="15883" max="15883" width="9" style="2971"/>
    <col min="15884" max="15884" width="12.75" style="2971" customWidth="1"/>
    <col min="15885" max="16129" width="9" style="2971"/>
    <col min="16130" max="16130" width="12.75" style="2971" customWidth="1"/>
    <col min="16131" max="16131" width="11.5" style="2971" customWidth="1"/>
    <col min="16132" max="16132" width="12.375" style="2971" customWidth="1"/>
    <col min="16133" max="16133" width="12.125" style="2971" customWidth="1"/>
    <col min="16134" max="16135" width="12" style="2971" customWidth="1"/>
    <col min="16136" max="16137" width="11.375" style="2971" customWidth="1"/>
    <col min="16138" max="16138" width="11.875" style="2971" customWidth="1"/>
    <col min="16139" max="16139" width="9" style="2971"/>
    <col min="16140" max="16140" width="12.75" style="2971" customWidth="1"/>
    <col min="16141" max="16384" width="9" style="2971"/>
  </cols>
  <sheetData>
    <row r="1" spans="1:13" ht="18.75">
      <c r="A1" s="3221" t="s">
        <v>3218</v>
      </c>
      <c r="B1" s="3221"/>
      <c r="C1" s="3221"/>
      <c r="D1" s="3221"/>
      <c r="E1" s="3221"/>
      <c r="F1" s="3221"/>
      <c r="G1" s="3221"/>
      <c r="H1" s="3221"/>
      <c r="I1" s="3221"/>
      <c r="J1" s="3221"/>
      <c r="K1" s="2970"/>
      <c r="L1" s="2970"/>
      <c r="M1" s="2970"/>
    </row>
    <row r="2" spans="1:13" ht="13.5" thickBot="1">
      <c r="A2" s="2972"/>
      <c r="B2" s="2972"/>
      <c r="C2" s="2972"/>
      <c r="D2" s="2972"/>
      <c r="E2" s="2972"/>
      <c r="F2" s="2972"/>
      <c r="G2" s="2972"/>
      <c r="H2" s="3222" t="s">
        <v>3219</v>
      </c>
      <c r="I2" s="3222"/>
      <c r="J2" s="2973" t="s">
        <v>3220</v>
      </c>
      <c r="K2" s="2972"/>
    </row>
    <row r="3" spans="1:13" ht="17.45" customHeight="1" thickTop="1">
      <c r="A3" s="3223" t="s">
        <v>3221</v>
      </c>
      <c r="B3" s="3225" t="s">
        <v>3222</v>
      </c>
      <c r="C3" s="3225"/>
      <c r="D3" s="3225"/>
      <c r="E3" s="3223" t="s">
        <v>3223</v>
      </c>
      <c r="F3" s="3225" t="s">
        <v>3224</v>
      </c>
      <c r="G3" s="3225"/>
      <c r="H3" s="3225"/>
      <c r="I3" s="3225"/>
      <c r="J3" s="3225"/>
    </row>
    <row r="4" spans="1:13" s="2977" customFormat="1" ht="17.45" customHeight="1">
      <c r="A4" s="3224"/>
      <c r="B4" s="2974" t="s">
        <v>3225</v>
      </c>
      <c r="C4" s="2974" t="s">
        <v>3226</v>
      </c>
      <c r="D4" s="2974" t="s">
        <v>3227</v>
      </c>
      <c r="E4" s="3224"/>
      <c r="F4" s="2975" t="s">
        <v>3228</v>
      </c>
      <c r="G4" s="2976" t="s">
        <v>3229</v>
      </c>
      <c r="H4" s="2974" t="s">
        <v>3230</v>
      </c>
      <c r="I4" s="2976" t="s">
        <v>3229</v>
      </c>
      <c r="J4" s="2974" t="s">
        <v>3231</v>
      </c>
    </row>
    <row r="5" spans="1:13">
      <c r="A5" s="2978" t="s">
        <v>3232</v>
      </c>
      <c r="B5" s="2979">
        <f>C5+D5</f>
        <v>15012.36</v>
      </c>
      <c r="C5" s="2979">
        <v>4094.28</v>
      </c>
      <c r="D5" s="2979">
        <v>10918.08</v>
      </c>
      <c r="E5" s="2979">
        <v>1364.76</v>
      </c>
      <c r="F5" s="2979">
        <v>803</v>
      </c>
      <c r="G5" s="2979">
        <f>543.73+543.73+564.59+564.59</f>
        <v>2216.6400000000003</v>
      </c>
      <c r="H5" s="2979">
        <v>1011.5</v>
      </c>
      <c r="I5" s="2979">
        <f>116.34+726.52+116.34+104.14</f>
        <v>1063.3400000000001</v>
      </c>
      <c r="J5" s="2980"/>
    </row>
    <row r="6" spans="1:13">
      <c r="A6" s="2978" t="s">
        <v>3233</v>
      </c>
      <c r="B6" s="2979">
        <f t="shared" ref="B6:B16" si="0">C6+D6</f>
        <v>12678.16</v>
      </c>
      <c r="C6" s="2979">
        <v>3457.68</v>
      </c>
      <c r="D6" s="2979">
        <v>9220.48</v>
      </c>
      <c r="E6" s="2979">
        <v>1152.56</v>
      </c>
      <c r="F6" s="2979">
        <v>588</v>
      </c>
      <c r="G6" s="2979">
        <f>1089.7+823.9</f>
        <v>1913.6</v>
      </c>
      <c r="H6" s="2979">
        <v>817</v>
      </c>
      <c r="I6" s="2979">
        <v>1178.6600000000001</v>
      </c>
      <c r="J6" s="2980"/>
    </row>
    <row r="7" spans="1:13">
      <c r="A7" s="2978" t="s">
        <v>3234</v>
      </c>
      <c r="B7" s="2979">
        <f t="shared" si="0"/>
        <v>12678.16</v>
      </c>
      <c r="C7" s="2979">
        <v>3457.68</v>
      </c>
      <c r="D7" s="2979">
        <v>9220.48</v>
      </c>
      <c r="E7" s="2979">
        <v>1152.56</v>
      </c>
      <c r="F7" s="2979">
        <v>653.64</v>
      </c>
      <c r="G7" s="2979">
        <v>933.77</v>
      </c>
      <c r="H7" s="2979">
        <v>787</v>
      </c>
      <c r="I7" s="2979">
        <v>1118.03</v>
      </c>
      <c r="J7" s="2980"/>
    </row>
    <row r="8" spans="1:13">
      <c r="A8" s="2978" t="s">
        <v>3235</v>
      </c>
      <c r="B8" s="2979">
        <f t="shared" si="0"/>
        <v>12678.16</v>
      </c>
      <c r="C8" s="2979">
        <v>3457.68</v>
      </c>
      <c r="D8" s="2979">
        <v>9220.48</v>
      </c>
      <c r="E8" s="2979">
        <v>1152.56</v>
      </c>
      <c r="F8" s="2979">
        <v>653.64</v>
      </c>
      <c r="G8" s="2979">
        <f>486.6+426.8+495.74+334.43+66.1+114.67</f>
        <v>1924.3400000000001</v>
      </c>
      <c r="H8" s="2979">
        <v>837</v>
      </c>
      <c r="I8" s="2979">
        <f>209.25*4</f>
        <v>837</v>
      </c>
      <c r="J8" s="2980"/>
    </row>
    <row r="9" spans="1:13">
      <c r="A9" s="2978" t="s">
        <v>3236</v>
      </c>
      <c r="B9" s="2979">
        <f t="shared" si="0"/>
        <v>15012.36</v>
      </c>
      <c r="C9" s="2979">
        <v>4094.28</v>
      </c>
      <c r="D9" s="2979">
        <v>10918.08</v>
      </c>
      <c r="E9" s="2979">
        <v>1364.76</v>
      </c>
      <c r="F9" s="2979">
        <v>765.25</v>
      </c>
      <c r="G9" s="2979">
        <f>697.14+1081.28</f>
        <v>1778.42</v>
      </c>
      <c r="H9" s="2979">
        <v>964</v>
      </c>
      <c r="I9" s="2979">
        <v>1458.22</v>
      </c>
      <c r="J9" s="2980"/>
    </row>
    <row r="10" spans="1:13">
      <c r="A10" s="2978" t="s">
        <v>3237</v>
      </c>
      <c r="B10" s="2979">
        <f t="shared" si="0"/>
        <v>15012.36</v>
      </c>
      <c r="C10" s="2979">
        <v>4094.28</v>
      </c>
      <c r="D10" s="2979">
        <v>10918.08</v>
      </c>
      <c r="E10" s="2979">
        <v>1364.76</v>
      </c>
      <c r="F10" s="2979">
        <v>891</v>
      </c>
      <c r="G10" s="2979">
        <f>741+150</f>
        <v>891</v>
      </c>
      <c r="H10" s="2979">
        <v>1395</v>
      </c>
      <c r="I10" s="2979">
        <v>1395</v>
      </c>
      <c r="J10" s="2980"/>
    </row>
    <row r="11" spans="1:13">
      <c r="A11" s="2978" t="s">
        <v>3238</v>
      </c>
      <c r="B11" s="2979">
        <f t="shared" si="0"/>
        <v>12392.27</v>
      </c>
      <c r="C11" s="2979">
        <v>3379.71</v>
      </c>
      <c r="D11" s="2979">
        <v>9012.56</v>
      </c>
      <c r="E11" s="2979">
        <v>1126.57</v>
      </c>
      <c r="F11" s="2979">
        <v>644.91999999999996</v>
      </c>
      <c r="G11" s="2979">
        <f>472.24+390.59+614.77+366.77</f>
        <v>1844.37</v>
      </c>
      <c r="H11" s="2979">
        <v>1090.0999999999999</v>
      </c>
      <c r="I11" s="2979">
        <v>1126.58</v>
      </c>
      <c r="J11" s="2980"/>
    </row>
    <row r="12" spans="1:13">
      <c r="A12" s="2978" t="s">
        <v>3239</v>
      </c>
      <c r="B12" s="2979">
        <f t="shared" si="0"/>
        <v>12392.27</v>
      </c>
      <c r="C12" s="2979">
        <v>3379.71</v>
      </c>
      <c r="D12" s="2979">
        <v>9012.56</v>
      </c>
      <c r="E12" s="2979">
        <v>1126.57</v>
      </c>
      <c r="F12" s="2979">
        <v>808</v>
      </c>
      <c r="G12" s="2979">
        <v>808</v>
      </c>
      <c r="H12" s="2979">
        <v>1195</v>
      </c>
      <c r="I12" s="2979">
        <v>1126.58</v>
      </c>
      <c r="J12" s="2980"/>
    </row>
    <row r="13" spans="1:13">
      <c r="A13" s="2978" t="s">
        <v>3240</v>
      </c>
      <c r="B13" s="2979">
        <f t="shared" si="0"/>
        <v>10026.61</v>
      </c>
      <c r="C13" s="2979">
        <v>2734.53</v>
      </c>
      <c r="D13" s="2979">
        <v>7292.08</v>
      </c>
      <c r="E13" s="2979">
        <v>911.52</v>
      </c>
      <c r="F13" s="2979">
        <v>298</v>
      </c>
      <c r="G13" s="2979">
        <v>298</v>
      </c>
      <c r="H13" s="2979">
        <v>878.29</v>
      </c>
      <c r="I13" s="2979">
        <v>878.29</v>
      </c>
      <c r="J13" s="2980"/>
    </row>
    <row r="14" spans="1:13">
      <c r="A14" s="2978" t="s">
        <v>3241</v>
      </c>
      <c r="B14" s="2979">
        <f t="shared" si="0"/>
        <v>10026.61</v>
      </c>
      <c r="C14" s="2979">
        <v>2734.53</v>
      </c>
      <c r="D14" s="2979">
        <v>7292.08</v>
      </c>
      <c r="E14" s="2979">
        <v>911.52</v>
      </c>
      <c r="F14" s="2979">
        <v>298</v>
      </c>
      <c r="G14" s="2979">
        <v>851.94</v>
      </c>
      <c r="H14" s="2979">
        <v>878.29</v>
      </c>
      <c r="I14" s="2979">
        <v>878.29</v>
      </c>
      <c r="J14" s="2980"/>
    </row>
    <row r="15" spans="1:13">
      <c r="A15" s="2978" t="s">
        <v>3242</v>
      </c>
      <c r="B15" s="2979">
        <f t="shared" si="0"/>
        <v>10026.61</v>
      </c>
      <c r="C15" s="2979">
        <v>2734.53</v>
      </c>
      <c r="D15" s="2979">
        <v>7292.08</v>
      </c>
      <c r="E15" s="2979">
        <v>911.52</v>
      </c>
      <c r="F15" s="2979">
        <v>298</v>
      </c>
      <c r="G15" s="2979">
        <v>298</v>
      </c>
      <c r="H15" s="2979">
        <v>596</v>
      </c>
      <c r="I15" s="2979">
        <v>849.8</v>
      </c>
      <c r="J15" s="2980"/>
    </row>
    <row r="16" spans="1:13">
      <c r="A16" s="2978" t="s">
        <v>3243</v>
      </c>
      <c r="B16" s="2979">
        <f t="shared" si="0"/>
        <v>10026.61</v>
      </c>
      <c r="C16" s="2979">
        <v>2734.53</v>
      </c>
      <c r="D16" s="2979">
        <v>7292.08</v>
      </c>
      <c r="E16" s="2979">
        <v>911.52</v>
      </c>
      <c r="F16" s="2979">
        <v>205</v>
      </c>
      <c r="G16" s="2979">
        <v>205</v>
      </c>
      <c r="H16" s="2979">
        <v>878.29</v>
      </c>
      <c r="I16" s="2979">
        <v>878.29</v>
      </c>
      <c r="J16" s="2980"/>
      <c r="L16" s="2981"/>
    </row>
    <row r="17" spans="1:11" ht="13.5" thickBot="1">
      <c r="A17" s="2982" t="s">
        <v>3244</v>
      </c>
      <c r="B17" s="2983">
        <f t="shared" ref="B17:I17" si="1">SUM(B5:B16)</f>
        <v>147962.53999999998</v>
      </c>
      <c r="C17" s="2983">
        <f t="shared" si="1"/>
        <v>40353.419999999991</v>
      </c>
      <c r="D17" s="2983">
        <f t="shared" si="1"/>
        <v>107609.12000000001</v>
      </c>
      <c r="E17" s="2983">
        <f t="shared" si="1"/>
        <v>13451.180000000002</v>
      </c>
      <c r="F17" s="2983">
        <f t="shared" si="1"/>
        <v>6906.45</v>
      </c>
      <c r="G17" s="2983">
        <f t="shared" si="1"/>
        <v>13963.08</v>
      </c>
      <c r="H17" s="2983">
        <f t="shared" si="1"/>
        <v>11327.470000000001</v>
      </c>
      <c r="I17" s="2983">
        <f t="shared" si="1"/>
        <v>12788.080000000002</v>
      </c>
      <c r="J17" s="2983">
        <f>C216+C218</f>
        <v>16484</v>
      </c>
    </row>
    <row r="18" spans="1:11" ht="13.5" thickTop="1">
      <c r="A18" s="2971">
        <f>四区抵押物清单!H15</f>
        <v>118791.89</v>
      </c>
      <c r="B18" s="2984">
        <f>B17-A18</f>
        <v>29170.64999999998</v>
      </c>
      <c r="K18" s="2985"/>
    </row>
    <row r="19" spans="1:11" ht="24" customHeight="1">
      <c r="A19" s="3219" t="s">
        <v>3245</v>
      </c>
      <c r="B19" s="3219"/>
      <c r="C19" s="3219"/>
      <c r="D19" s="3219"/>
      <c r="E19" s="3219"/>
      <c r="F19" s="2986"/>
      <c r="G19" s="2986"/>
      <c r="H19" s="2987"/>
      <c r="I19" s="2988">
        <f>B17*4.32/A18</f>
        <v>5.3808233272490229</v>
      </c>
      <c r="J19" s="2989"/>
      <c r="K19" s="2985"/>
    </row>
    <row r="20" spans="1:11" ht="49.5">
      <c r="A20" s="2990" t="s">
        <v>3246</v>
      </c>
      <c r="B20" s="2991" t="s">
        <v>3247</v>
      </c>
      <c r="C20" s="2992" t="s">
        <v>3248</v>
      </c>
      <c r="D20" s="2992" t="s">
        <v>3249</v>
      </c>
      <c r="E20" s="2990" t="s">
        <v>3250</v>
      </c>
      <c r="F20" s="2990" t="s">
        <v>3251</v>
      </c>
      <c r="G20" s="2993"/>
      <c r="H20" s="2994"/>
      <c r="I20" s="2994"/>
      <c r="K20" s="2985"/>
    </row>
    <row r="21" spans="1:11">
      <c r="B21" s="2995"/>
      <c r="C21" s="2996">
        <v>147962.54</v>
      </c>
      <c r="D21" s="2996"/>
      <c r="E21" s="2996"/>
      <c r="F21" s="2996">
        <v>53804.56</v>
      </c>
      <c r="G21" s="2997"/>
      <c r="H21" s="2994"/>
      <c r="I21" s="2994"/>
      <c r="K21" s="2985"/>
    </row>
    <row r="22" spans="1:11">
      <c r="A22" s="3208" t="s">
        <v>3252</v>
      </c>
      <c r="B22" s="2998" t="s">
        <v>3253</v>
      </c>
      <c r="C22" s="2999">
        <v>1364.76</v>
      </c>
      <c r="D22" s="3000"/>
      <c r="E22" s="3001"/>
      <c r="F22" s="3002">
        <v>1364.76</v>
      </c>
      <c r="G22" s="3003">
        <v>4</v>
      </c>
      <c r="H22" s="3004">
        <f>G22*C22*365</f>
        <v>1992549.6</v>
      </c>
      <c r="I22" s="3004"/>
    </row>
    <row r="23" spans="1:11">
      <c r="A23" s="3209"/>
      <c r="B23" s="2998" t="s">
        <v>3254</v>
      </c>
      <c r="C23" s="2999">
        <v>1364.76</v>
      </c>
      <c r="D23" s="3001">
        <v>1330.78</v>
      </c>
      <c r="E23" s="3001" t="s">
        <v>3255</v>
      </c>
      <c r="F23" s="3002"/>
      <c r="G23" s="3003">
        <v>4.5</v>
      </c>
      <c r="H23" s="3004">
        <f t="shared" ref="H23:H32" si="2">G23*C23*365</f>
        <v>2241618.2999999998</v>
      </c>
      <c r="I23" s="3005"/>
      <c r="J23" s="2971">
        <v>8.5</v>
      </c>
      <c r="K23" s="2984">
        <f>J23*365*D23</f>
        <v>4128744.9499999997</v>
      </c>
    </row>
    <row r="24" spans="1:11">
      <c r="A24" s="3209"/>
      <c r="B24" s="2998" t="s">
        <v>3256</v>
      </c>
      <c r="C24" s="2999">
        <v>1364.76</v>
      </c>
      <c r="D24" s="3001"/>
      <c r="E24" s="3001"/>
      <c r="F24" s="3002">
        <v>1364.76</v>
      </c>
      <c r="G24" s="3003">
        <v>4</v>
      </c>
      <c r="H24" s="3004">
        <f t="shared" si="2"/>
        <v>1992549.6</v>
      </c>
    </row>
    <row r="25" spans="1:11">
      <c r="A25" s="3209"/>
      <c r="B25" s="2998" t="s">
        <v>3257</v>
      </c>
      <c r="C25" s="2999">
        <v>1364.76</v>
      </c>
      <c r="D25" s="3001">
        <v>1330.78</v>
      </c>
      <c r="E25" s="3001" t="s">
        <v>3255</v>
      </c>
      <c r="F25" s="3002"/>
      <c r="G25" s="3003">
        <v>4.5</v>
      </c>
      <c r="H25" s="3004">
        <f t="shared" si="2"/>
        <v>2241618.2999999998</v>
      </c>
      <c r="J25" s="2971">
        <v>8.5</v>
      </c>
      <c r="K25" s="2984">
        <f>J25*365*D25</f>
        <v>4128744.9499999997</v>
      </c>
    </row>
    <row r="26" spans="1:11">
      <c r="A26" s="3209"/>
      <c r="B26" s="2998" t="s">
        <v>3258</v>
      </c>
      <c r="C26" s="2999">
        <v>1364.76</v>
      </c>
      <c r="D26" s="3001"/>
      <c r="E26" s="3001"/>
      <c r="F26" s="3002">
        <v>1364.76</v>
      </c>
      <c r="G26" s="3003">
        <v>4</v>
      </c>
      <c r="H26" s="3004">
        <f t="shared" si="2"/>
        <v>1992549.6</v>
      </c>
    </row>
    <row r="27" spans="1:11">
      <c r="A27" s="3209"/>
      <c r="B27" s="2998">
        <v>7</v>
      </c>
      <c r="C27" s="2999">
        <v>1364.76</v>
      </c>
      <c r="D27" s="3001">
        <v>1330.78</v>
      </c>
      <c r="E27" s="3001" t="s">
        <v>3255</v>
      </c>
      <c r="F27" s="3002"/>
      <c r="G27" s="3003">
        <v>4.5</v>
      </c>
      <c r="H27" s="3004">
        <f t="shared" si="2"/>
        <v>2241618.2999999998</v>
      </c>
      <c r="J27" s="2971">
        <v>8.5</v>
      </c>
      <c r="K27" s="2984">
        <f>J27*365*D27</f>
        <v>4128744.9499999997</v>
      </c>
    </row>
    <row r="28" spans="1:11">
      <c r="A28" s="3209"/>
      <c r="B28" s="2998" t="s">
        <v>3259</v>
      </c>
      <c r="C28" s="3001">
        <v>1364.76</v>
      </c>
      <c r="D28" s="3001">
        <v>1364.76</v>
      </c>
      <c r="E28" s="3001"/>
      <c r="F28" s="3002"/>
      <c r="G28" s="3003">
        <v>4</v>
      </c>
      <c r="H28" s="3004">
        <f t="shared" si="2"/>
        <v>1992549.6</v>
      </c>
    </row>
    <row r="29" spans="1:11">
      <c r="A29" s="3209"/>
      <c r="B29" s="2998" t="s">
        <v>3260</v>
      </c>
      <c r="C29" s="3001">
        <v>1364.76</v>
      </c>
      <c r="D29" s="3001">
        <v>1364.76</v>
      </c>
      <c r="E29" s="3001" t="s">
        <v>3261</v>
      </c>
      <c r="F29" s="3002"/>
      <c r="G29" s="3003">
        <v>4.5</v>
      </c>
      <c r="H29" s="3004">
        <f t="shared" si="2"/>
        <v>2241618.2999999998</v>
      </c>
      <c r="J29" s="2971">
        <v>4.5</v>
      </c>
      <c r="K29" s="2984">
        <f t="shared" ref="K29:K32" si="3">J29*365*D29</f>
        <v>2241618.2999999998</v>
      </c>
    </row>
    <row r="30" spans="1:11">
      <c r="A30" s="3209"/>
      <c r="B30" s="2998">
        <v>5</v>
      </c>
      <c r="C30" s="2999">
        <v>1364.76</v>
      </c>
      <c r="D30" s="3001">
        <v>1364.76</v>
      </c>
      <c r="E30" s="3001"/>
      <c r="F30" s="3002"/>
      <c r="G30" s="3003">
        <v>4.5</v>
      </c>
      <c r="H30" s="3004">
        <f t="shared" si="2"/>
        <v>2241618.2999999998</v>
      </c>
      <c r="J30" s="2971">
        <v>4.5</v>
      </c>
      <c r="K30" s="2984">
        <f t="shared" si="3"/>
        <v>2241618.2999999998</v>
      </c>
    </row>
    <row r="31" spans="1:11">
      <c r="A31" s="3209"/>
      <c r="B31" s="2998">
        <v>3</v>
      </c>
      <c r="C31" s="2999">
        <v>1364.76</v>
      </c>
      <c r="D31" s="3001">
        <v>1364.76</v>
      </c>
      <c r="E31" s="3001"/>
      <c r="F31" s="3002"/>
      <c r="G31" s="3003">
        <v>4.5</v>
      </c>
      <c r="H31" s="3004">
        <f t="shared" si="2"/>
        <v>2241618.2999999998</v>
      </c>
      <c r="J31" s="2971">
        <v>4.5</v>
      </c>
      <c r="K31" s="2984">
        <f t="shared" si="3"/>
        <v>2241618.2999999998</v>
      </c>
    </row>
    <row r="32" spans="1:11">
      <c r="A32" s="3220"/>
      <c r="B32" s="2998">
        <v>2</v>
      </c>
      <c r="C32" s="3001">
        <v>1364.76</v>
      </c>
      <c r="D32" s="3001">
        <v>1364.76</v>
      </c>
      <c r="E32" s="3001"/>
      <c r="F32" s="3002"/>
      <c r="G32" s="3003">
        <v>4.5</v>
      </c>
      <c r="H32" s="3004">
        <f t="shared" si="2"/>
        <v>2241618.2999999998</v>
      </c>
      <c r="J32" s="2971">
        <v>4.5</v>
      </c>
      <c r="K32" s="2984">
        <f t="shared" si="3"/>
        <v>2241618.2999999998</v>
      </c>
    </row>
    <row r="33" spans="1:11">
      <c r="A33" s="3006" t="s">
        <v>3262</v>
      </c>
      <c r="B33" s="3007"/>
      <c r="C33" s="3008">
        <f>SUM(C22:C32)</f>
        <v>15012.36</v>
      </c>
      <c r="D33" s="3008">
        <f>SUM(D22:D32)</f>
        <v>10816.140000000001</v>
      </c>
      <c r="E33" s="3008">
        <f>SUM(E22:E32)</f>
        <v>0</v>
      </c>
      <c r="F33" s="3001">
        <v>4094.28</v>
      </c>
      <c r="G33" s="3009"/>
      <c r="H33" s="3010">
        <f>SUM(H22:H32)</f>
        <v>23661526.5</v>
      </c>
      <c r="K33" s="2971">
        <f>SUM(K22:K32)</f>
        <v>21352708.050000001</v>
      </c>
    </row>
    <row r="34" spans="1:11">
      <c r="A34" s="3208" t="s">
        <v>3263</v>
      </c>
      <c r="B34" s="2998" t="s">
        <v>3264</v>
      </c>
      <c r="C34" s="3011">
        <v>1152.56</v>
      </c>
      <c r="D34" s="3001">
        <v>1152.56</v>
      </c>
      <c r="E34" s="3011"/>
      <c r="F34" s="3002">
        <v>1152.56</v>
      </c>
      <c r="G34" s="3003">
        <v>4</v>
      </c>
      <c r="H34" s="3004">
        <f>G34*C34*365</f>
        <v>1682737.5999999999</v>
      </c>
    </row>
    <row r="35" spans="1:11">
      <c r="A35" s="3209"/>
      <c r="B35" s="2998" t="s">
        <v>3254</v>
      </c>
      <c r="C35" s="3011">
        <v>1152.56</v>
      </c>
      <c r="D35" s="3001">
        <v>1152.56</v>
      </c>
      <c r="E35" s="3011"/>
      <c r="F35" s="3002"/>
      <c r="G35" s="3003">
        <v>4.5</v>
      </c>
      <c r="H35" s="3004">
        <f t="shared" ref="H35:H44" si="4">G35*C35*365</f>
        <v>1893079.7999999998</v>
      </c>
      <c r="J35" s="2971">
        <v>8.5</v>
      </c>
      <c r="K35" s="2984">
        <f>J35*365*D35</f>
        <v>3575817.4</v>
      </c>
    </row>
    <row r="36" spans="1:11">
      <c r="A36" s="3209"/>
      <c r="B36" s="2998" t="s">
        <v>3265</v>
      </c>
      <c r="C36" s="3011">
        <v>1152.56</v>
      </c>
      <c r="D36" s="3001">
        <v>1152.56</v>
      </c>
      <c r="E36" s="3011"/>
      <c r="F36" s="3002">
        <v>1152.56</v>
      </c>
      <c r="G36" s="3003">
        <v>4</v>
      </c>
      <c r="H36" s="3004">
        <f t="shared" si="4"/>
        <v>1682737.5999999999</v>
      </c>
    </row>
    <row r="37" spans="1:11">
      <c r="A37" s="3209"/>
      <c r="B37" s="2998" t="s">
        <v>3257</v>
      </c>
      <c r="C37" s="3011">
        <v>1152.56</v>
      </c>
      <c r="D37" s="3001">
        <v>1152.56</v>
      </c>
      <c r="E37" s="3011"/>
      <c r="F37" s="3002"/>
      <c r="G37" s="3003">
        <v>4.5</v>
      </c>
      <c r="H37" s="3004">
        <f t="shared" si="4"/>
        <v>1893079.7999999998</v>
      </c>
      <c r="J37" s="2971">
        <v>8.5</v>
      </c>
      <c r="K37" s="2984">
        <f>J37*365*D37</f>
        <v>3575817.4</v>
      </c>
    </row>
    <row r="38" spans="1:11">
      <c r="A38" s="3209"/>
      <c r="B38" s="2998" t="s">
        <v>3266</v>
      </c>
      <c r="C38" s="3011">
        <v>1152.56</v>
      </c>
      <c r="D38" s="3001">
        <v>1152.44</v>
      </c>
      <c r="E38" s="3011"/>
      <c r="F38" s="3002">
        <v>1152.56</v>
      </c>
      <c r="G38" s="3003">
        <v>4</v>
      </c>
      <c r="H38" s="3004">
        <f t="shared" si="4"/>
        <v>1682737.5999999999</v>
      </c>
    </row>
    <row r="39" spans="1:11">
      <c r="A39" s="3209"/>
      <c r="B39" s="2998" t="s">
        <v>3267</v>
      </c>
      <c r="C39" s="3011">
        <v>1152.56</v>
      </c>
      <c r="D39" s="3001">
        <v>1152.56</v>
      </c>
      <c r="E39" s="3011"/>
      <c r="F39" s="3002"/>
      <c r="G39" s="3003">
        <v>4.5</v>
      </c>
      <c r="H39" s="3004">
        <f t="shared" si="4"/>
        <v>1893079.7999999998</v>
      </c>
      <c r="J39" s="2971">
        <v>8.5</v>
      </c>
      <c r="K39" s="2984">
        <f>J39*365*D39</f>
        <v>3575817.4</v>
      </c>
    </row>
    <row r="40" spans="1:11">
      <c r="A40" s="3209"/>
      <c r="B40" s="2998" t="s">
        <v>3268</v>
      </c>
      <c r="C40" s="3011">
        <v>1152.56</v>
      </c>
      <c r="D40" s="3001">
        <v>1152.56</v>
      </c>
      <c r="E40" s="3011"/>
      <c r="F40" s="3002">
        <v>1152.56</v>
      </c>
      <c r="G40" s="3003">
        <v>4</v>
      </c>
      <c r="H40" s="3004">
        <f t="shared" si="4"/>
        <v>1682737.5999999999</v>
      </c>
    </row>
    <row r="41" spans="1:11">
      <c r="A41" s="3209"/>
      <c r="B41" s="2998" t="s">
        <v>3260</v>
      </c>
      <c r="C41" s="3011">
        <v>1152.56</v>
      </c>
      <c r="D41" s="3001">
        <v>1152.56</v>
      </c>
      <c r="E41" s="3011"/>
      <c r="F41" s="3002"/>
      <c r="G41" s="3003">
        <v>4.5</v>
      </c>
      <c r="H41" s="3004">
        <f t="shared" si="4"/>
        <v>1893079.7999999998</v>
      </c>
      <c r="J41" s="2971">
        <v>4.5</v>
      </c>
      <c r="K41" s="2984">
        <f t="shared" ref="K41:K44" si="5">J41*365*D41</f>
        <v>1893079.7999999998</v>
      </c>
    </row>
    <row r="42" spans="1:11">
      <c r="A42" s="3209"/>
      <c r="B42" s="2998" t="s">
        <v>3269</v>
      </c>
      <c r="C42" s="3011">
        <v>1152.56</v>
      </c>
      <c r="D42" s="3001">
        <v>1152.56</v>
      </c>
      <c r="E42" s="3011"/>
      <c r="F42" s="3002"/>
      <c r="G42" s="3003">
        <v>4.5</v>
      </c>
      <c r="H42" s="3004">
        <f t="shared" si="4"/>
        <v>1893079.7999999998</v>
      </c>
      <c r="J42" s="2971">
        <v>4.5</v>
      </c>
      <c r="K42" s="2984">
        <f t="shared" si="5"/>
        <v>1893079.7999999998</v>
      </c>
    </row>
    <row r="43" spans="1:11">
      <c r="A43" s="3209"/>
      <c r="B43" s="2998" t="s">
        <v>3270</v>
      </c>
      <c r="C43" s="3011">
        <v>1152.56</v>
      </c>
      <c r="D43" s="3001">
        <v>1152.56</v>
      </c>
      <c r="E43" s="3011"/>
      <c r="F43" s="3002"/>
      <c r="G43" s="3003">
        <v>4.5</v>
      </c>
      <c r="H43" s="3004">
        <f t="shared" si="4"/>
        <v>1893079.7999999998</v>
      </c>
      <c r="J43" s="2971">
        <v>4.5</v>
      </c>
      <c r="K43" s="2984">
        <f t="shared" si="5"/>
        <v>1893079.7999999998</v>
      </c>
    </row>
    <row r="44" spans="1:11">
      <c r="A44" s="3209"/>
      <c r="B44" s="3012" t="s">
        <v>3271</v>
      </c>
      <c r="C44" s="3011">
        <v>1152.56</v>
      </c>
      <c r="D44" s="3001">
        <v>1152.56</v>
      </c>
      <c r="E44" s="3011"/>
      <c r="F44" s="3002"/>
      <c r="G44" s="3003">
        <v>4.5</v>
      </c>
      <c r="H44" s="3004">
        <f t="shared" si="4"/>
        <v>1893079.7999999998</v>
      </c>
      <c r="J44" s="2971">
        <v>4.5</v>
      </c>
      <c r="K44" s="2984">
        <f t="shared" si="5"/>
        <v>1893079.7999999998</v>
      </c>
    </row>
    <row r="45" spans="1:11">
      <c r="A45" s="3006" t="s">
        <v>3262</v>
      </c>
      <c r="B45" s="2998"/>
      <c r="C45" s="3001">
        <f>SUM(C34:C44)</f>
        <v>12678.159999999996</v>
      </c>
      <c r="D45" s="3001">
        <f>SUM(D34:D44)</f>
        <v>12678.039999999997</v>
      </c>
      <c r="E45" s="3001">
        <f>SUM(E34:E44)</f>
        <v>0</v>
      </c>
      <c r="F45" s="3001">
        <v>4610.24</v>
      </c>
      <c r="G45" s="3009"/>
      <c r="H45" s="3010">
        <f>SUM(H34:H44)</f>
        <v>19982509</v>
      </c>
      <c r="K45" s="2971">
        <f>SUM(K34:K44)</f>
        <v>18299771.400000002</v>
      </c>
    </row>
    <row r="46" spans="1:11">
      <c r="A46" s="3208" t="s">
        <v>3272</v>
      </c>
      <c r="B46" s="2998" t="s">
        <v>3264</v>
      </c>
      <c r="C46" s="3011">
        <v>1152.56</v>
      </c>
      <c r="D46" s="3001">
        <v>1117.75</v>
      </c>
      <c r="E46" s="3001"/>
      <c r="F46" s="3002">
        <v>1152.56</v>
      </c>
      <c r="G46" s="3003">
        <v>4</v>
      </c>
      <c r="H46" s="3004">
        <f>G46*C46*365</f>
        <v>1682737.5999999999</v>
      </c>
    </row>
    <row r="47" spans="1:11">
      <c r="A47" s="3209"/>
      <c r="B47" s="2998" t="s">
        <v>3254</v>
      </c>
      <c r="C47" s="3011">
        <v>1152.56</v>
      </c>
      <c r="D47" s="3001">
        <v>1117.75</v>
      </c>
      <c r="E47" s="3001"/>
      <c r="F47" s="3002"/>
      <c r="G47" s="3003">
        <v>4.5</v>
      </c>
      <c r="H47" s="3004">
        <f t="shared" ref="H47:H56" si="6">G47*C47*365</f>
        <v>1893079.7999999998</v>
      </c>
      <c r="J47" s="2971">
        <v>8.5</v>
      </c>
      <c r="K47" s="2984">
        <f>J47*365*D47</f>
        <v>3467819.375</v>
      </c>
    </row>
    <row r="48" spans="1:11">
      <c r="A48" s="3209"/>
      <c r="B48" s="3012" t="s">
        <v>3265</v>
      </c>
      <c r="C48" s="3011">
        <v>1152.56</v>
      </c>
      <c r="D48" s="3001">
        <v>1117.75</v>
      </c>
      <c r="E48" s="3001"/>
      <c r="F48" s="3002">
        <v>1152.56</v>
      </c>
      <c r="G48" s="3003">
        <v>4</v>
      </c>
      <c r="H48" s="3004">
        <f t="shared" si="6"/>
        <v>1682737.5999999999</v>
      </c>
    </row>
    <row r="49" spans="1:11">
      <c r="A49" s="3209"/>
      <c r="B49" s="2998">
        <v>8</v>
      </c>
      <c r="C49" s="3011">
        <v>1152.56</v>
      </c>
      <c r="D49" s="3001">
        <v>1117.75</v>
      </c>
      <c r="E49" s="3001"/>
      <c r="F49" s="3002"/>
      <c r="G49" s="3003">
        <v>4.5</v>
      </c>
      <c r="H49" s="3004">
        <f t="shared" si="6"/>
        <v>1893079.7999999998</v>
      </c>
      <c r="J49" s="2971">
        <v>8.5</v>
      </c>
      <c r="K49" s="2984">
        <f>J49*365*D49</f>
        <v>3467819.375</v>
      </c>
    </row>
    <row r="50" spans="1:11">
      <c r="A50" s="3209"/>
      <c r="B50" s="2998" t="s">
        <v>3266</v>
      </c>
      <c r="C50" s="3011">
        <v>1152.56</v>
      </c>
      <c r="D50" s="3001">
        <v>1152.6300000000001</v>
      </c>
      <c r="E50" s="3001"/>
      <c r="F50" s="3002">
        <v>1152.56</v>
      </c>
      <c r="G50" s="3003">
        <v>4</v>
      </c>
      <c r="H50" s="3004">
        <f t="shared" si="6"/>
        <v>1682737.5999999999</v>
      </c>
    </row>
    <row r="51" spans="1:11">
      <c r="A51" s="3209"/>
      <c r="B51" s="2998" t="s">
        <v>3267</v>
      </c>
      <c r="C51" s="3011">
        <v>1152.56</v>
      </c>
      <c r="D51" s="3001">
        <v>1152.56</v>
      </c>
      <c r="E51" s="3001"/>
      <c r="F51" s="3002"/>
      <c r="G51" s="3003">
        <v>4.5</v>
      </c>
      <c r="H51" s="3004">
        <f t="shared" si="6"/>
        <v>1893079.7999999998</v>
      </c>
      <c r="J51" s="2971">
        <v>8.5</v>
      </c>
      <c r="K51" s="2984">
        <f>J51*365*D51</f>
        <v>3575817.4</v>
      </c>
    </row>
    <row r="52" spans="1:11">
      <c r="A52" s="3209"/>
      <c r="B52" s="2998" t="s">
        <v>3268</v>
      </c>
      <c r="C52" s="3011">
        <v>1152.56</v>
      </c>
      <c r="D52" s="3001">
        <v>1132.55</v>
      </c>
      <c r="E52" s="3001"/>
      <c r="F52" s="3002">
        <v>1152.56</v>
      </c>
      <c r="G52" s="3003">
        <v>4</v>
      </c>
      <c r="H52" s="3004">
        <f t="shared" si="6"/>
        <v>1682737.5999999999</v>
      </c>
    </row>
    <row r="53" spans="1:11">
      <c r="A53" s="3209"/>
      <c r="B53" s="2998" t="s">
        <v>3260</v>
      </c>
      <c r="C53" s="3011">
        <v>1152.56</v>
      </c>
      <c r="D53" s="3001">
        <v>1153.26</v>
      </c>
      <c r="E53" s="3001"/>
      <c r="F53" s="3002"/>
      <c r="G53" s="3003">
        <v>4.5</v>
      </c>
      <c r="H53" s="3004">
        <f t="shared" si="6"/>
        <v>1893079.7999999998</v>
      </c>
      <c r="J53" s="2971">
        <v>4.5</v>
      </c>
      <c r="K53" s="2984">
        <f t="shared" ref="K53:K56" si="7">J53*365*D53</f>
        <v>1894229.55</v>
      </c>
    </row>
    <row r="54" spans="1:11">
      <c r="A54" s="3209"/>
      <c r="B54" s="3012">
        <v>5</v>
      </c>
      <c r="C54" s="3011">
        <v>1152.56</v>
      </c>
      <c r="D54" s="3001">
        <v>1149.2</v>
      </c>
      <c r="E54" s="3002"/>
      <c r="F54" s="3002"/>
      <c r="G54" s="3003">
        <v>4.5</v>
      </c>
      <c r="H54" s="3004">
        <f t="shared" si="6"/>
        <v>1893079.7999999998</v>
      </c>
      <c r="J54" s="2971">
        <v>4.5</v>
      </c>
      <c r="K54" s="2984">
        <f t="shared" si="7"/>
        <v>1887561</v>
      </c>
    </row>
    <row r="55" spans="1:11">
      <c r="A55" s="3209"/>
      <c r="B55" s="3012">
        <v>3</v>
      </c>
      <c r="C55" s="3011">
        <v>1152.56</v>
      </c>
      <c r="D55" s="3001">
        <v>1135.58</v>
      </c>
      <c r="E55" s="3001"/>
      <c r="F55" s="3002"/>
      <c r="G55" s="3003">
        <v>4.5</v>
      </c>
      <c r="H55" s="3004">
        <f t="shared" si="6"/>
        <v>1893079.7999999998</v>
      </c>
      <c r="J55" s="2971">
        <v>4.5</v>
      </c>
      <c r="K55" s="2984">
        <f t="shared" si="7"/>
        <v>1865190.15</v>
      </c>
    </row>
    <row r="56" spans="1:11">
      <c r="A56" s="3209"/>
      <c r="B56" s="2998">
        <v>2</v>
      </c>
      <c r="C56" s="3011">
        <v>1152.56</v>
      </c>
      <c r="D56" s="3001">
        <v>1152.56</v>
      </c>
      <c r="E56" s="3001"/>
      <c r="F56" s="3002"/>
      <c r="G56" s="3003">
        <v>4.5</v>
      </c>
      <c r="H56" s="3004">
        <f t="shared" si="6"/>
        <v>1893079.7999999998</v>
      </c>
      <c r="J56" s="2971">
        <v>4.5</v>
      </c>
      <c r="K56" s="2984">
        <f t="shared" si="7"/>
        <v>1893079.7999999998</v>
      </c>
    </row>
    <row r="57" spans="1:11">
      <c r="A57" s="3006" t="s">
        <v>3262</v>
      </c>
      <c r="B57" s="2998"/>
      <c r="C57" s="3001">
        <f>SUM(C46:C56)</f>
        <v>12678.159999999996</v>
      </c>
      <c r="D57" s="3001">
        <f>SUM(D46:D56)</f>
        <v>12499.34</v>
      </c>
      <c r="E57" s="3001">
        <f>SUM(E46:E56)</f>
        <v>0</v>
      </c>
      <c r="F57" s="3001">
        <v>4610.24</v>
      </c>
      <c r="G57" s="3009"/>
      <c r="H57" s="3010">
        <f>SUM(H46:H56)</f>
        <v>19982509</v>
      </c>
      <c r="K57" s="2971">
        <f>SUM(K46:K56)</f>
        <v>18051516.650000002</v>
      </c>
    </row>
    <row r="58" spans="1:11">
      <c r="A58" s="3208" t="s">
        <v>3273</v>
      </c>
      <c r="B58" s="2998" t="s">
        <v>3264</v>
      </c>
      <c r="C58" s="2999">
        <v>1152.56</v>
      </c>
      <c r="D58" s="3001">
        <v>1152.56</v>
      </c>
      <c r="E58" s="3001"/>
      <c r="F58" s="3002">
        <v>1152.56</v>
      </c>
      <c r="G58" s="3003">
        <v>4</v>
      </c>
      <c r="H58" s="3004">
        <f>G58*C58*365</f>
        <v>1682737.5999999999</v>
      </c>
    </row>
    <row r="59" spans="1:11">
      <c r="A59" s="3209"/>
      <c r="B59" s="2998" t="s">
        <v>3254</v>
      </c>
      <c r="C59" s="2999">
        <v>1152.56</v>
      </c>
      <c r="D59" s="3001">
        <v>1117.74</v>
      </c>
      <c r="E59" s="3001"/>
      <c r="F59" s="3002"/>
      <c r="G59" s="3003">
        <v>4.5</v>
      </c>
      <c r="H59" s="3004">
        <f t="shared" ref="H59:H68" si="8">G59*C59*365</f>
        <v>1893079.7999999998</v>
      </c>
      <c r="J59" s="2971">
        <v>8.5</v>
      </c>
      <c r="K59" s="2984">
        <f>J59*365*D59</f>
        <v>3467788.35</v>
      </c>
    </row>
    <row r="60" spans="1:11">
      <c r="A60" s="3209"/>
      <c r="B60" s="3012" t="s">
        <v>3265</v>
      </c>
      <c r="C60" s="2999">
        <v>1152.56</v>
      </c>
      <c r="D60" s="3001">
        <v>1135.1500000000001</v>
      </c>
      <c r="E60" s="3001"/>
      <c r="F60" s="3002">
        <v>1152.56</v>
      </c>
      <c r="G60" s="3003">
        <v>4</v>
      </c>
      <c r="H60" s="3004">
        <f t="shared" si="8"/>
        <v>1682737.5999999999</v>
      </c>
    </row>
    <row r="61" spans="1:11">
      <c r="A61" s="3209"/>
      <c r="B61" s="2998">
        <v>8</v>
      </c>
      <c r="C61" s="2999">
        <v>1152.56</v>
      </c>
      <c r="D61" s="3001">
        <v>1134.1300000000001</v>
      </c>
      <c r="E61" s="3001"/>
      <c r="F61" s="3002"/>
      <c r="G61" s="3003">
        <v>4.5</v>
      </c>
      <c r="H61" s="3004">
        <f t="shared" si="8"/>
        <v>1893079.7999999998</v>
      </c>
      <c r="J61" s="2971">
        <v>8.5</v>
      </c>
      <c r="K61" s="2984">
        <f>J61*365*D61</f>
        <v>3518638.3250000002</v>
      </c>
    </row>
    <row r="62" spans="1:11">
      <c r="A62" s="3209"/>
      <c r="B62" s="2998" t="s">
        <v>3266</v>
      </c>
      <c r="C62" s="2999">
        <v>1152.56</v>
      </c>
      <c r="D62" s="3001">
        <v>1117.75</v>
      </c>
      <c r="E62" s="3001"/>
      <c r="F62" s="3002">
        <v>1152.56</v>
      </c>
      <c r="G62" s="3003">
        <v>4</v>
      </c>
      <c r="H62" s="3004">
        <f t="shared" si="8"/>
        <v>1682737.5999999999</v>
      </c>
    </row>
    <row r="63" spans="1:11">
      <c r="A63" s="3209"/>
      <c r="B63" s="2998" t="s">
        <v>3267</v>
      </c>
      <c r="C63" s="2999">
        <v>1152.56</v>
      </c>
      <c r="D63" s="3001">
        <v>1121.0999999999999</v>
      </c>
      <c r="E63" s="3001"/>
      <c r="F63" s="3002"/>
      <c r="G63" s="3003">
        <v>4.5</v>
      </c>
      <c r="H63" s="3004">
        <f t="shared" si="8"/>
        <v>1893079.7999999998</v>
      </c>
      <c r="J63" s="2971">
        <v>8.5</v>
      </c>
      <c r="K63" s="2984">
        <f>J63*365*D63</f>
        <v>3478212.7499999995</v>
      </c>
    </row>
    <row r="64" spans="1:11">
      <c r="A64" s="3209"/>
      <c r="B64" s="2998" t="s">
        <v>3268</v>
      </c>
      <c r="C64" s="2999">
        <v>1152.56</v>
      </c>
      <c r="D64" s="3001"/>
      <c r="E64" s="3001"/>
      <c r="F64" s="3002">
        <v>1152.56</v>
      </c>
      <c r="G64" s="3003">
        <v>4</v>
      </c>
      <c r="H64" s="3004">
        <f t="shared" si="8"/>
        <v>1682737.5999999999</v>
      </c>
    </row>
    <row r="65" spans="1:11">
      <c r="A65" s="3209"/>
      <c r="B65" s="3001" t="s">
        <v>3260</v>
      </c>
      <c r="C65" s="2999">
        <v>1152.56</v>
      </c>
      <c r="D65" s="3001">
        <v>1117.75</v>
      </c>
      <c r="E65" s="3013" t="s">
        <v>3255</v>
      </c>
      <c r="F65" s="3002"/>
      <c r="G65" s="3003">
        <v>4.5</v>
      </c>
      <c r="H65" s="3004">
        <f t="shared" si="8"/>
        <v>1893079.7999999998</v>
      </c>
      <c r="J65" s="2971">
        <v>4.5</v>
      </c>
      <c r="K65" s="2984">
        <f t="shared" ref="K65:K68" si="9">J65*365*D65</f>
        <v>1835904.375</v>
      </c>
    </row>
    <row r="66" spans="1:11">
      <c r="A66" s="3209"/>
      <c r="B66" s="3012">
        <v>5</v>
      </c>
      <c r="C66" s="2999">
        <v>1152.56</v>
      </c>
      <c r="D66" s="3001">
        <v>1117.75</v>
      </c>
      <c r="E66" s="3013"/>
      <c r="F66" s="3002"/>
      <c r="G66" s="3003">
        <v>4.5</v>
      </c>
      <c r="H66" s="3004">
        <f t="shared" si="8"/>
        <v>1893079.7999999998</v>
      </c>
      <c r="J66" s="2971">
        <v>4.5</v>
      </c>
      <c r="K66" s="2984">
        <f t="shared" si="9"/>
        <v>1835904.375</v>
      </c>
    </row>
    <row r="67" spans="1:11">
      <c r="A67" s="3209"/>
      <c r="B67" s="3012">
        <v>3</v>
      </c>
      <c r="C67" s="2999">
        <v>1152.56</v>
      </c>
      <c r="D67" s="3001">
        <v>1117.75</v>
      </c>
      <c r="E67" s="3013"/>
      <c r="F67" s="3002"/>
      <c r="G67" s="3003">
        <v>4.5</v>
      </c>
      <c r="H67" s="3004">
        <f t="shared" si="8"/>
        <v>1893079.7999999998</v>
      </c>
      <c r="J67" s="2971">
        <v>4.5</v>
      </c>
      <c r="K67" s="2984">
        <f t="shared" si="9"/>
        <v>1835904.375</v>
      </c>
    </row>
    <row r="68" spans="1:11">
      <c r="A68" s="3209"/>
      <c r="B68" s="2998">
        <v>2</v>
      </c>
      <c r="C68" s="2999">
        <v>1152.56</v>
      </c>
      <c r="D68" s="3001">
        <v>1117.75</v>
      </c>
      <c r="E68" s="3013"/>
      <c r="F68" s="3002"/>
      <c r="G68" s="3003">
        <v>4.5</v>
      </c>
      <c r="H68" s="3004">
        <f t="shared" si="8"/>
        <v>1893079.7999999998</v>
      </c>
      <c r="J68" s="2971">
        <v>4.5</v>
      </c>
      <c r="K68" s="2984">
        <f t="shared" si="9"/>
        <v>1835904.375</v>
      </c>
    </row>
    <row r="69" spans="1:11">
      <c r="A69" s="3006" t="s">
        <v>3262</v>
      </c>
      <c r="B69" s="2998"/>
      <c r="C69" s="3001">
        <f>SUM(C58:C68)</f>
        <v>12678.159999999996</v>
      </c>
      <c r="D69" s="3001">
        <f>SUM(D58:D68)</f>
        <v>11249.43</v>
      </c>
      <c r="E69" s="3001">
        <f>SUM(E58:E68)</f>
        <v>0</v>
      </c>
      <c r="F69" s="3001">
        <v>4610.24</v>
      </c>
      <c r="G69" s="3009"/>
      <c r="H69" s="3010">
        <f>SUM(H58:H68)</f>
        <v>19982509</v>
      </c>
      <c r="K69" s="2971">
        <f>SUM(K58:K68)</f>
        <v>17808256.925000001</v>
      </c>
    </row>
    <row r="70" spans="1:11">
      <c r="A70" s="3208" t="s">
        <v>3274</v>
      </c>
      <c r="B70" s="2998" t="s">
        <v>3264</v>
      </c>
      <c r="C70" s="2999">
        <f>C22</f>
        <v>1364.76</v>
      </c>
      <c r="D70" s="3001"/>
      <c r="E70" s="2998"/>
      <c r="F70" s="3002">
        <v>1364.76</v>
      </c>
      <c r="G70" s="3003">
        <v>4</v>
      </c>
      <c r="H70" s="3004">
        <f>G70*C70*365</f>
        <v>1992549.6</v>
      </c>
    </row>
    <row r="71" spans="1:11">
      <c r="A71" s="3209"/>
      <c r="B71" s="2998" t="s">
        <v>3254</v>
      </c>
      <c r="C71" s="2999">
        <f>C70</f>
        <v>1364.76</v>
      </c>
      <c r="D71" s="3001">
        <v>1330.78</v>
      </c>
      <c r="E71" s="2998" t="s">
        <v>3275</v>
      </c>
      <c r="F71" s="3002"/>
      <c r="G71" s="3003">
        <v>4.5</v>
      </c>
      <c r="H71" s="3004">
        <f t="shared" ref="H71:H80" si="10">G71*C71*365</f>
        <v>2241618.2999999998</v>
      </c>
      <c r="J71" s="2971">
        <v>8.5</v>
      </c>
      <c r="K71" s="2984">
        <f>J71*365*D71</f>
        <v>4128744.9499999997</v>
      </c>
    </row>
    <row r="72" spans="1:11">
      <c r="A72" s="3209"/>
      <c r="B72" s="2998" t="s">
        <v>3265</v>
      </c>
      <c r="C72" s="2999">
        <f t="shared" ref="C72:C80" si="11">C71</f>
        <v>1364.76</v>
      </c>
      <c r="D72" s="3001"/>
      <c r="E72" s="2998"/>
      <c r="F72" s="3002">
        <v>1364.76</v>
      </c>
      <c r="G72" s="3003">
        <v>4</v>
      </c>
      <c r="H72" s="3004">
        <f t="shared" si="10"/>
        <v>1992549.6</v>
      </c>
    </row>
    <row r="73" spans="1:11">
      <c r="A73" s="3209"/>
      <c r="B73" s="2998">
        <v>8</v>
      </c>
      <c r="C73" s="2999">
        <f t="shared" si="11"/>
        <v>1364.76</v>
      </c>
      <c r="D73" s="3001">
        <v>1330.78</v>
      </c>
      <c r="E73" s="2998" t="s">
        <v>3275</v>
      </c>
      <c r="F73" s="3002"/>
      <c r="G73" s="3003">
        <v>4.5</v>
      </c>
      <c r="H73" s="3004">
        <f t="shared" si="10"/>
        <v>2241618.2999999998</v>
      </c>
      <c r="J73" s="2971">
        <v>8.5</v>
      </c>
      <c r="K73" s="2984">
        <f>J73*365*D73</f>
        <v>4128744.9499999997</v>
      </c>
    </row>
    <row r="74" spans="1:11">
      <c r="A74" s="3209"/>
      <c r="B74" s="2998" t="s">
        <v>3266</v>
      </c>
      <c r="C74" s="2999">
        <f t="shared" si="11"/>
        <v>1364.76</v>
      </c>
      <c r="D74" s="3001"/>
      <c r="E74" s="2998"/>
      <c r="F74" s="3002">
        <v>1364.76</v>
      </c>
      <c r="G74" s="3003">
        <v>4</v>
      </c>
      <c r="H74" s="3004">
        <f t="shared" si="10"/>
        <v>1992549.6</v>
      </c>
    </row>
    <row r="75" spans="1:11">
      <c r="A75" s="3209"/>
      <c r="B75" s="2998" t="s">
        <v>3267</v>
      </c>
      <c r="C75" s="2999">
        <f t="shared" si="11"/>
        <v>1364.76</v>
      </c>
      <c r="D75" s="3001">
        <v>1330.78</v>
      </c>
      <c r="E75" s="2998" t="s">
        <v>3275</v>
      </c>
      <c r="F75" s="3002"/>
      <c r="G75" s="3003">
        <v>4.5</v>
      </c>
      <c r="H75" s="3004">
        <f t="shared" si="10"/>
        <v>2241618.2999999998</v>
      </c>
      <c r="J75" s="2971">
        <v>8.5</v>
      </c>
      <c r="K75" s="2984">
        <f>J75*365*D75</f>
        <v>4128744.9499999997</v>
      </c>
    </row>
    <row r="76" spans="1:11">
      <c r="A76" s="3209"/>
      <c r="B76" s="2998" t="s">
        <v>3268</v>
      </c>
      <c r="C76" s="3001">
        <f t="shared" si="11"/>
        <v>1364.76</v>
      </c>
      <c r="D76" s="3001"/>
      <c r="E76" s="2998"/>
      <c r="F76" s="3002">
        <v>1364.76</v>
      </c>
      <c r="G76" s="3003">
        <v>4</v>
      </c>
      <c r="H76" s="3004">
        <f t="shared" si="10"/>
        <v>1992549.6</v>
      </c>
    </row>
    <row r="77" spans="1:11">
      <c r="A77" s="3209"/>
      <c r="B77" s="2998" t="s">
        <v>3260</v>
      </c>
      <c r="C77" s="3001">
        <f t="shared" si="11"/>
        <v>1364.76</v>
      </c>
      <c r="D77" s="3001">
        <v>1330.78</v>
      </c>
      <c r="E77" s="2998" t="s">
        <v>3275</v>
      </c>
      <c r="F77" s="3002"/>
      <c r="G77" s="3003">
        <v>4.5</v>
      </c>
      <c r="H77" s="3004">
        <f t="shared" si="10"/>
        <v>2241618.2999999998</v>
      </c>
      <c r="J77" s="2971">
        <v>4.5</v>
      </c>
      <c r="K77" s="2984">
        <f t="shared" ref="K77:K80" si="12">J77*365*D77</f>
        <v>2185806.15</v>
      </c>
    </row>
    <row r="78" spans="1:11">
      <c r="A78" s="3209"/>
      <c r="B78" s="3012">
        <v>5</v>
      </c>
      <c r="C78" s="2999">
        <f t="shared" si="11"/>
        <v>1364.76</v>
      </c>
      <c r="D78" s="3001">
        <v>1330.78</v>
      </c>
      <c r="E78" s="3001"/>
      <c r="F78" s="3002"/>
      <c r="G78" s="3003">
        <v>4.5</v>
      </c>
      <c r="H78" s="3004">
        <f t="shared" si="10"/>
        <v>2241618.2999999998</v>
      </c>
      <c r="J78" s="2971">
        <v>4.5</v>
      </c>
      <c r="K78" s="2984">
        <f t="shared" si="12"/>
        <v>2185806.15</v>
      </c>
    </row>
    <row r="79" spans="1:11">
      <c r="A79" s="3209"/>
      <c r="B79" s="3012">
        <v>3</v>
      </c>
      <c r="C79" s="2999">
        <f t="shared" si="11"/>
        <v>1364.76</v>
      </c>
      <c r="D79" s="3001">
        <v>1330.78</v>
      </c>
      <c r="E79" s="3001"/>
      <c r="F79" s="3002"/>
      <c r="G79" s="3003">
        <v>4.5</v>
      </c>
      <c r="H79" s="3004">
        <f t="shared" si="10"/>
        <v>2241618.2999999998</v>
      </c>
      <c r="J79" s="2971">
        <v>4.5</v>
      </c>
      <c r="K79" s="2984">
        <f t="shared" si="12"/>
        <v>2185806.15</v>
      </c>
    </row>
    <row r="80" spans="1:11">
      <c r="A80" s="3209"/>
      <c r="B80" s="2998">
        <v>2</v>
      </c>
      <c r="C80" s="2999">
        <f t="shared" si="11"/>
        <v>1364.76</v>
      </c>
      <c r="D80" s="3001">
        <v>1330.78</v>
      </c>
      <c r="E80" s="3001"/>
      <c r="F80" s="3002"/>
      <c r="G80" s="3003">
        <v>4.5</v>
      </c>
      <c r="H80" s="3004">
        <f t="shared" si="10"/>
        <v>2241618.2999999998</v>
      </c>
      <c r="J80" s="2971">
        <v>4.5</v>
      </c>
      <c r="K80" s="2984">
        <f t="shared" si="12"/>
        <v>2185806.15</v>
      </c>
    </row>
    <row r="81" spans="1:11">
      <c r="A81" s="3006" t="s">
        <v>3262</v>
      </c>
      <c r="B81" s="2998"/>
      <c r="C81" s="3001">
        <f>SUM(C70:C80)</f>
        <v>15012.36</v>
      </c>
      <c r="D81" s="3001">
        <f>SUM(D70:D80)</f>
        <v>9315.4599999999991</v>
      </c>
      <c r="E81" s="3001">
        <f>SUM(E70:E80)</f>
        <v>0</v>
      </c>
      <c r="F81" s="3001">
        <v>5459.04</v>
      </c>
      <c r="G81" s="3009"/>
      <c r="H81" s="3010">
        <f>SUM(H70:H80)</f>
        <v>23661526.5</v>
      </c>
      <c r="K81" s="2971">
        <f>SUM(K70:K80)</f>
        <v>21129459.449999999</v>
      </c>
    </row>
    <row r="82" spans="1:11">
      <c r="A82" s="3208" t="s">
        <v>3276</v>
      </c>
      <c r="B82" s="2998" t="s">
        <v>3264</v>
      </c>
      <c r="C82" s="2999">
        <f>C70</f>
        <v>1364.76</v>
      </c>
      <c r="D82" s="3001">
        <v>1330.78</v>
      </c>
      <c r="E82" s="3001"/>
      <c r="F82" s="3002">
        <v>1364.76</v>
      </c>
      <c r="G82" s="3003">
        <v>4</v>
      </c>
      <c r="H82" s="3004">
        <f>G82*C82*365</f>
        <v>1992549.6</v>
      </c>
    </row>
    <row r="83" spans="1:11">
      <c r="A83" s="3209"/>
      <c r="B83" s="2998">
        <v>9</v>
      </c>
      <c r="C83" s="2999">
        <f>C82</f>
        <v>1364.76</v>
      </c>
      <c r="D83" s="3001">
        <v>1364.76</v>
      </c>
      <c r="E83" s="3001"/>
      <c r="F83" s="3002"/>
      <c r="G83" s="3003">
        <v>4.5</v>
      </c>
      <c r="H83" s="3004">
        <f t="shared" ref="H83:H92" si="13">G83*C83*365</f>
        <v>2241618.2999999998</v>
      </c>
      <c r="J83" s="2971">
        <v>8.5</v>
      </c>
      <c r="K83" s="2984">
        <f>J83*365*D83</f>
        <v>4234167.9000000004</v>
      </c>
    </row>
    <row r="84" spans="1:11">
      <c r="A84" s="3209"/>
      <c r="B84" s="2998" t="s">
        <v>3265</v>
      </c>
      <c r="C84" s="2999">
        <f>C83</f>
        <v>1364.76</v>
      </c>
      <c r="D84" s="3001"/>
      <c r="E84" s="3001"/>
      <c r="F84" s="3002">
        <v>1364.76</v>
      </c>
      <c r="G84" s="3003">
        <v>4</v>
      </c>
      <c r="H84" s="3004">
        <f t="shared" si="13"/>
        <v>1992549.6</v>
      </c>
    </row>
    <row r="85" spans="1:11">
      <c r="A85" s="3209"/>
      <c r="B85" s="2998" t="s">
        <v>3257</v>
      </c>
      <c r="C85" s="2999">
        <f>C84</f>
        <v>1364.76</v>
      </c>
      <c r="D85" s="3001">
        <v>1330.78</v>
      </c>
      <c r="E85" s="3001" t="s">
        <v>3255</v>
      </c>
      <c r="F85" s="3002"/>
      <c r="G85" s="3003">
        <v>4.5</v>
      </c>
      <c r="H85" s="3004">
        <f t="shared" si="13"/>
        <v>2241618.2999999998</v>
      </c>
      <c r="J85" s="2971">
        <v>8.5</v>
      </c>
      <c r="K85" s="2984">
        <f>J85*365*D85</f>
        <v>4128744.9499999997</v>
      </c>
    </row>
    <row r="86" spans="1:11">
      <c r="A86" s="3209"/>
      <c r="B86" s="2998" t="s">
        <v>3266</v>
      </c>
      <c r="C86" s="2999">
        <f>C85</f>
        <v>1364.76</v>
      </c>
      <c r="D86" s="3001"/>
      <c r="E86" s="3001"/>
      <c r="F86" s="3002">
        <v>1364.76</v>
      </c>
      <c r="G86" s="3003">
        <v>4</v>
      </c>
      <c r="H86" s="3004">
        <f t="shared" si="13"/>
        <v>1992549.6</v>
      </c>
    </row>
    <row r="87" spans="1:11">
      <c r="A87" s="3209"/>
      <c r="B87" s="3012">
        <v>7</v>
      </c>
      <c r="C87" s="2999">
        <f>C86</f>
        <v>1364.76</v>
      </c>
      <c r="D87" s="3001">
        <v>1432.48</v>
      </c>
      <c r="E87" s="3001" t="s">
        <v>3255</v>
      </c>
      <c r="F87" s="3002"/>
      <c r="G87" s="3003">
        <v>4.5</v>
      </c>
      <c r="H87" s="3004">
        <f t="shared" si="13"/>
        <v>2241618.2999999998</v>
      </c>
      <c r="J87" s="2971">
        <v>8.5</v>
      </c>
      <c r="K87" s="2984">
        <f>J87*365*D87</f>
        <v>4444269.2</v>
      </c>
    </row>
    <row r="88" spans="1:11">
      <c r="A88" s="3209"/>
      <c r="B88" s="2998" t="s">
        <v>3268</v>
      </c>
      <c r="C88" s="2999">
        <v>1364.76</v>
      </c>
      <c r="D88" s="3001">
        <v>1364.76</v>
      </c>
      <c r="E88" s="3001"/>
      <c r="F88" s="3002">
        <v>1364.76</v>
      </c>
      <c r="G88" s="3003">
        <v>4</v>
      </c>
      <c r="H88" s="3004">
        <f t="shared" si="13"/>
        <v>1992549.6</v>
      </c>
    </row>
    <row r="89" spans="1:11">
      <c r="A89" s="3209"/>
      <c r="B89" s="3012">
        <v>6</v>
      </c>
      <c r="C89" s="2999">
        <v>1364.76</v>
      </c>
      <c r="D89" s="3001">
        <v>1350.21</v>
      </c>
      <c r="E89" s="3001"/>
      <c r="F89" s="3002"/>
      <c r="G89" s="3003">
        <v>4.5</v>
      </c>
      <c r="H89" s="3004">
        <f t="shared" si="13"/>
        <v>2241618.2999999998</v>
      </c>
      <c r="J89" s="2971">
        <v>4.5</v>
      </c>
      <c r="K89" s="2984">
        <f t="shared" ref="K89:K92" si="14">J89*365*D89</f>
        <v>2217719.9250000003</v>
      </c>
    </row>
    <row r="90" spans="1:11">
      <c r="A90" s="3209"/>
      <c r="B90" s="2998">
        <v>5</v>
      </c>
      <c r="C90" s="2999">
        <v>1364.76</v>
      </c>
      <c r="D90" s="3001">
        <v>1330.78</v>
      </c>
      <c r="E90" s="3001"/>
      <c r="F90" s="3002"/>
      <c r="G90" s="3003">
        <v>4.5</v>
      </c>
      <c r="H90" s="3004">
        <f t="shared" si="13"/>
        <v>2241618.2999999998</v>
      </c>
      <c r="J90" s="2971">
        <v>4.5</v>
      </c>
      <c r="K90" s="2984">
        <f t="shared" si="14"/>
        <v>2185806.15</v>
      </c>
    </row>
    <row r="91" spans="1:11">
      <c r="A91" s="3209"/>
      <c r="B91" s="3012">
        <v>3</v>
      </c>
      <c r="C91" s="2999">
        <v>1364.76</v>
      </c>
      <c r="D91" s="3001">
        <v>1330.78</v>
      </c>
      <c r="E91" s="3001"/>
      <c r="F91" s="3002"/>
      <c r="G91" s="3003">
        <v>4.5</v>
      </c>
      <c r="H91" s="3004">
        <f t="shared" si="13"/>
        <v>2241618.2999999998</v>
      </c>
      <c r="J91" s="2971">
        <v>4.5</v>
      </c>
      <c r="K91" s="2984">
        <f t="shared" si="14"/>
        <v>2185806.15</v>
      </c>
    </row>
    <row r="92" spans="1:11">
      <c r="A92" s="3209"/>
      <c r="B92" s="2998">
        <v>2</v>
      </c>
      <c r="C92" s="2999">
        <v>1364.76</v>
      </c>
      <c r="D92" s="3001">
        <v>1330.78</v>
      </c>
      <c r="E92" s="3001"/>
      <c r="F92" s="3002"/>
      <c r="G92" s="3003">
        <v>4.5</v>
      </c>
      <c r="H92" s="3004">
        <f t="shared" si="13"/>
        <v>2241618.2999999998</v>
      </c>
      <c r="J92" s="2971">
        <v>4.5</v>
      </c>
      <c r="K92" s="2984">
        <f t="shared" si="14"/>
        <v>2185806.15</v>
      </c>
    </row>
    <row r="93" spans="1:11">
      <c r="A93" s="3006" t="s">
        <v>3262</v>
      </c>
      <c r="B93" s="2998"/>
      <c r="C93" s="3001">
        <f>SUM(C82:C92)</f>
        <v>15012.36</v>
      </c>
      <c r="D93" s="3001">
        <f>SUM(D82:D92)</f>
        <v>12166.11</v>
      </c>
      <c r="E93" s="3001">
        <f>SUM(E82:E92)</f>
        <v>0</v>
      </c>
      <c r="F93" s="3001">
        <v>5459.04</v>
      </c>
      <c r="G93" s="3009"/>
      <c r="H93" s="3010">
        <f>SUM(H82:H92)</f>
        <v>23661526.5</v>
      </c>
      <c r="K93" s="2971">
        <f>SUM(K82:K92)</f>
        <v>21582320.424999997</v>
      </c>
    </row>
    <row r="94" spans="1:11">
      <c r="A94" s="3208" t="s">
        <v>3277</v>
      </c>
      <c r="B94" s="2998" t="s">
        <v>3264</v>
      </c>
      <c r="C94" s="3001">
        <v>1126.57</v>
      </c>
      <c r="D94" s="3014">
        <v>1126.57</v>
      </c>
      <c r="E94" s="3001"/>
      <c r="F94" s="3002">
        <v>1126.57</v>
      </c>
      <c r="G94" s="3003">
        <v>4</v>
      </c>
      <c r="H94" s="3004">
        <f>G94*C94*365</f>
        <v>1644792.2</v>
      </c>
    </row>
    <row r="95" spans="1:11">
      <c r="A95" s="3209"/>
      <c r="B95" s="2998" t="s">
        <v>3254</v>
      </c>
      <c r="C95" s="3001">
        <v>1126.57</v>
      </c>
      <c r="D95" s="3014">
        <v>1126.57</v>
      </c>
      <c r="E95" s="3001"/>
      <c r="F95" s="3002"/>
      <c r="G95" s="3003">
        <v>4.5</v>
      </c>
      <c r="H95" s="3004">
        <f t="shared" ref="H95:H104" si="15">G95*C95*365</f>
        <v>1850391.2249999999</v>
      </c>
      <c r="J95" s="2971">
        <v>8.5</v>
      </c>
      <c r="K95" s="2984">
        <f>J95*365*D95</f>
        <v>3495183.4249999998</v>
      </c>
    </row>
    <row r="96" spans="1:11">
      <c r="A96" s="3209"/>
      <c r="B96" s="2998" t="s">
        <v>3265</v>
      </c>
      <c r="C96" s="3001">
        <v>1126.57</v>
      </c>
      <c r="D96" s="3014">
        <v>1126.57</v>
      </c>
      <c r="E96" s="3001"/>
      <c r="F96" s="3002">
        <v>1126.57</v>
      </c>
      <c r="G96" s="3003">
        <v>4</v>
      </c>
      <c r="H96" s="3004">
        <f t="shared" si="15"/>
        <v>1644792.2</v>
      </c>
    </row>
    <row r="97" spans="1:11">
      <c r="A97" s="3209"/>
      <c r="B97" s="2998" t="s">
        <v>3257</v>
      </c>
      <c r="C97" s="3001">
        <v>1126.57</v>
      </c>
      <c r="D97" s="3014">
        <v>1126.57</v>
      </c>
      <c r="E97" s="3001"/>
      <c r="F97" s="3002"/>
      <c r="G97" s="3003">
        <v>4.5</v>
      </c>
      <c r="H97" s="3004">
        <f t="shared" si="15"/>
        <v>1850391.2249999999</v>
      </c>
      <c r="J97" s="2971">
        <v>8.5</v>
      </c>
      <c r="K97" s="2984">
        <f>J97*365*D97</f>
        <v>3495183.4249999998</v>
      </c>
    </row>
    <row r="98" spans="1:11">
      <c r="A98" s="3209"/>
      <c r="B98" s="2998" t="s">
        <v>3266</v>
      </c>
      <c r="C98" s="3001">
        <v>1126.57</v>
      </c>
      <c r="D98" s="3014">
        <v>1126.57</v>
      </c>
      <c r="E98" s="3001"/>
      <c r="F98" s="3002">
        <v>1126.57</v>
      </c>
      <c r="G98" s="3003">
        <v>4</v>
      </c>
      <c r="H98" s="3004">
        <f t="shared" si="15"/>
        <v>1644792.2</v>
      </c>
    </row>
    <row r="99" spans="1:11">
      <c r="A99" s="3209"/>
      <c r="B99" s="2998">
        <v>7</v>
      </c>
      <c r="C99" s="3001">
        <v>1126.57</v>
      </c>
      <c r="D99" s="3014">
        <v>1126.57</v>
      </c>
      <c r="E99" s="3001"/>
      <c r="F99" s="3002"/>
      <c r="G99" s="3003">
        <v>4.5</v>
      </c>
      <c r="H99" s="3004">
        <f t="shared" si="15"/>
        <v>1850391.2249999999</v>
      </c>
      <c r="J99" s="2971">
        <v>8.5</v>
      </c>
      <c r="K99" s="2984">
        <f>J99*365*D99</f>
        <v>3495183.4249999998</v>
      </c>
    </row>
    <row r="100" spans="1:11">
      <c r="A100" s="3209"/>
      <c r="B100" s="2998" t="s">
        <v>3268</v>
      </c>
      <c r="C100" s="3001">
        <v>1126.57</v>
      </c>
      <c r="D100" s="3014">
        <v>1126.57</v>
      </c>
      <c r="E100" s="3001"/>
      <c r="F100" s="3002">
        <v>1126.57</v>
      </c>
      <c r="G100" s="3003">
        <v>4</v>
      </c>
      <c r="H100" s="3004">
        <f t="shared" si="15"/>
        <v>1644792.2</v>
      </c>
    </row>
    <row r="101" spans="1:11">
      <c r="A101" s="3209"/>
      <c r="B101" s="2998" t="s">
        <v>3260</v>
      </c>
      <c r="C101" s="3001">
        <v>1126.57</v>
      </c>
      <c r="D101" s="3014">
        <v>1126.57</v>
      </c>
      <c r="E101" s="3001"/>
      <c r="F101" s="3002"/>
      <c r="G101" s="3003">
        <v>4.5</v>
      </c>
      <c r="H101" s="3004">
        <f t="shared" si="15"/>
        <v>1850391.2249999999</v>
      </c>
      <c r="J101" s="2971">
        <v>4.5</v>
      </c>
      <c r="K101" s="2984">
        <f t="shared" ref="K101:K104" si="16">J101*365*D101</f>
        <v>1850391.2249999999</v>
      </c>
    </row>
    <row r="102" spans="1:11">
      <c r="A102" s="3209"/>
      <c r="B102" s="2998" t="s">
        <v>3269</v>
      </c>
      <c r="C102" s="3001">
        <v>1126.57</v>
      </c>
      <c r="D102" s="3014">
        <v>1126.57</v>
      </c>
      <c r="E102" s="3001"/>
      <c r="F102" s="3002"/>
      <c r="G102" s="3003">
        <v>4.5</v>
      </c>
      <c r="H102" s="3004">
        <f t="shared" si="15"/>
        <v>1850391.2249999999</v>
      </c>
      <c r="J102" s="2971">
        <v>4.5</v>
      </c>
      <c r="K102" s="2984">
        <f t="shared" si="16"/>
        <v>1850391.2249999999</v>
      </c>
    </row>
    <row r="103" spans="1:11">
      <c r="A103" s="3209"/>
      <c r="B103" s="2998">
        <v>3</v>
      </c>
      <c r="C103" s="3001">
        <v>1126.57</v>
      </c>
      <c r="D103" s="3014">
        <v>1126.57</v>
      </c>
      <c r="E103" s="3001"/>
      <c r="F103" s="3002"/>
      <c r="G103" s="3003">
        <v>4.5</v>
      </c>
      <c r="H103" s="3004">
        <f t="shared" si="15"/>
        <v>1850391.2249999999</v>
      </c>
      <c r="J103" s="2971">
        <v>4.5</v>
      </c>
      <c r="K103" s="2984">
        <f t="shared" si="16"/>
        <v>1850391.2249999999</v>
      </c>
    </row>
    <row r="104" spans="1:11">
      <c r="A104" s="3209"/>
      <c r="B104" s="3015">
        <v>2</v>
      </c>
      <c r="C104" s="3001">
        <v>1126.57</v>
      </c>
      <c r="D104" s="3001">
        <v>1109.94</v>
      </c>
      <c r="E104" s="3001"/>
      <c r="F104" s="3002"/>
      <c r="G104" s="3003">
        <v>4.5</v>
      </c>
      <c r="H104" s="3004">
        <f t="shared" si="15"/>
        <v>1850391.2249999999</v>
      </c>
      <c r="J104" s="2971">
        <v>4.5</v>
      </c>
      <c r="K104" s="2984">
        <f t="shared" si="16"/>
        <v>1823076.4500000002</v>
      </c>
    </row>
    <row r="105" spans="1:11">
      <c r="A105" s="3006" t="s">
        <v>3262</v>
      </c>
      <c r="B105" s="2998"/>
      <c r="C105" s="3001">
        <f>SUM(C94:C104)</f>
        <v>12392.269999999999</v>
      </c>
      <c r="D105" s="3001">
        <f>SUM(D94:D104)</f>
        <v>12375.64</v>
      </c>
      <c r="E105" s="3001">
        <f>SUM(E94:E104)</f>
        <v>0</v>
      </c>
      <c r="F105" s="3001">
        <v>4506.28</v>
      </c>
      <c r="G105" s="3009"/>
      <c r="H105" s="3010">
        <f>SUM(H94:H104)</f>
        <v>19531907.375</v>
      </c>
      <c r="K105" s="2971">
        <f>SUM(K94:K104)</f>
        <v>17859800.399999999</v>
      </c>
    </row>
    <row r="106" spans="1:11">
      <c r="A106" s="3208" t="s">
        <v>3278</v>
      </c>
      <c r="B106" s="3007" t="s">
        <v>3264</v>
      </c>
      <c r="C106" s="3001">
        <f>C94</f>
        <v>1126.57</v>
      </c>
      <c r="D106" s="3001">
        <v>1126.57</v>
      </c>
      <c r="E106" s="3001"/>
      <c r="F106" s="3002">
        <v>1126.57</v>
      </c>
      <c r="G106" s="3003">
        <v>4</v>
      </c>
      <c r="H106" s="3004">
        <f>G106*C106*365</f>
        <v>1644792.2</v>
      </c>
    </row>
    <row r="107" spans="1:11">
      <c r="A107" s="3209"/>
      <c r="B107" s="3007" t="s">
        <v>3254</v>
      </c>
      <c r="C107" s="3001">
        <f t="shared" ref="C107:C115" si="17">C95</f>
        <v>1126.57</v>
      </c>
      <c r="D107" s="3001">
        <v>1126.57</v>
      </c>
      <c r="E107" s="3001"/>
      <c r="F107" s="3002"/>
      <c r="G107" s="3003">
        <v>4.5</v>
      </c>
      <c r="H107" s="3004">
        <f t="shared" ref="H107:H116" si="18">G107*C107*365</f>
        <v>1850391.2249999999</v>
      </c>
      <c r="J107" s="2971">
        <v>8.5</v>
      </c>
      <c r="K107" s="2984">
        <f>J107*365*D107</f>
        <v>3495183.4249999998</v>
      </c>
    </row>
    <row r="108" spans="1:11">
      <c r="A108" s="3209"/>
      <c r="B108" s="3007" t="s">
        <v>3265</v>
      </c>
      <c r="C108" s="3001">
        <v>1126.57</v>
      </c>
      <c r="D108" s="3001"/>
      <c r="E108" s="3001"/>
      <c r="F108" s="3002">
        <v>1126.57</v>
      </c>
      <c r="G108" s="3003">
        <v>4</v>
      </c>
      <c r="H108" s="3004">
        <f t="shared" si="18"/>
        <v>1644792.2</v>
      </c>
    </row>
    <row r="109" spans="1:11">
      <c r="A109" s="3209"/>
      <c r="B109" s="3007" t="s">
        <v>3257</v>
      </c>
      <c r="C109" s="2999">
        <v>1126.57</v>
      </c>
      <c r="D109" s="3001">
        <v>1104.5999999999999</v>
      </c>
      <c r="E109" s="3001" t="s">
        <v>3255</v>
      </c>
      <c r="F109" s="3002"/>
      <c r="G109" s="3003">
        <v>4.5</v>
      </c>
      <c r="H109" s="3004">
        <f t="shared" si="18"/>
        <v>1850391.2249999999</v>
      </c>
      <c r="J109" s="2971">
        <v>8.5</v>
      </c>
      <c r="K109" s="2984">
        <f>J109*365*D109</f>
        <v>3427021.4999999995</v>
      </c>
    </row>
    <row r="110" spans="1:11">
      <c r="A110" s="3209"/>
      <c r="B110" s="2998" t="s">
        <v>3266</v>
      </c>
      <c r="C110" s="3001">
        <v>1126.57</v>
      </c>
      <c r="D110" s="3001">
        <v>1104.5999999999999</v>
      </c>
      <c r="E110" s="3001"/>
      <c r="F110" s="3002">
        <v>1126.57</v>
      </c>
      <c r="G110" s="3003">
        <v>4</v>
      </c>
      <c r="H110" s="3004">
        <f t="shared" si="18"/>
        <v>1644792.2</v>
      </c>
    </row>
    <row r="111" spans="1:11">
      <c r="A111" s="3209"/>
      <c r="B111" s="3012">
        <v>7</v>
      </c>
      <c r="C111" s="3001">
        <v>1126.57</v>
      </c>
      <c r="D111" s="3001">
        <v>1111.57</v>
      </c>
      <c r="E111" s="3001"/>
      <c r="F111" s="3002"/>
      <c r="G111" s="3003">
        <v>4.5</v>
      </c>
      <c r="H111" s="3004">
        <f t="shared" si="18"/>
        <v>1850391.2249999999</v>
      </c>
      <c r="J111" s="2971">
        <v>8.5</v>
      </c>
      <c r="K111" s="2984">
        <f>J111*365*D111</f>
        <v>3448645.9249999998</v>
      </c>
    </row>
    <row r="112" spans="1:11">
      <c r="A112" s="3209"/>
      <c r="B112" s="2998" t="s">
        <v>3268</v>
      </c>
      <c r="C112" s="3001">
        <f t="shared" si="17"/>
        <v>1126.57</v>
      </c>
      <c r="D112" s="3001">
        <v>1126.57</v>
      </c>
      <c r="E112" s="3001"/>
      <c r="F112" s="3002">
        <v>1126.57</v>
      </c>
      <c r="G112" s="3003">
        <v>4</v>
      </c>
      <c r="H112" s="3004">
        <f t="shared" si="18"/>
        <v>1644792.2</v>
      </c>
    </row>
    <row r="113" spans="1:11">
      <c r="A113" s="3209"/>
      <c r="B113" s="2998">
        <v>6</v>
      </c>
      <c r="C113" s="3001">
        <v>1126.57</v>
      </c>
      <c r="D113" s="3001">
        <v>1126.57</v>
      </c>
      <c r="E113" s="3001"/>
      <c r="F113" s="3002"/>
      <c r="G113" s="3003">
        <v>4.5</v>
      </c>
      <c r="H113" s="3004">
        <f t="shared" si="18"/>
        <v>1850391.2249999999</v>
      </c>
      <c r="J113" s="2971">
        <v>4.5</v>
      </c>
      <c r="K113" s="2984">
        <f t="shared" ref="K113:K116" si="19">J113*365*D113</f>
        <v>1850391.2249999999</v>
      </c>
    </row>
    <row r="114" spans="1:11">
      <c r="A114" s="3209"/>
      <c r="B114" s="2998">
        <v>5</v>
      </c>
      <c r="C114" s="3001">
        <f t="shared" si="17"/>
        <v>1126.57</v>
      </c>
      <c r="D114" s="3001">
        <v>1126.57</v>
      </c>
      <c r="E114" s="3001"/>
      <c r="F114" s="3002"/>
      <c r="G114" s="3003">
        <v>4.5</v>
      </c>
      <c r="H114" s="3004">
        <f t="shared" si="18"/>
        <v>1850391.2249999999</v>
      </c>
      <c r="J114" s="2971">
        <v>4.5</v>
      </c>
      <c r="K114" s="2984">
        <f t="shared" si="19"/>
        <v>1850391.2249999999</v>
      </c>
    </row>
    <row r="115" spans="1:11">
      <c r="A115" s="3209"/>
      <c r="B115" s="2998" t="s">
        <v>3270</v>
      </c>
      <c r="C115" s="3001">
        <f t="shared" si="17"/>
        <v>1126.57</v>
      </c>
      <c r="D115" s="3001">
        <v>1126.57</v>
      </c>
      <c r="E115" s="3001"/>
      <c r="F115" s="3002"/>
      <c r="G115" s="3003">
        <v>4.5</v>
      </c>
      <c r="H115" s="3004">
        <f t="shared" si="18"/>
        <v>1850391.2249999999</v>
      </c>
      <c r="J115" s="2971">
        <v>4.5</v>
      </c>
      <c r="K115" s="2984">
        <f t="shared" si="19"/>
        <v>1850391.2249999999</v>
      </c>
    </row>
    <row r="116" spans="1:11">
      <c r="A116" s="3209"/>
      <c r="B116" s="3015">
        <v>2</v>
      </c>
      <c r="C116" s="3001">
        <v>1126.57</v>
      </c>
      <c r="D116" s="3001">
        <v>1126.57</v>
      </c>
      <c r="E116" s="3001"/>
      <c r="F116" s="3002"/>
      <c r="G116" s="3003">
        <v>4.5</v>
      </c>
      <c r="H116" s="3004">
        <f t="shared" si="18"/>
        <v>1850391.2249999999</v>
      </c>
      <c r="J116" s="2971">
        <v>4.5</v>
      </c>
      <c r="K116" s="2984">
        <f t="shared" si="19"/>
        <v>1850391.2249999999</v>
      </c>
    </row>
    <row r="117" spans="1:11">
      <c r="A117" s="3006" t="s">
        <v>3262</v>
      </c>
      <c r="B117" s="3016"/>
      <c r="C117" s="3001">
        <f>SUM(C106:C116)</f>
        <v>12392.269999999999</v>
      </c>
      <c r="D117" s="3001">
        <f>SUM(D106:D116)</f>
        <v>11206.759999999998</v>
      </c>
      <c r="E117" s="3001">
        <f>SUM(E106:E116)</f>
        <v>0</v>
      </c>
      <c r="F117" s="3001">
        <v>4506.28</v>
      </c>
      <c r="G117" s="3009"/>
      <c r="H117" s="3010">
        <f>SUM(H106:H116)</f>
        <v>19531907.375</v>
      </c>
      <c r="K117" s="2971">
        <f>SUM(K106:K116)</f>
        <v>17772415.749999996</v>
      </c>
    </row>
    <row r="118" spans="1:11">
      <c r="A118" s="3208" t="s">
        <v>3279</v>
      </c>
      <c r="B118" s="2998" t="s">
        <v>3264</v>
      </c>
      <c r="C118" s="3017">
        <v>911.51</v>
      </c>
      <c r="D118" s="3014">
        <v>902.81</v>
      </c>
      <c r="E118" s="3001"/>
      <c r="F118" s="3002">
        <v>911.51</v>
      </c>
      <c r="G118" s="3003">
        <v>4</v>
      </c>
      <c r="H118" s="3004">
        <f>G118*C118*365</f>
        <v>1330804.6000000001</v>
      </c>
    </row>
    <row r="119" spans="1:11">
      <c r="A119" s="3209"/>
      <c r="B119" s="2998" t="s">
        <v>3254</v>
      </c>
      <c r="C119" s="3017">
        <v>911.51</v>
      </c>
      <c r="D119" s="3014">
        <v>902.81</v>
      </c>
      <c r="E119" s="3001"/>
      <c r="F119" s="3002"/>
      <c r="G119" s="3003">
        <v>4.5</v>
      </c>
      <c r="H119" s="3004">
        <f t="shared" ref="H119:H128" si="20">G119*C119*365</f>
        <v>1497155.175</v>
      </c>
      <c r="J119" s="2971">
        <v>8.5</v>
      </c>
      <c r="K119" s="2984">
        <f>J119*365*D119</f>
        <v>2800968.0249999999</v>
      </c>
    </row>
    <row r="120" spans="1:11">
      <c r="A120" s="3209"/>
      <c r="B120" s="2998" t="s">
        <v>3265</v>
      </c>
      <c r="C120" s="3017">
        <v>911.51</v>
      </c>
      <c r="D120" s="3014">
        <v>902.81</v>
      </c>
      <c r="E120" s="3001"/>
      <c r="F120" s="3002">
        <v>911.51</v>
      </c>
      <c r="G120" s="3003">
        <v>4</v>
      </c>
      <c r="H120" s="3004">
        <f t="shared" si="20"/>
        <v>1330804.6000000001</v>
      </c>
    </row>
    <row r="121" spans="1:11">
      <c r="A121" s="3209"/>
      <c r="B121" s="2998" t="s">
        <v>3257</v>
      </c>
      <c r="C121" s="3017">
        <v>911.51</v>
      </c>
      <c r="D121" s="3014">
        <v>902.81</v>
      </c>
      <c r="E121" s="3001"/>
      <c r="F121" s="3002"/>
      <c r="G121" s="3003">
        <v>4.5</v>
      </c>
      <c r="H121" s="3004">
        <f t="shared" si="20"/>
        <v>1497155.175</v>
      </c>
      <c r="J121" s="2971">
        <v>8.5</v>
      </c>
      <c r="K121" s="2984">
        <f>J121*365*D121</f>
        <v>2800968.0249999999</v>
      </c>
    </row>
    <row r="122" spans="1:11">
      <c r="A122" s="3209"/>
      <c r="B122" s="2998" t="s">
        <v>3266</v>
      </c>
      <c r="C122" s="3017">
        <v>911.51</v>
      </c>
      <c r="D122" s="3014">
        <v>902.81</v>
      </c>
      <c r="E122" s="3001"/>
      <c r="F122" s="3002">
        <v>911.51</v>
      </c>
      <c r="G122" s="3003">
        <v>4</v>
      </c>
      <c r="H122" s="3004">
        <f t="shared" si="20"/>
        <v>1330804.6000000001</v>
      </c>
    </row>
    <row r="123" spans="1:11">
      <c r="A123" s="3209"/>
      <c r="B123" s="2998" t="s">
        <v>3267</v>
      </c>
      <c r="C123" s="3017">
        <v>911.51</v>
      </c>
      <c r="D123" s="3014">
        <v>902.81</v>
      </c>
      <c r="E123" s="3001"/>
      <c r="F123" s="3002"/>
      <c r="G123" s="3003">
        <v>4.5</v>
      </c>
      <c r="H123" s="3004">
        <f t="shared" si="20"/>
        <v>1497155.175</v>
      </c>
      <c r="J123" s="2971">
        <v>8.5</v>
      </c>
      <c r="K123" s="2984">
        <f>J123*365*D123</f>
        <v>2800968.0249999999</v>
      </c>
    </row>
    <row r="124" spans="1:11">
      <c r="A124" s="3209"/>
      <c r="B124" s="2998" t="s">
        <v>3268</v>
      </c>
      <c r="C124" s="3017">
        <v>911.51</v>
      </c>
      <c r="D124" s="3014">
        <v>902.81</v>
      </c>
      <c r="E124" s="3001"/>
      <c r="F124" s="3002">
        <v>911.51</v>
      </c>
      <c r="G124" s="3003">
        <v>4</v>
      </c>
      <c r="H124" s="3004">
        <f t="shared" si="20"/>
        <v>1330804.6000000001</v>
      </c>
    </row>
    <row r="125" spans="1:11">
      <c r="A125" s="3209"/>
      <c r="B125" s="2998" t="s">
        <v>3260</v>
      </c>
      <c r="C125" s="3017">
        <v>911.51</v>
      </c>
      <c r="D125" s="3014">
        <v>902.81</v>
      </c>
      <c r="E125" s="3001"/>
      <c r="F125" s="3002"/>
      <c r="G125" s="3003">
        <v>4.5</v>
      </c>
      <c r="H125" s="3004">
        <f t="shared" si="20"/>
        <v>1497155.175</v>
      </c>
      <c r="J125" s="2971">
        <v>4.5</v>
      </c>
      <c r="K125" s="2984">
        <f t="shared" ref="K125:K128" si="21">J125*365*D125</f>
        <v>1482865.4249999998</v>
      </c>
    </row>
    <row r="126" spans="1:11">
      <c r="A126" s="3209"/>
      <c r="B126" s="2998" t="s">
        <v>3269</v>
      </c>
      <c r="C126" s="3017">
        <v>911.51</v>
      </c>
      <c r="D126" s="3014">
        <v>902.81</v>
      </c>
      <c r="E126" s="3001"/>
      <c r="F126" s="3002"/>
      <c r="G126" s="3003">
        <v>4.5</v>
      </c>
      <c r="H126" s="3004">
        <f t="shared" si="20"/>
        <v>1497155.175</v>
      </c>
      <c r="J126" s="2971">
        <v>4.5</v>
      </c>
      <c r="K126" s="2984">
        <f t="shared" si="21"/>
        <v>1482865.4249999998</v>
      </c>
    </row>
    <row r="127" spans="1:11">
      <c r="A127" s="3209"/>
      <c r="B127" s="2998" t="s">
        <v>3270</v>
      </c>
      <c r="C127" s="3017">
        <v>911.51</v>
      </c>
      <c r="D127" s="3014">
        <v>902.81</v>
      </c>
      <c r="E127" s="3001"/>
      <c r="F127" s="3002"/>
      <c r="G127" s="3003">
        <v>4.5</v>
      </c>
      <c r="H127" s="3004">
        <f t="shared" si="20"/>
        <v>1497155.175</v>
      </c>
      <c r="J127" s="2971">
        <v>4.5</v>
      </c>
      <c r="K127" s="2984">
        <f t="shared" si="21"/>
        <v>1482865.4249999998</v>
      </c>
    </row>
    <row r="128" spans="1:11">
      <c r="A128" s="3209"/>
      <c r="B128" s="2998" t="s">
        <v>3271</v>
      </c>
      <c r="C128" s="3017">
        <v>911.51</v>
      </c>
      <c r="D128" s="3014">
        <v>902.81</v>
      </c>
      <c r="E128" s="3001"/>
      <c r="F128" s="3002"/>
      <c r="G128" s="3003">
        <v>4.5</v>
      </c>
      <c r="H128" s="3004">
        <f t="shared" si="20"/>
        <v>1497155.175</v>
      </c>
      <c r="J128" s="2971">
        <v>4.5</v>
      </c>
      <c r="K128" s="2984">
        <f t="shared" si="21"/>
        <v>1482865.4249999998</v>
      </c>
    </row>
    <row r="129" spans="1:11">
      <c r="A129" s="3006" t="s">
        <v>3262</v>
      </c>
      <c r="B129" s="2998"/>
      <c r="C129" s="3001">
        <f>SUM(C118:C128)</f>
        <v>10026.61</v>
      </c>
      <c r="D129" s="3001">
        <f>SUM(D118:D128)</f>
        <v>9930.9099999999962</v>
      </c>
      <c r="E129" s="3001">
        <f>SUM(E118:E128)</f>
        <v>0</v>
      </c>
      <c r="F129" s="3001">
        <v>3646.04</v>
      </c>
      <c r="G129" s="3009"/>
      <c r="H129" s="3010">
        <f>SUM(H118:H128)</f>
        <v>15803304.625000004</v>
      </c>
      <c r="K129" s="2971">
        <f>SUM(K118:K128)</f>
        <v>14334365.775000002</v>
      </c>
    </row>
    <row r="130" spans="1:11">
      <c r="A130" s="3208" t="s">
        <v>3280</v>
      </c>
      <c r="B130" s="2998" t="s">
        <v>3264</v>
      </c>
      <c r="C130" s="3017">
        <v>911.51</v>
      </c>
      <c r="D130" s="3014">
        <v>902.81</v>
      </c>
      <c r="E130" s="3001"/>
      <c r="F130" s="3002">
        <v>911.51</v>
      </c>
      <c r="G130" s="3003">
        <v>4</v>
      </c>
      <c r="H130" s="3004">
        <f>G130*C130*365</f>
        <v>1330804.6000000001</v>
      </c>
    </row>
    <row r="131" spans="1:11">
      <c r="A131" s="3209"/>
      <c r="B131" s="2998" t="s">
        <v>3254</v>
      </c>
      <c r="C131" s="3017">
        <v>911.51</v>
      </c>
      <c r="D131" s="3014">
        <v>902.81</v>
      </c>
      <c r="E131" s="3001"/>
      <c r="F131" s="3002"/>
      <c r="G131" s="3003">
        <v>4.5</v>
      </c>
      <c r="H131" s="3004">
        <f t="shared" ref="H131:H140" si="22">G131*C131*365</f>
        <v>1497155.175</v>
      </c>
      <c r="J131" s="2971">
        <v>8.5</v>
      </c>
      <c r="K131" s="2984">
        <f>J131*365*D131</f>
        <v>2800968.0249999999</v>
      </c>
    </row>
    <row r="132" spans="1:11">
      <c r="A132" s="3209"/>
      <c r="B132" s="2998" t="s">
        <v>3265</v>
      </c>
      <c r="C132" s="3017">
        <v>911.51</v>
      </c>
      <c r="D132" s="3014">
        <v>902.81</v>
      </c>
      <c r="E132" s="3001"/>
      <c r="F132" s="3002">
        <v>911.51</v>
      </c>
      <c r="G132" s="3003">
        <v>4</v>
      </c>
      <c r="H132" s="3004">
        <f t="shared" si="22"/>
        <v>1330804.6000000001</v>
      </c>
    </row>
    <row r="133" spans="1:11">
      <c r="A133" s="3209"/>
      <c r="B133" s="2998" t="s">
        <v>3257</v>
      </c>
      <c r="C133" s="3017">
        <v>911.51</v>
      </c>
      <c r="D133" s="3014">
        <v>902.81</v>
      </c>
      <c r="E133" s="3001"/>
      <c r="F133" s="3002"/>
      <c r="G133" s="3003">
        <v>4.5</v>
      </c>
      <c r="H133" s="3004">
        <f t="shared" si="22"/>
        <v>1497155.175</v>
      </c>
      <c r="J133" s="2971">
        <v>8.5</v>
      </c>
      <c r="K133" s="2984">
        <f>J133*365*D133</f>
        <v>2800968.0249999999</v>
      </c>
    </row>
    <row r="134" spans="1:11">
      <c r="A134" s="3209"/>
      <c r="B134" s="2998" t="s">
        <v>3266</v>
      </c>
      <c r="C134" s="3017">
        <v>911.51</v>
      </c>
      <c r="D134" s="3014">
        <v>902.81</v>
      </c>
      <c r="E134" s="3001"/>
      <c r="F134" s="3002">
        <v>911.51</v>
      </c>
      <c r="G134" s="3003">
        <v>4</v>
      </c>
      <c r="H134" s="3004">
        <f t="shared" si="22"/>
        <v>1330804.6000000001</v>
      </c>
    </row>
    <row r="135" spans="1:11">
      <c r="A135" s="3209"/>
      <c r="B135" s="2998" t="s">
        <v>3267</v>
      </c>
      <c r="C135" s="3017">
        <v>911.51</v>
      </c>
      <c r="D135" s="3014">
        <v>902.81</v>
      </c>
      <c r="E135" s="3001"/>
      <c r="F135" s="3002"/>
      <c r="G135" s="3003">
        <v>4.5</v>
      </c>
      <c r="H135" s="3004">
        <f t="shared" si="22"/>
        <v>1497155.175</v>
      </c>
      <c r="J135" s="2971">
        <v>8.5</v>
      </c>
      <c r="K135" s="2984">
        <f>J135*365*D135</f>
        <v>2800968.0249999999</v>
      </c>
    </row>
    <row r="136" spans="1:11">
      <c r="A136" s="3209"/>
      <c r="B136" s="2998" t="s">
        <v>3268</v>
      </c>
      <c r="C136" s="3017">
        <v>911.51</v>
      </c>
      <c r="D136" s="3014">
        <v>902.81</v>
      </c>
      <c r="E136" s="3001"/>
      <c r="F136" s="3002">
        <v>911.51</v>
      </c>
      <c r="G136" s="3003">
        <v>4</v>
      </c>
      <c r="H136" s="3004">
        <f t="shared" si="22"/>
        <v>1330804.6000000001</v>
      </c>
    </row>
    <row r="137" spans="1:11">
      <c r="A137" s="3209"/>
      <c r="B137" s="2998" t="s">
        <v>3260</v>
      </c>
      <c r="C137" s="3017">
        <v>911.51</v>
      </c>
      <c r="D137" s="3014">
        <v>902.81</v>
      </c>
      <c r="E137" s="3001"/>
      <c r="F137" s="3002"/>
      <c r="G137" s="3003">
        <v>4.5</v>
      </c>
      <c r="H137" s="3004">
        <f t="shared" si="22"/>
        <v>1497155.175</v>
      </c>
      <c r="J137" s="2971">
        <v>4.5</v>
      </c>
      <c r="K137" s="2984">
        <f t="shared" ref="K137:K140" si="23">J137*365*D137</f>
        <v>1482865.4249999998</v>
      </c>
    </row>
    <row r="138" spans="1:11">
      <c r="A138" s="3209"/>
      <c r="B138" s="2998" t="s">
        <v>3269</v>
      </c>
      <c r="C138" s="3017">
        <v>911.51</v>
      </c>
      <c r="D138" s="3014">
        <v>902.81</v>
      </c>
      <c r="E138" s="3001"/>
      <c r="F138" s="3002"/>
      <c r="G138" s="3003">
        <v>4.5</v>
      </c>
      <c r="H138" s="3004">
        <f t="shared" si="22"/>
        <v>1497155.175</v>
      </c>
      <c r="J138" s="2971">
        <v>4.5</v>
      </c>
      <c r="K138" s="2984">
        <f t="shared" si="23"/>
        <v>1482865.4249999998</v>
      </c>
    </row>
    <row r="139" spans="1:11">
      <c r="A139" s="3209"/>
      <c r="B139" s="2998" t="s">
        <v>3270</v>
      </c>
      <c r="C139" s="3017">
        <v>911.51</v>
      </c>
      <c r="D139" s="3014">
        <v>902.81</v>
      </c>
      <c r="E139" s="3001"/>
      <c r="F139" s="3002"/>
      <c r="G139" s="3003">
        <v>4.5</v>
      </c>
      <c r="H139" s="3004">
        <f t="shared" si="22"/>
        <v>1497155.175</v>
      </c>
      <c r="J139" s="2971">
        <v>4.5</v>
      </c>
      <c r="K139" s="2984">
        <f t="shared" si="23"/>
        <v>1482865.4249999998</v>
      </c>
    </row>
    <row r="140" spans="1:11">
      <c r="A140" s="3209"/>
      <c r="B140" s="2998" t="s">
        <v>3271</v>
      </c>
      <c r="C140" s="3017">
        <v>911.51</v>
      </c>
      <c r="D140" s="3014">
        <v>902.81</v>
      </c>
      <c r="E140" s="3001"/>
      <c r="F140" s="3002"/>
      <c r="G140" s="3003">
        <v>4.5</v>
      </c>
      <c r="H140" s="3004">
        <f t="shared" si="22"/>
        <v>1497155.175</v>
      </c>
      <c r="J140" s="2971">
        <v>4.5</v>
      </c>
      <c r="K140" s="2984">
        <f t="shared" si="23"/>
        <v>1482865.4249999998</v>
      </c>
    </row>
    <row r="141" spans="1:11">
      <c r="A141" s="3006" t="s">
        <v>3262</v>
      </c>
      <c r="B141" s="2998"/>
      <c r="C141" s="3001">
        <f>SUM(C130:C140)</f>
        <v>10026.61</v>
      </c>
      <c r="D141" s="3001">
        <f>SUM(D130:D140)</f>
        <v>9930.9099999999962</v>
      </c>
      <c r="E141" s="3001"/>
      <c r="F141" s="3001">
        <v>3646.04</v>
      </c>
      <c r="G141" s="3009"/>
      <c r="H141" s="3010">
        <f>SUM(H130:H140)</f>
        <v>15803304.625000004</v>
      </c>
      <c r="K141" s="2971">
        <f>SUM(K130:K140)</f>
        <v>14334365.775000002</v>
      </c>
    </row>
    <row r="142" spans="1:11">
      <c r="A142" s="3208" t="s">
        <v>3281</v>
      </c>
      <c r="B142" s="2998" t="s">
        <v>3264</v>
      </c>
      <c r="C142" s="3017">
        <v>911.51</v>
      </c>
      <c r="D142" s="3014">
        <v>911.51</v>
      </c>
      <c r="E142" s="3001"/>
      <c r="F142" s="3002">
        <v>911.51</v>
      </c>
      <c r="G142" s="3003">
        <v>4</v>
      </c>
      <c r="H142" s="3004">
        <f>G142*C142*365</f>
        <v>1330804.6000000001</v>
      </c>
    </row>
    <row r="143" spans="1:11">
      <c r="A143" s="3209"/>
      <c r="B143" s="2998" t="s">
        <v>3254</v>
      </c>
      <c r="C143" s="3017">
        <v>911.51</v>
      </c>
      <c r="D143" s="3014">
        <v>911.51</v>
      </c>
      <c r="E143" s="3001"/>
      <c r="F143" s="3002"/>
      <c r="G143" s="3003">
        <v>4.5</v>
      </c>
      <c r="H143" s="3004">
        <f t="shared" ref="H143:H152" si="24">G143*C143*365</f>
        <v>1497155.175</v>
      </c>
      <c r="J143" s="2971">
        <v>8.5</v>
      </c>
      <c r="K143" s="2984">
        <f>J143*365*D143</f>
        <v>2827959.7749999999</v>
      </c>
    </row>
    <row r="144" spans="1:11">
      <c r="A144" s="3209"/>
      <c r="B144" s="2998" t="s">
        <v>3265</v>
      </c>
      <c r="C144" s="3017">
        <v>911.51</v>
      </c>
      <c r="D144" s="3014">
        <v>911.51</v>
      </c>
      <c r="E144" s="3001"/>
      <c r="F144" s="3002">
        <v>911.51</v>
      </c>
      <c r="G144" s="3003">
        <v>4</v>
      </c>
      <c r="H144" s="3004">
        <f t="shared" si="24"/>
        <v>1330804.6000000001</v>
      </c>
    </row>
    <row r="145" spans="1:11">
      <c r="A145" s="3209"/>
      <c r="B145" s="2998" t="s">
        <v>3257</v>
      </c>
      <c r="C145" s="3017">
        <v>911.51</v>
      </c>
      <c r="D145" s="3014">
        <v>911.51</v>
      </c>
      <c r="E145" s="3001"/>
      <c r="F145" s="3002"/>
      <c r="G145" s="3003">
        <v>4.5</v>
      </c>
      <c r="H145" s="3004">
        <f t="shared" si="24"/>
        <v>1497155.175</v>
      </c>
      <c r="J145" s="2971">
        <v>8.5</v>
      </c>
      <c r="K145" s="2984">
        <f>J145*365*D145</f>
        <v>2827959.7749999999</v>
      </c>
    </row>
    <row r="146" spans="1:11">
      <c r="A146" s="3209"/>
      <c r="B146" s="2998" t="s">
        <v>3266</v>
      </c>
      <c r="C146" s="3017">
        <v>911.51</v>
      </c>
      <c r="D146" s="3014">
        <v>911.51</v>
      </c>
      <c r="E146" s="3001"/>
      <c r="F146" s="3002">
        <v>911.51</v>
      </c>
      <c r="G146" s="3003">
        <v>4</v>
      </c>
      <c r="H146" s="3004">
        <f t="shared" si="24"/>
        <v>1330804.6000000001</v>
      </c>
    </row>
    <row r="147" spans="1:11">
      <c r="A147" s="3209"/>
      <c r="B147" s="2998" t="s">
        <v>3267</v>
      </c>
      <c r="C147" s="3017">
        <v>911.51</v>
      </c>
      <c r="D147" s="3014">
        <v>911.51</v>
      </c>
      <c r="E147" s="3001"/>
      <c r="F147" s="3002"/>
      <c r="G147" s="3003">
        <v>4.5</v>
      </c>
      <c r="H147" s="3004">
        <f t="shared" si="24"/>
        <v>1497155.175</v>
      </c>
      <c r="J147" s="2971">
        <v>8.5</v>
      </c>
      <c r="K147" s="2984">
        <f>J147*365*D147</f>
        <v>2827959.7749999999</v>
      </c>
    </row>
    <row r="148" spans="1:11">
      <c r="A148" s="3209"/>
      <c r="B148" s="2998" t="s">
        <v>3268</v>
      </c>
      <c r="C148" s="3017">
        <v>911.51</v>
      </c>
      <c r="D148" s="3014">
        <v>911.51</v>
      </c>
      <c r="E148" s="3001"/>
      <c r="F148" s="3002">
        <v>911.51</v>
      </c>
      <c r="G148" s="3003">
        <v>4</v>
      </c>
      <c r="H148" s="3004">
        <f t="shared" si="24"/>
        <v>1330804.6000000001</v>
      </c>
    </row>
    <row r="149" spans="1:11">
      <c r="A149" s="3209"/>
      <c r="B149" s="2998" t="s">
        <v>3260</v>
      </c>
      <c r="C149" s="3017">
        <v>911.51</v>
      </c>
      <c r="D149" s="3014">
        <v>911.51</v>
      </c>
      <c r="E149" s="3001"/>
      <c r="F149" s="3002"/>
      <c r="G149" s="3003">
        <v>4.5</v>
      </c>
      <c r="H149" s="3004">
        <f t="shared" si="24"/>
        <v>1497155.175</v>
      </c>
      <c r="J149" s="2971">
        <v>4.5</v>
      </c>
      <c r="K149" s="2984">
        <f t="shared" ref="K149:K152" si="25">J149*365*D149</f>
        <v>1497155.175</v>
      </c>
    </row>
    <row r="150" spans="1:11">
      <c r="A150" s="3209"/>
      <c r="B150" s="2998" t="s">
        <v>3269</v>
      </c>
      <c r="C150" s="3017">
        <v>911.51</v>
      </c>
      <c r="D150" s="3014">
        <v>911.51</v>
      </c>
      <c r="E150" s="3001"/>
      <c r="F150" s="3002"/>
      <c r="G150" s="3003">
        <v>4.5</v>
      </c>
      <c r="H150" s="3004">
        <f t="shared" si="24"/>
        <v>1497155.175</v>
      </c>
      <c r="J150" s="2971">
        <v>4.5</v>
      </c>
      <c r="K150" s="2984">
        <f t="shared" si="25"/>
        <v>1497155.175</v>
      </c>
    </row>
    <row r="151" spans="1:11">
      <c r="A151" s="3209"/>
      <c r="B151" s="2998" t="s">
        <v>3270</v>
      </c>
      <c r="C151" s="3017">
        <v>911.51</v>
      </c>
      <c r="D151" s="3014">
        <v>911.51</v>
      </c>
      <c r="E151" s="3001"/>
      <c r="F151" s="3002"/>
      <c r="G151" s="3003">
        <v>4.5</v>
      </c>
      <c r="H151" s="3004">
        <f t="shared" si="24"/>
        <v>1497155.175</v>
      </c>
      <c r="J151" s="2971">
        <v>4.5</v>
      </c>
      <c r="K151" s="2984">
        <f t="shared" si="25"/>
        <v>1497155.175</v>
      </c>
    </row>
    <row r="152" spans="1:11">
      <c r="A152" s="3209"/>
      <c r="B152" s="2998" t="s">
        <v>3271</v>
      </c>
      <c r="C152" s="3017">
        <v>911.51</v>
      </c>
      <c r="D152" s="3014">
        <v>911.51</v>
      </c>
      <c r="E152" s="3001"/>
      <c r="F152" s="3002"/>
      <c r="G152" s="3003">
        <v>4.5</v>
      </c>
      <c r="H152" s="3004">
        <f t="shared" si="24"/>
        <v>1497155.175</v>
      </c>
      <c r="J152" s="2971">
        <v>4.5</v>
      </c>
      <c r="K152" s="2984">
        <f t="shared" si="25"/>
        <v>1497155.175</v>
      </c>
    </row>
    <row r="153" spans="1:11">
      <c r="A153" s="3006" t="s">
        <v>3262</v>
      </c>
      <c r="B153" s="2998"/>
      <c r="C153" s="3001">
        <f>SUM(C142:C152)</f>
        <v>10026.61</v>
      </c>
      <c r="D153" s="3001">
        <f>SUM(D142:D152)</f>
        <v>10026.61</v>
      </c>
      <c r="E153" s="3001"/>
      <c r="F153" s="3001">
        <v>3646.04</v>
      </c>
      <c r="G153" s="3009"/>
      <c r="H153" s="3010">
        <f>SUM(H142:H152)</f>
        <v>15803304.625000004</v>
      </c>
      <c r="K153" s="2971">
        <f>SUM(K142:K152)</f>
        <v>14472500.025000002</v>
      </c>
    </row>
    <row r="154" spans="1:11">
      <c r="A154" s="3208" t="s">
        <v>3282</v>
      </c>
      <c r="B154" s="2998" t="s">
        <v>3264</v>
      </c>
      <c r="C154" s="3018">
        <v>911.51</v>
      </c>
      <c r="D154" s="3017"/>
      <c r="E154" s="3001"/>
      <c r="F154" s="3002">
        <v>911.51</v>
      </c>
      <c r="G154" s="3003">
        <v>4</v>
      </c>
      <c r="H154" s="3004">
        <f>G154*C154*365</f>
        <v>1330804.6000000001</v>
      </c>
    </row>
    <row r="155" spans="1:11">
      <c r="A155" s="3209"/>
      <c r="B155" s="2998" t="s">
        <v>3254</v>
      </c>
      <c r="C155" s="3018">
        <v>911.51</v>
      </c>
      <c r="D155" s="3017">
        <v>887.52</v>
      </c>
      <c r="E155" s="3001" t="s">
        <v>3255</v>
      </c>
      <c r="F155" s="3002"/>
      <c r="G155" s="3003">
        <v>4.5</v>
      </c>
      <c r="H155" s="3004">
        <f t="shared" ref="H155:H164" si="26">G155*C155*365</f>
        <v>1497155.175</v>
      </c>
      <c r="J155" s="2971">
        <v>8.5</v>
      </c>
      <c r="K155" s="2984">
        <f>J155*365*D155</f>
        <v>2753530.8</v>
      </c>
    </row>
    <row r="156" spans="1:11">
      <c r="A156" s="3209"/>
      <c r="B156" s="2998" t="s">
        <v>3265</v>
      </c>
      <c r="C156" s="3018">
        <v>911.51</v>
      </c>
      <c r="D156" s="3017"/>
      <c r="E156" s="3001"/>
      <c r="F156" s="3002">
        <v>911.51</v>
      </c>
      <c r="G156" s="3003">
        <v>4</v>
      </c>
      <c r="H156" s="3004">
        <f t="shared" si="26"/>
        <v>1330804.6000000001</v>
      </c>
    </row>
    <row r="157" spans="1:11">
      <c r="A157" s="3209"/>
      <c r="B157" s="2998" t="s">
        <v>3257</v>
      </c>
      <c r="C157" s="3018">
        <v>911.51</v>
      </c>
      <c r="D157" s="3017">
        <v>887.52</v>
      </c>
      <c r="E157" s="3001" t="s">
        <v>3255</v>
      </c>
      <c r="F157" s="3002"/>
      <c r="G157" s="3003">
        <v>4.5</v>
      </c>
      <c r="H157" s="3004">
        <f t="shared" si="26"/>
        <v>1497155.175</v>
      </c>
      <c r="J157" s="2971">
        <v>8.5</v>
      </c>
      <c r="K157" s="2984">
        <f>J157*365*D157</f>
        <v>2753530.8</v>
      </c>
    </row>
    <row r="158" spans="1:11">
      <c r="A158" s="3209"/>
      <c r="B158" s="2998" t="s">
        <v>3266</v>
      </c>
      <c r="C158" s="3018">
        <v>911.51</v>
      </c>
      <c r="D158" s="3017"/>
      <c r="E158" s="3001"/>
      <c r="F158" s="3002">
        <v>911.51</v>
      </c>
      <c r="G158" s="3003">
        <v>4</v>
      </c>
      <c r="H158" s="3004">
        <f t="shared" si="26"/>
        <v>1330804.6000000001</v>
      </c>
    </row>
    <row r="159" spans="1:11">
      <c r="A159" s="3209"/>
      <c r="B159" s="2998" t="s">
        <v>3267</v>
      </c>
      <c r="C159" s="3018">
        <v>911.51</v>
      </c>
      <c r="D159" s="3017">
        <v>887.52</v>
      </c>
      <c r="E159" s="3001" t="s">
        <v>3255</v>
      </c>
      <c r="F159" s="3002"/>
      <c r="G159" s="3003">
        <v>4.5</v>
      </c>
      <c r="H159" s="3004">
        <f t="shared" si="26"/>
        <v>1497155.175</v>
      </c>
      <c r="J159" s="2971">
        <v>8.5</v>
      </c>
      <c r="K159" s="2984">
        <f>J159*365*D159</f>
        <v>2753530.8</v>
      </c>
    </row>
    <row r="160" spans="1:11">
      <c r="A160" s="3209"/>
      <c r="B160" s="2998" t="s">
        <v>3268</v>
      </c>
      <c r="C160" s="3018">
        <v>911.51</v>
      </c>
      <c r="D160" s="3017"/>
      <c r="E160" s="3001"/>
      <c r="F160" s="3002">
        <v>911.51</v>
      </c>
      <c r="G160" s="3003">
        <v>4</v>
      </c>
      <c r="H160" s="3004">
        <f t="shared" si="26"/>
        <v>1330804.6000000001</v>
      </c>
    </row>
    <row r="161" spans="1:15">
      <c r="A161" s="3209"/>
      <c r="B161" s="2998" t="s">
        <v>3260</v>
      </c>
      <c r="C161" s="3018">
        <v>911.51</v>
      </c>
      <c r="D161" s="3017">
        <v>887.52</v>
      </c>
      <c r="E161" s="3001" t="s">
        <v>3255</v>
      </c>
      <c r="F161" s="3002"/>
      <c r="G161" s="3003">
        <v>4.5</v>
      </c>
      <c r="H161" s="3004">
        <f t="shared" si="26"/>
        <v>1497155.175</v>
      </c>
      <c r="J161" s="2971">
        <v>4.5</v>
      </c>
      <c r="K161" s="2984">
        <f t="shared" ref="K161:K164" si="27">J161*365*D161</f>
        <v>1457751.5999999999</v>
      </c>
    </row>
    <row r="162" spans="1:15">
      <c r="A162" s="3209"/>
      <c r="B162" s="2998" t="s">
        <v>3269</v>
      </c>
      <c r="C162" s="3019">
        <v>911.51</v>
      </c>
      <c r="D162" s="3017">
        <v>887.52</v>
      </c>
      <c r="E162" s="3001"/>
      <c r="F162" s="3002"/>
      <c r="G162" s="3003">
        <v>4.5</v>
      </c>
      <c r="H162" s="3004">
        <f t="shared" si="26"/>
        <v>1497155.175</v>
      </c>
      <c r="J162" s="2971">
        <v>4.5</v>
      </c>
      <c r="K162" s="2984">
        <f t="shared" si="27"/>
        <v>1457751.5999999999</v>
      </c>
    </row>
    <row r="163" spans="1:15">
      <c r="A163" s="3209"/>
      <c r="B163" s="2998" t="s">
        <v>3270</v>
      </c>
      <c r="C163" s="3019">
        <v>911.51</v>
      </c>
      <c r="D163" s="3017">
        <v>887.52</v>
      </c>
      <c r="E163" s="3001"/>
      <c r="F163" s="3002"/>
      <c r="G163" s="3003">
        <v>4.5</v>
      </c>
      <c r="H163" s="3004">
        <f t="shared" si="26"/>
        <v>1497155.175</v>
      </c>
      <c r="J163" s="2971">
        <v>4.5</v>
      </c>
      <c r="K163" s="2984">
        <f t="shared" si="27"/>
        <v>1457751.5999999999</v>
      </c>
    </row>
    <row r="164" spans="1:15">
      <c r="A164" s="3209"/>
      <c r="B164" s="2998" t="s">
        <v>3271</v>
      </c>
      <c r="C164" s="3019">
        <v>911.51</v>
      </c>
      <c r="D164" s="3017">
        <v>887.52</v>
      </c>
      <c r="E164" s="3001"/>
      <c r="F164" s="3002"/>
      <c r="G164" s="3003">
        <v>4.5</v>
      </c>
      <c r="H164" s="3004">
        <f t="shared" si="26"/>
        <v>1497155.175</v>
      </c>
      <c r="J164" s="2971">
        <v>4.5</v>
      </c>
      <c r="K164" s="2984">
        <f t="shared" si="27"/>
        <v>1457751.5999999999</v>
      </c>
    </row>
    <row r="165" spans="1:15">
      <c r="A165" s="3006" t="s">
        <v>3262</v>
      </c>
      <c r="B165" s="2998"/>
      <c r="C165" s="3001">
        <f>SUM(C154:C164)</f>
        <v>10026.61</v>
      </c>
      <c r="D165" s="3001">
        <f>SUM(D154:D164)</f>
        <v>6212.6400000000012</v>
      </c>
      <c r="E165" s="3001"/>
      <c r="F165" s="3001">
        <v>3646.04</v>
      </c>
      <c r="G165" s="3009"/>
      <c r="H165" s="3010">
        <f>SUM(H154:H164)</f>
        <v>15803304.625000004</v>
      </c>
      <c r="K165" s="2971">
        <f>SUM(K154:K164)</f>
        <v>14091598.799999999</v>
      </c>
    </row>
    <row r="166" spans="1:15">
      <c r="A166" s="3210"/>
      <c r="B166" s="3210"/>
      <c r="C166" s="3210"/>
      <c r="D166" s="3210"/>
      <c r="E166" s="3210"/>
      <c r="F166" s="3210"/>
      <c r="G166" s="2994"/>
      <c r="H166" s="3010">
        <f>H33+H45+H57+H69+H81+H93+H105+H117+H129+H141+H153+H165</f>
        <v>233209139.75</v>
      </c>
      <c r="I166" s="3020">
        <f>H166/365/'数据-汇总表'!F19</f>
        <v>5.4755324538830203</v>
      </c>
      <c r="K166" s="3010">
        <f>K33+K45+K57+K69+K81+K93+K105+K117+K129+K141+K153+K165</f>
        <v>211089079.42500004</v>
      </c>
      <c r="L166" s="3020">
        <f>K166/365/B167</f>
        <v>4.8683983814046572</v>
      </c>
      <c r="N166" s="2971">
        <v>3500</v>
      </c>
      <c r="O166" s="3020">
        <f>N166*C167/B167</f>
        <v>4359.4633438360142</v>
      </c>
    </row>
    <row r="167" spans="1:15">
      <c r="B167" s="2971">
        <f>四区抵押物清单!H15</f>
        <v>118791.89</v>
      </c>
      <c r="C167" s="2984">
        <f>C33+C45+C57+C69+C81+C93+C105+C117+C129+C141+C153+C165</f>
        <v>147962.53999999998</v>
      </c>
      <c r="D167" s="2984">
        <f>D33+D45+D57+D69+D81+D93+D105+D117+D129+D141+D153+D165</f>
        <v>128407.98999999999</v>
      </c>
      <c r="F167" s="2984">
        <f>F33+F45+F57+F69+F81+F93+F105+F117+F129+F141+F153+F165</f>
        <v>52439.8</v>
      </c>
      <c r="H167" s="2971">
        <v>5.5</v>
      </c>
    </row>
    <row r="168" spans="1:15">
      <c r="C168" s="2984">
        <f>B167-C167</f>
        <v>-29170.64999999998</v>
      </c>
      <c r="L168" s="2971">
        <v>1</v>
      </c>
      <c r="M168" s="2971">
        <f>'数据-取费表'!V23</f>
        <v>1.73</v>
      </c>
      <c r="N168" s="2971">
        <f>O168/M168</f>
        <v>3468.2080924855491</v>
      </c>
      <c r="O168" s="2971">
        <v>6000</v>
      </c>
    </row>
    <row r="169" spans="1:15">
      <c r="A169" s="3211" t="s">
        <v>3283</v>
      </c>
      <c r="B169" s="3211"/>
      <c r="C169" s="3211"/>
      <c r="M169" s="2971">
        <v>1.6</v>
      </c>
      <c r="N169" s="2971">
        <f>O168/M169</f>
        <v>3750</v>
      </c>
    </row>
    <row r="170" spans="1:15">
      <c r="A170" s="3212" t="s">
        <v>3284</v>
      </c>
      <c r="B170" s="3213"/>
      <c r="C170" s="3214"/>
      <c r="J170" s="3021"/>
    </row>
    <row r="171" spans="1:15">
      <c r="A171" s="3215" t="s">
        <v>3285</v>
      </c>
      <c r="B171" s="3017" t="s">
        <v>3286</v>
      </c>
      <c r="C171" s="3017">
        <v>357</v>
      </c>
    </row>
    <row r="172" spans="1:15">
      <c r="A172" s="3216"/>
      <c r="B172" s="3017" t="s">
        <v>3287</v>
      </c>
      <c r="C172" s="3017">
        <v>36</v>
      </c>
      <c r="F172" s="3021">
        <f>C167/B167</f>
        <v>1.2455609553817182</v>
      </c>
      <c r="H172" s="3021">
        <f>H167*C167/B167</f>
        <v>6.8505852545994497</v>
      </c>
    </row>
    <row r="173" spans="1:15">
      <c r="A173" s="3216"/>
      <c r="B173" s="3017" t="s">
        <v>3288</v>
      </c>
      <c r="C173" s="3017">
        <v>46</v>
      </c>
      <c r="K173" s="3021"/>
    </row>
    <row r="174" spans="1:15">
      <c r="A174" s="3216"/>
      <c r="B174" s="3017" t="s">
        <v>3289</v>
      </c>
      <c r="C174" s="3017">
        <v>142</v>
      </c>
    </row>
    <row r="175" spans="1:15">
      <c r="A175" s="3216"/>
      <c r="B175" s="3017" t="s">
        <v>3290</v>
      </c>
      <c r="C175" s="3017">
        <v>122</v>
      </c>
    </row>
    <row r="176" spans="1:15">
      <c r="A176" s="3216"/>
      <c r="B176" s="3017" t="s">
        <v>3291</v>
      </c>
      <c r="C176" s="3017">
        <v>170</v>
      </c>
    </row>
    <row r="177" spans="1:3">
      <c r="A177" s="3216"/>
      <c r="B177" s="3017" t="s">
        <v>3292</v>
      </c>
      <c r="C177" s="3017">
        <v>281</v>
      </c>
    </row>
    <row r="178" spans="1:3">
      <c r="A178" s="3216"/>
      <c r="B178" s="3017" t="s">
        <v>3293</v>
      </c>
      <c r="C178" s="3017">
        <v>262</v>
      </c>
    </row>
    <row r="179" spans="1:3">
      <c r="A179" s="3216"/>
      <c r="B179" s="3017" t="s">
        <v>3294</v>
      </c>
      <c r="C179" s="3017">
        <v>25</v>
      </c>
    </row>
    <row r="180" spans="1:3">
      <c r="A180" s="3216"/>
      <c r="B180" s="3017" t="s">
        <v>3295</v>
      </c>
      <c r="C180" s="3017">
        <v>37</v>
      </c>
    </row>
    <row r="181" spans="1:3">
      <c r="A181" s="3216"/>
      <c r="B181" s="3017" t="s">
        <v>3296</v>
      </c>
      <c r="C181" s="3022">
        <v>62</v>
      </c>
    </row>
    <row r="182" spans="1:3">
      <c r="A182" s="3216"/>
      <c r="B182" s="3017" t="s">
        <v>3297</v>
      </c>
      <c r="C182" s="3017">
        <v>35</v>
      </c>
    </row>
    <row r="183" spans="1:3">
      <c r="A183" s="3216"/>
      <c r="B183" s="3017" t="s">
        <v>3298</v>
      </c>
      <c r="C183" s="3017">
        <v>437</v>
      </c>
    </row>
    <row r="184" spans="1:3">
      <c r="A184" s="3216"/>
      <c r="B184" s="3017" t="s">
        <v>3299</v>
      </c>
      <c r="C184" s="3017">
        <v>114</v>
      </c>
    </row>
    <row r="185" spans="1:3">
      <c r="A185" s="3216"/>
      <c r="B185" s="3017" t="s">
        <v>3300</v>
      </c>
      <c r="C185" s="3017">
        <v>37</v>
      </c>
    </row>
    <row r="186" spans="1:3">
      <c r="A186" s="3216"/>
      <c r="B186" s="3017" t="s">
        <v>3301</v>
      </c>
      <c r="C186" s="3017">
        <v>37</v>
      </c>
    </row>
    <row r="187" spans="1:3">
      <c r="A187" s="3216"/>
      <c r="B187" s="3017" t="s">
        <v>3302</v>
      </c>
      <c r="C187" s="3017">
        <v>38</v>
      </c>
    </row>
    <row r="188" spans="1:3">
      <c r="A188" s="3216"/>
      <c r="B188" s="3017" t="s">
        <v>3303</v>
      </c>
      <c r="C188" s="3017">
        <v>35</v>
      </c>
    </row>
    <row r="189" spans="1:3">
      <c r="A189" s="3216"/>
      <c r="B189" s="3017" t="s">
        <v>3304</v>
      </c>
      <c r="C189" s="3017">
        <v>126</v>
      </c>
    </row>
    <row r="190" spans="1:3">
      <c r="A190" s="3216"/>
      <c r="B190" s="3017" t="s">
        <v>3305</v>
      </c>
      <c r="C190" s="3017">
        <v>43</v>
      </c>
    </row>
    <row r="191" spans="1:3">
      <c r="A191" s="3216"/>
      <c r="B191" s="3017" t="s">
        <v>3306</v>
      </c>
      <c r="C191" s="3017">
        <v>28</v>
      </c>
    </row>
    <row r="192" spans="1:3">
      <c r="A192" s="3216"/>
      <c r="B192" s="3017" t="s">
        <v>3307</v>
      </c>
      <c r="C192" s="3017">
        <v>36</v>
      </c>
    </row>
    <row r="193" spans="1:3">
      <c r="A193" s="3216"/>
      <c r="B193" s="3017" t="s">
        <v>3308</v>
      </c>
      <c r="C193" s="3017">
        <v>145</v>
      </c>
    </row>
    <row r="194" spans="1:3">
      <c r="A194" s="3216"/>
      <c r="B194" s="3017" t="s">
        <v>3309</v>
      </c>
      <c r="C194" s="3017">
        <v>275</v>
      </c>
    </row>
    <row r="195" spans="1:3">
      <c r="A195" s="3216"/>
      <c r="B195" s="3017" t="s">
        <v>3310</v>
      </c>
      <c r="C195" s="3017">
        <v>2172</v>
      </c>
    </row>
    <row r="196" spans="1:3">
      <c r="A196" s="3216"/>
      <c r="B196" s="3017" t="s">
        <v>3311</v>
      </c>
      <c r="C196" s="3017">
        <v>142</v>
      </c>
    </row>
    <row r="197" spans="1:3">
      <c r="A197" s="3216"/>
      <c r="B197" s="3017" t="s">
        <v>3312</v>
      </c>
      <c r="C197" s="3017">
        <v>208</v>
      </c>
    </row>
    <row r="198" spans="1:3">
      <c r="A198" s="3216"/>
      <c r="B198" s="3017" t="s">
        <v>3313</v>
      </c>
      <c r="C198" s="3017">
        <v>97</v>
      </c>
    </row>
    <row r="199" spans="1:3">
      <c r="A199" s="3216"/>
      <c r="B199" s="3017" t="s">
        <v>3314</v>
      </c>
      <c r="C199" s="3017">
        <v>61</v>
      </c>
    </row>
    <row r="200" spans="1:3">
      <c r="A200" s="3216"/>
      <c r="B200" s="3017" t="s">
        <v>3315</v>
      </c>
      <c r="C200" s="3017">
        <v>35</v>
      </c>
    </row>
    <row r="201" spans="1:3">
      <c r="A201" s="3216"/>
      <c r="B201" s="3017" t="s">
        <v>3316</v>
      </c>
      <c r="C201" s="3017">
        <v>34</v>
      </c>
    </row>
    <row r="202" spans="1:3">
      <c r="A202" s="3216"/>
      <c r="B202" s="3017" t="s">
        <v>3317</v>
      </c>
      <c r="C202" s="3017">
        <v>1192</v>
      </c>
    </row>
    <row r="203" spans="1:3">
      <c r="A203" s="3216"/>
      <c r="B203" s="3017" t="s">
        <v>3318</v>
      </c>
      <c r="C203" s="3022">
        <v>15</v>
      </c>
    </row>
    <row r="204" spans="1:3">
      <c r="A204" s="3216"/>
      <c r="B204" s="3017" t="s">
        <v>3319</v>
      </c>
      <c r="C204" s="3022">
        <v>21</v>
      </c>
    </row>
    <row r="205" spans="1:3">
      <c r="A205" s="3216"/>
      <c r="B205" s="3017" t="s">
        <v>3320</v>
      </c>
      <c r="C205" s="3022">
        <v>1.5</v>
      </c>
    </row>
    <row r="206" spans="1:3">
      <c r="A206" s="3217"/>
      <c r="B206" s="3017" t="s">
        <v>3321</v>
      </c>
      <c r="C206" s="3022">
        <v>1.5</v>
      </c>
    </row>
    <row r="207" spans="1:3">
      <c r="A207" s="3215" t="s">
        <v>3322</v>
      </c>
      <c r="B207" s="3017" t="s">
        <v>3323</v>
      </c>
      <c r="C207" s="3017">
        <v>4141</v>
      </c>
    </row>
    <row r="208" spans="1:3">
      <c r="A208" s="3218"/>
      <c r="B208" s="3017" t="s">
        <v>3324</v>
      </c>
      <c r="C208" s="3017">
        <v>3321</v>
      </c>
    </row>
    <row r="209" spans="1:5">
      <c r="A209" s="3218"/>
      <c r="B209" s="3017" t="s">
        <v>3325</v>
      </c>
      <c r="C209" s="3017">
        <v>70</v>
      </c>
    </row>
    <row r="210" spans="1:5">
      <c r="A210" s="3218"/>
      <c r="B210" s="3017" t="s">
        <v>3326</v>
      </c>
      <c r="C210" s="3017">
        <v>186</v>
      </c>
    </row>
    <row r="211" spans="1:5">
      <c r="A211" s="3218"/>
      <c r="B211" s="3017" t="s">
        <v>3327</v>
      </c>
      <c r="C211" s="3017">
        <v>169</v>
      </c>
    </row>
    <row r="212" spans="1:5">
      <c r="A212" s="3218"/>
      <c r="B212" s="3017" t="s">
        <v>3328</v>
      </c>
      <c r="C212" s="3017">
        <v>227</v>
      </c>
    </row>
    <row r="213" spans="1:5">
      <c r="A213" s="3218"/>
      <c r="B213" s="3017" t="s">
        <v>3329</v>
      </c>
      <c r="C213" s="3017">
        <v>296</v>
      </c>
    </row>
    <row r="214" spans="1:5">
      <c r="A214" s="3218"/>
      <c r="B214" s="3017" t="s">
        <v>3330</v>
      </c>
      <c r="C214" s="3017">
        <v>177</v>
      </c>
    </row>
    <row r="215" spans="1:5">
      <c r="A215" s="3218"/>
      <c r="B215" s="3017" t="s">
        <v>3331</v>
      </c>
      <c r="C215" s="3017">
        <v>805</v>
      </c>
    </row>
    <row r="216" spans="1:5">
      <c r="A216" s="3204" t="s">
        <v>3332</v>
      </c>
      <c r="B216" s="3204"/>
      <c r="C216" s="3001">
        <f>SUM(C171:C215)</f>
        <v>16298</v>
      </c>
      <c r="E216" s="2981">
        <f>C216-C181</f>
        <v>16236</v>
      </c>
    </row>
    <row r="217" spans="1:5">
      <c r="A217" s="3205" t="s">
        <v>3333</v>
      </c>
      <c r="B217" s="3206"/>
      <c r="C217" s="3207"/>
      <c r="E217" s="2981"/>
    </row>
    <row r="218" spans="1:5">
      <c r="A218" s="3023" t="s">
        <v>3333</v>
      </c>
      <c r="B218" s="3001" t="s">
        <v>3334</v>
      </c>
      <c r="C218" s="3001">
        <v>186</v>
      </c>
      <c r="D218" s="3024" t="s">
        <v>3335</v>
      </c>
    </row>
  </sheetData>
  <mergeCells count="26">
    <mergeCell ref="A1:J1"/>
    <mergeCell ref="H2:I2"/>
    <mergeCell ref="A3:A4"/>
    <mergeCell ref="B3:D3"/>
    <mergeCell ref="E3:E4"/>
    <mergeCell ref="F3:J3"/>
    <mergeCell ref="A142:A152"/>
    <mergeCell ref="A19:E19"/>
    <mergeCell ref="A22:A32"/>
    <mergeCell ref="A34:A44"/>
    <mergeCell ref="A46:A56"/>
    <mergeCell ref="A58:A68"/>
    <mergeCell ref="A70:A80"/>
    <mergeCell ref="A82:A92"/>
    <mergeCell ref="A94:A104"/>
    <mergeCell ref="A106:A116"/>
    <mergeCell ref="A118:A128"/>
    <mergeCell ref="A130:A140"/>
    <mergeCell ref="A216:B216"/>
    <mergeCell ref="A217:C217"/>
    <mergeCell ref="A154:A164"/>
    <mergeCell ref="A166:F166"/>
    <mergeCell ref="A169:C169"/>
    <mergeCell ref="A170:C170"/>
    <mergeCell ref="A171:A206"/>
    <mergeCell ref="A207:A215"/>
  </mergeCells>
  <phoneticPr fontId="140" type="noConversion"/>
  <pageMargins left="0.69930555555555596" right="0.69930555555555596" top="0.75" bottom="0.75" header="0.3" footer="0.3"/>
  <pageSetup paperSize="9"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30"/>
  <sheetViews>
    <sheetView workbookViewId="0">
      <pane xSplit="4" ySplit="1" topLeftCell="E74" activePane="bottomRight" state="frozen"/>
      <selection pane="topRight"/>
      <selection pane="bottomLeft"/>
      <selection pane="bottomRight" activeCell="L230" sqref="L230"/>
    </sheetView>
  </sheetViews>
  <sheetFormatPr defaultColWidth="9" defaultRowHeight="13.5"/>
  <cols>
    <col min="1" max="1" width="9" style="3036"/>
    <col min="2" max="2" width="7" style="3036" customWidth="1"/>
    <col min="3" max="3" width="6.5" style="3036" customWidth="1"/>
    <col min="4" max="4" width="16.75" style="3036" customWidth="1"/>
    <col min="5" max="5" width="24.5" style="3036" customWidth="1"/>
    <col min="6" max="6" width="11.625" style="3036" customWidth="1"/>
    <col min="7" max="7" width="12.25" style="3107" customWidth="1"/>
    <col min="8" max="11" width="9" style="3036"/>
    <col min="12" max="12" width="9" style="3108"/>
    <col min="13" max="15" width="9" style="3036"/>
    <col min="16" max="16" width="13" style="3036" customWidth="1"/>
    <col min="17" max="17" width="12" style="3036" customWidth="1"/>
    <col min="18" max="18" width="13.125" style="3036" customWidth="1"/>
    <col min="19" max="19" width="17.25" style="3036" customWidth="1"/>
    <col min="20" max="20" width="11.625" style="3036" customWidth="1"/>
    <col min="21" max="257" width="9" style="3036"/>
    <col min="258" max="258" width="7" style="3036" customWidth="1"/>
    <col min="259" max="259" width="6.5" style="3036" customWidth="1"/>
    <col min="260" max="260" width="16.75" style="3036" customWidth="1"/>
    <col min="261" max="261" width="24.5" style="3036" customWidth="1"/>
    <col min="262" max="262" width="11.625" style="3036" customWidth="1"/>
    <col min="263" max="263" width="12.25" style="3036" customWidth="1"/>
    <col min="264" max="271" width="9" style="3036"/>
    <col min="272" max="272" width="13" style="3036" customWidth="1"/>
    <col min="273" max="273" width="12" style="3036" customWidth="1"/>
    <col min="274" max="274" width="13.125" style="3036" customWidth="1"/>
    <col min="275" max="513" width="9" style="3036"/>
    <col min="514" max="514" width="7" style="3036" customWidth="1"/>
    <col min="515" max="515" width="6.5" style="3036" customWidth="1"/>
    <col min="516" max="516" width="16.75" style="3036" customWidth="1"/>
    <col min="517" max="517" width="24.5" style="3036" customWidth="1"/>
    <col min="518" max="518" width="11.625" style="3036" customWidth="1"/>
    <col min="519" max="519" width="12.25" style="3036" customWidth="1"/>
    <col min="520" max="527" width="9" style="3036"/>
    <col min="528" max="528" width="13" style="3036" customWidth="1"/>
    <col min="529" max="529" width="12" style="3036" customWidth="1"/>
    <col min="530" max="530" width="13.125" style="3036" customWidth="1"/>
    <col min="531" max="769" width="9" style="3036"/>
    <col min="770" max="770" width="7" style="3036" customWidth="1"/>
    <col min="771" max="771" width="6.5" style="3036" customWidth="1"/>
    <col min="772" max="772" width="16.75" style="3036" customWidth="1"/>
    <col min="773" max="773" width="24.5" style="3036" customWidth="1"/>
    <col min="774" max="774" width="11.625" style="3036" customWidth="1"/>
    <col min="775" max="775" width="12.25" style="3036" customWidth="1"/>
    <col min="776" max="783" width="9" style="3036"/>
    <col min="784" max="784" width="13" style="3036" customWidth="1"/>
    <col min="785" max="785" width="12" style="3036" customWidth="1"/>
    <col min="786" max="786" width="13.125" style="3036" customWidth="1"/>
    <col min="787" max="1025" width="9" style="3036"/>
    <col min="1026" max="1026" width="7" style="3036" customWidth="1"/>
    <col min="1027" max="1027" width="6.5" style="3036" customWidth="1"/>
    <col min="1028" max="1028" width="16.75" style="3036" customWidth="1"/>
    <col min="1029" max="1029" width="24.5" style="3036" customWidth="1"/>
    <col min="1030" max="1030" width="11.625" style="3036" customWidth="1"/>
    <col min="1031" max="1031" width="12.25" style="3036" customWidth="1"/>
    <col min="1032" max="1039" width="9" style="3036"/>
    <col min="1040" max="1040" width="13" style="3036" customWidth="1"/>
    <col min="1041" max="1041" width="12" style="3036" customWidth="1"/>
    <col min="1042" max="1042" width="13.125" style="3036" customWidth="1"/>
    <col min="1043" max="1281" width="9" style="3036"/>
    <col min="1282" max="1282" width="7" style="3036" customWidth="1"/>
    <col min="1283" max="1283" width="6.5" style="3036" customWidth="1"/>
    <col min="1284" max="1284" width="16.75" style="3036" customWidth="1"/>
    <col min="1285" max="1285" width="24.5" style="3036" customWidth="1"/>
    <col min="1286" max="1286" width="11.625" style="3036" customWidth="1"/>
    <col min="1287" max="1287" width="12.25" style="3036" customWidth="1"/>
    <col min="1288" max="1295" width="9" style="3036"/>
    <col min="1296" max="1296" width="13" style="3036" customWidth="1"/>
    <col min="1297" max="1297" width="12" style="3036" customWidth="1"/>
    <col min="1298" max="1298" width="13.125" style="3036" customWidth="1"/>
    <col min="1299" max="1537" width="9" style="3036"/>
    <col min="1538" max="1538" width="7" style="3036" customWidth="1"/>
    <col min="1539" max="1539" width="6.5" style="3036" customWidth="1"/>
    <col min="1540" max="1540" width="16.75" style="3036" customWidth="1"/>
    <col min="1541" max="1541" width="24.5" style="3036" customWidth="1"/>
    <col min="1542" max="1542" width="11.625" style="3036" customWidth="1"/>
    <col min="1543" max="1543" width="12.25" style="3036" customWidth="1"/>
    <col min="1544" max="1551" width="9" style="3036"/>
    <col min="1552" max="1552" width="13" style="3036" customWidth="1"/>
    <col min="1553" max="1553" width="12" style="3036" customWidth="1"/>
    <col min="1554" max="1554" width="13.125" style="3036" customWidth="1"/>
    <col min="1555" max="1793" width="9" style="3036"/>
    <col min="1794" max="1794" width="7" style="3036" customWidth="1"/>
    <col min="1795" max="1795" width="6.5" style="3036" customWidth="1"/>
    <col min="1796" max="1796" width="16.75" style="3036" customWidth="1"/>
    <col min="1797" max="1797" width="24.5" style="3036" customWidth="1"/>
    <col min="1798" max="1798" width="11.625" style="3036" customWidth="1"/>
    <col min="1799" max="1799" width="12.25" style="3036" customWidth="1"/>
    <col min="1800" max="1807" width="9" style="3036"/>
    <col min="1808" max="1808" width="13" style="3036" customWidth="1"/>
    <col min="1809" max="1809" width="12" style="3036" customWidth="1"/>
    <col min="1810" max="1810" width="13.125" style="3036" customWidth="1"/>
    <col min="1811" max="2049" width="9" style="3036"/>
    <col min="2050" max="2050" width="7" style="3036" customWidth="1"/>
    <col min="2051" max="2051" width="6.5" style="3036" customWidth="1"/>
    <col min="2052" max="2052" width="16.75" style="3036" customWidth="1"/>
    <col min="2053" max="2053" width="24.5" style="3036" customWidth="1"/>
    <col min="2054" max="2054" width="11.625" style="3036" customWidth="1"/>
    <col min="2055" max="2055" width="12.25" style="3036" customWidth="1"/>
    <col min="2056" max="2063" width="9" style="3036"/>
    <col min="2064" max="2064" width="13" style="3036" customWidth="1"/>
    <col min="2065" max="2065" width="12" style="3036" customWidth="1"/>
    <col min="2066" max="2066" width="13.125" style="3036" customWidth="1"/>
    <col min="2067" max="2305" width="9" style="3036"/>
    <col min="2306" max="2306" width="7" style="3036" customWidth="1"/>
    <col min="2307" max="2307" width="6.5" style="3036" customWidth="1"/>
    <col min="2308" max="2308" width="16.75" style="3036" customWidth="1"/>
    <col min="2309" max="2309" width="24.5" style="3036" customWidth="1"/>
    <col min="2310" max="2310" width="11.625" style="3036" customWidth="1"/>
    <col min="2311" max="2311" width="12.25" style="3036" customWidth="1"/>
    <col min="2312" max="2319" width="9" style="3036"/>
    <col min="2320" max="2320" width="13" style="3036" customWidth="1"/>
    <col min="2321" max="2321" width="12" style="3036" customWidth="1"/>
    <col min="2322" max="2322" width="13.125" style="3036" customWidth="1"/>
    <col min="2323" max="2561" width="9" style="3036"/>
    <col min="2562" max="2562" width="7" style="3036" customWidth="1"/>
    <col min="2563" max="2563" width="6.5" style="3036" customWidth="1"/>
    <col min="2564" max="2564" width="16.75" style="3036" customWidth="1"/>
    <col min="2565" max="2565" width="24.5" style="3036" customWidth="1"/>
    <col min="2566" max="2566" width="11.625" style="3036" customWidth="1"/>
    <col min="2567" max="2567" width="12.25" style="3036" customWidth="1"/>
    <col min="2568" max="2575" width="9" style="3036"/>
    <col min="2576" max="2576" width="13" style="3036" customWidth="1"/>
    <col min="2577" max="2577" width="12" style="3036" customWidth="1"/>
    <col min="2578" max="2578" width="13.125" style="3036" customWidth="1"/>
    <col min="2579" max="2817" width="9" style="3036"/>
    <col min="2818" max="2818" width="7" style="3036" customWidth="1"/>
    <col min="2819" max="2819" width="6.5" style="3036" customWidth="1"/>
    <col min="2820" max="2820" width="16.75" style="3036" customWidth="1"/>
    <col min="2821" max="2821" width="24.5" style="3036" customWidth="1"/>
    <col min="2822" max="2822" width="11.625" style="3036" customWidth="1"/>
    <col min="2823" max="2823" width="12.25" style="3036" customWidth="1"/>
    <col min="2824" max="2831" width="9" style="3036"/>
    <col min="2832" max="2832" width="13" style="3036" customWidth="1"/>
    <col min="2833" max="2833" width="12" style="3036" customWidth="1"/>
    <col min="2834" max="2834" width="13.125" style="3036" customWidth="1"/>
    <col min="2835" max="3073" width="9" style="3036"/>
    <col min="3074" max="3074" width="7" style="3036" customWidth="1"/>
    <col min="3075" max="3075" width="6.5" style="3036" customWidth="1"/>
    <col min="3076" max="3076" width="16.75" style="3036" customWidth="1"/>
    <col min="3077" max="3077" width="24.5" style="3036" customWidth="1"/>
    <col min="3078" max="3078" width="11.625" style="3036" customWidth="1"/>
    <col min="3079" max="3079" width="12.25" style="3036" customWidth="1"/>
    <col min="3080" max="3087" width="9" style="3036"/>
    <col min="3088" max="3088" width="13" style="3036" customWidth="1"/>
    <col min="3089" max="3089" width="12" style="3036" customWidth="1"/>
    <col min="3090" max="3090" width="13.125" style="3036" customWidth="1"/>
    <col min="3091" max="3329" width="9" style="3036"/>
    <col min="3330" max="3330" width="7" style="3036" customWidth="1"/>
    <col min="3331" max="3331" width="6.5" style="3036" customWidth="1"/>
    <col min="3332" max="3332" width="16.75" style="3036" customWidth="1"/>
    <col min="3333" max="3333" width="24.5" style="3036" customWidth="1"/>
    <col min="3334" max="3334" width="11.625" style="3036" customWidth="1"/>
    <col min="3335" max="3335" width="12.25" style="3036" customWidth="1"/>
    <col min="3336" max="3343" width="9" style="3036"/>
    <col min="3344" max="3344" width="13" style="3036" customWidth="1"/>
    <col min="3345" max="3345" width="12" style="3036" customWidth="1"/>
    <col min="3346" max="3346" width="13.125" style="3036" customWidth="1"/>
    <col min="3347" max="3585" width="9" style="3036"/>
    <col min="3586" max="3586" width="7" style="3036" customWidth="1"/>
    <col min="3587" max="3587" width="6.5" style="3036" customWidth="1"/>
    <col min="3588" max="3588" width="16.75" style="3036" customWidth="1"/>
    <col min="3589" max="3589" width="24.5" style="3036" customWidth="1"/>
    <col min="3590" max="3590" width="11.625" style="3036" customWidth="1"/>
    <col min="3591" max="3591" width="12.25" style="3036" customWidth="1"/>
    <col min="3592" max="3599" width="9" style="3036"/>
    <col min="3600" max="3600" width="13" style="3036" customWidth="1"/>
    <col min="3601" max="3601" width="12" style="3036" customWidth="1"/>
    <col min="3602" max="3602" width="13.125" style="3036" customWidth="1"/>
    <col min="3603" max="3841" width="9" style="3036"/>
    <col min="3842" max="3842" width="7" style="3036" customWidth="1"/>
    <col min="3843" max="3843" width="6.5" style="3036" customWidth="1"/>
    <col min="3844" max="3844" width="16.75" style="3036" customWidth="1"/>
    <col min="3845" max="3845" width="24.5" style="3036" customWidth="1"/>
    <col min="3846" max="3846" width="11.625" style="3036" customWidth="1"/>
    <col min="3847" max="3847" width="12.25" style="3036" customWidth="1"/>
    <col min="3848" max="3855" width="9" style="3036"/>
    <col min="3856" max="3856" width="13" style="3036" customWidth="1"/>
    <col min="3857" max="3857" width="12" style="3036" customWidth="1"/>
    <col min="3858" max="3858" width="13.125" style="3036" customWidth="1"/>
    <col min="3859" max="4097" width="9" style="3036"/>
    <col min="4098" max="4098" width="7" style="3036" customWidth="1"/>
    <col min="4099" max="4099" width="6.5" style="3036" customWidth="1"/>
    <col min="4100" max="4100" width="16.75" style="3036" customWidth="1"/>
    <col min="4101" max="4101" width="24.5" style="3036" customWidth="1"/>
    <col min="4102" max="4102" width="11.625" style="3036" customWidth="1"/>
    <col min="4103" max="4103" width="12.25" style="3036" customWidth="1"/>
    <col min="4104" max="4111" width="9" style="3036"/>
    <col min="4112" max="4112" width="13" style="3036" customWidth="1"/>
    <col min="4113" max="4113" width="12" style="3036" customWidth="1"/>
    <col min="4114" max="4114" width="13.125" style="3036" customWidth="1"/>
    <col min="4115" max="4353" width="9" style="3036"/>
    <col min="4354" max="4354" width="7" style="3036" customWidth="1"/>
    <col min="4355" max="4355" width="6.5" style="3036" customWidth="1"/>
    <col min="4356" max="4356" width="16.75" style="3036" customWidth="1"/>
    <col min="4357" max="4357" width="24.5" style="3036" customWidth="1"/>
    <col min="4358" max="4358" width="11.625" style="3036" customWidth="1"/>
    <col min="4359" max="4359" width="12.25" style="3036" customWidth="1"/>
    <col min="4360" max="4367" width="9" style="3036"/>
    <col min="4368" max="4368" width="13" style="3036" customWidth="1"/>
    <col min="4369" max="4369" width="12" style="3036" customWidth="1"/>
    <col min="4370" max="4370" width="13.125" style="3036" customWidth="1"/>
    <col min="4371" max="4609" width="9" style="3036"/>
    <col min="4610" max="4610" width="7" style="3036" customWidth="1"/>
    <col min="4611" max="4611" width="6.5" style="3036" customWidth="1"/>
    <col min="4612" max="4612" width="16.75" style="3036" customWidth="1"/>
    <col min="4613" max="4613" width="24.5" style="3036" customWidth="1"/>
    <col min="4614" max="4614" width="11.625" style="3036" customWidth="1"/>
    <col min="4615" max="4615" width="12.25" style="3036" customWidth="1"/>
    <col min="4616" max="4623" width="9" style="3036"/>
    <col min="4624" max="4624" width="13" style="3036" customWidth="1"/>
    <col min="4625" max="4625" width="12" style="3036" customWidth="1"/>
    <col min="4626" max="4626" width="13.125" style="3036" customWidth="1"/>
    <col min="4627" max="4865" width="9" style="3036"/>
    <col min="4866" max="4866" width="7" style="3036" customWidth="1"/>
    <col min="4867" max="4867" width="6.5" style="3036" customWidth="1"/>
    <col min="4868" max="4868" width="16.75" style="3036" customWidth="1"/>
    <col min="4869" max="4869" width="24.5" style="3036" customWidth="1"/>
    <col min="4870" max="4870" width="11.625" style="3036" customWidth="1"/>
    <col min="4871" max="4871" width="12.25" style="3036" customWidth="1"/>
    <col min="4872" max="4879" width="9" style="3036"/>
    <col min="4880" max="4880" width="13" style="3036" customWidth="1"/>
    <col min="4881" max="4881" width="12" style="3036" customWidth="1"/>
    <col min="4882" max="4882" width="13.125" style="3036" customWidth="1"/>
    <col min="4883" max="5121" width="9" style="3036"/>
    <col min="5122" max="5122" width="7" style="3036" customWidth="1"/>
    <col min="5123" max="5123" width="6.5" style="3036" customWidth="1"/>
    <col min="5124" max="5124" width="16.75" style="3036" customWidth="1"/>
    <col min="5125" max="5125" width="24.5" style="3036" customWidth="1"/>
    <col min="5126" max="5126" width="11.625" style="3036" customWidth="1"/>
    <col min="5127" max="5127" width="12.25" style="3036" customWidth="1"/>
    <col min="5128" max="5135" width="9" style="3036"/>
    <col min="5136" max="5136" width="13" style="3036" customWidth="1"/>
    <col min="5137" max="5137" width="12" style="3036" customWidth="1"/>
    <col min="5138" max="5138" width="13.125" style="3036" customWidth="1"/>
    <col min="5139" max="5377" width="9" style="3036"/>
    <col min="5378" max="5378" width="7" style="3036" customWidth="1"/>
    <col min="5379" max="5379" width="6.5" style="3036" customWidth="1"/>
    <col min="5380" max="5380" width="16.75" style="3036" customWidth="1"/>
    <col min="5381" max="5381" width="24.5" style="3036" customWidth="1"/>
    <col min="5382" max="5382" width="11.625" style="3036" customWidth="1"/>
    <col min="5383" max="5383" width="12.25" style="3036" customWidth="1"/>
    <col min="5384" max="5391" width="9" style="3036"/>
    <col min="5392" max="5392" width="13" style="3036" customWidth="1"/>
    <col min="5393" max="5393" width="12" style="3036" customWidth="1"/>
    <col min="5394" max="5394" width="13.125" style="3036" customWidth="1"/>
    <col min="5395" max="5633" width="9" style="3036"/>
    <col min="5634" max="5634" width="7" style="3036" customWidth="1"/>
    <col min="5635" max="5635" width="6.5" style="3036" customWidth="1"/>
    <col min="5636" max="5636" width="16.75" style="3036" customWidth="1"/>
    <col min="5637" max="5637" width="24.5" style="3036" customWidth="1"/>
    <col min="5638" max="5638" width="11.625" style="3036" customWidth="1"/>
    <col min="5639" max="5639" width="12.25" style="3036" customWidth="1"/>
    <col min="5640" max="5647" width="9" style="3036"/>
    <col min="5648" max="5648" width="13" style="3036" customWidth="1"/>
    <col min="5649" max="5649" width="12" style="3036" customWidth="1"/>
    <col min="5650" max="5650" width="13.125" style="3036" customWidth="1"/>
    <col min="5651" max="5889" width="9" style="3036"/>
    <col min="5890" max="5890" width="7" style="3036" customWidth="1"/>
    <col min="5891" max="5891" width="6.5" style="3036" customWidth="1"/>
    <col min="5892" max="5892" width="16.75" style="3036" customWidth="1"/>
    <col min="5893" max="5893" width="24.5" style="3036" customWidth="1"/>
    <col min="5894" max="5894" width="11.625" style="3036" customWidth="1"/>
    <col min="5895" max="5895" width="12.25" style="3036" customWidth="1"/>
    <col min="5896" max="5903" width="9" style="3036"/>
    <col min="5904" max="5904" width="13" style="3036" customWidth="1"/>
    <col min="5905" max="5905" width="12" style="3036" customWidth="1"/>
    <col min="5906" max="5906" width="13.125" style="3036" customWidth="1"/>
    <col min="5907" max="6145" width="9" style="3036"/>
    <col min="6146" max="6146" width="7" style="3036" customWidth="1"/>
    <col min="6147" max="6147" width="6.5" style="3036" customWidth="1"/>
    <col min="6148" max="6148" width="16.75" style="3036" customWidth="1"/>
    <col min="6149" max="6149" width="24.5" style="3036" customWidth="1"/>
    <col min="6150" max="6150" width="11.625" style="3036" customWidth="1"/>
    <col min="6151" max="6151" width="12.25" style="3036" customWidth="1"/>
    <col min="6152" max="6159" width="9" style="3036"/>
    <col min="6160" max="6160" width="13" style="3036" customWidth="1"/>
    <col min="6161" max="6161" width="12" style="3036" customWidth="1"/>
    <col min="6162" max="6162" width="13.125" style="3036" customWidth="1"/>
    <col min="6163" max="6401" width="9" style="3036"/>
    <col min="6402" max="6402" width="7" style="3036" customWidth="1"/>
    <col min="6403" max="6403" width="6.5" style="3036" customWidth="1"/>
    <col min="6404" max="6404" width="16.75" style="3036" customWidth="1"/>
    <col min="6405" max="6405" width="24.5" style="3036" customWidth="1"/>
    <col min="6406" max="6406" width="11.625" style="3036" customWidth="1"/>
    <col min="6407" max="6407" width="12.25" style="3036" customWidth="1"/>
    <col min="6408" max="6415" width="9" style="3036"/>
    <col min="6416" max="6416" width="13" style="3036" customWidth="1"/>
    <col min="6417" max="6417" width="12" style="3036" customWidth="1"/>
    <col min="6418" max="6418" width="13.125" style="3036" customWidth="1"/>
    <col min="6419" max="6657" width="9" style="3036"/>
    <col min="6658" max="6658" width="7" style="3036" customWidth="1"/>
    <col min="6659" max="6659" width="6.5" style="3036" customWidth="1"/>
    <col min="6660" max="6660" width="16.75" style="3036" customWidth="1"/>
    <col min="6661" max="6661" width="24.5" style="3036" customWidth="1"/>
    <col min="6662" max="6662" width="11.625" style="3036" customWidth="1"/>
    <col min="6663" max="6663" width="12.25" style="3036" customWidth="1"/>
    <col min="6664" max="6671" width="9" style="3036"/>
    <col min="6672" max="6672" width="13" style="3036" customWidth="1"/>
    <col min="6673" max="6673" width="12" style="3036" customWidth="1"/>
    <col min="6674" max="6674" width="13.125" style="3036" customWidth="1"/>
    <col min="6675" max="6913" width="9" style="3036"/>
    <col min="6914" max="6914" width="7" style="3036" customWidth="1"/>
    <col min="6915" max="6915" width="6.5" style="3036" customWidth="1"/>
    <col min="6916" max="6916" width="16.75" style="3036" customWidth="1"/>
    <col min="6917" max="6917" width="24.5" style="3036" customWidth="1"/>
    <col min="6918" max="6918" width="11.625" style="3036" customWidth="1"/>
    <col min="6919" max="6919" width="12.25" style="3036" customWidth="1"/>
    <col min="6920" max="6927" width="9" style="3036"/>
    <col min="6928" max="6928" width="13" style="3036" customWidth="1"/>
    <col min="6929" max="6929" width="12" style="3036" customWidth="1"/>
    <col min="6930" max="6930" width="13.125" style="3036" customWidth="1"/>
    <col min="6931" max="7169" width="9" style="3036"/>
    <col min="7170" max="7170" width="7" style="3036" customWidth="1"/>
    <col min="7171" max="7171" width="6.5" style="3036" customWidth="1"/>
    <col min="7172" max="7172" width="16.75" style="3036" customWidth="1"/>
    <col min="7173" max="7173" width="24.5" style="3036" customWidth="1"/>
    <col min="7174" max="7174" width="11.625" style="3036" customWidth="1"/>
    <col min="7175" max="7175" width="12.25" style="3036" customWidth="1"/>
    <col min="7176" max="7183" width="9" style="3036"/>
    <col min="7184" max="7184" width="13" style="3036" customWidth="1"/>
    <col min="7185" max="7185" width="12" style="3036" customWidth="1"/>
    <col min="7186" max="7186" width="13.125" style="3036" customWidth="1"/>
    <col min="7187" max="7425" width="9" style="3036"/>
    <col min="7426" max="7426" width="7" style="3036" customWidth="1"/>
    <col min="7427" max="7427" width="6.5" style="3036" customWidth="1"/>
    <col min="7428" max="7428" width="16.75" style="3036" customWidth="1"/>
    <col min="7429" max="7429" width="24.5" style="3036" customWidth="1"/>
    <col min="7430" max="7430" width="11.625" style="3036" customWidth="1"/>
    <col min="7431" max="7431" width="12.25" style="3036" customWidth="1"/>
    <col min="7432" max="7439" width="9" style="3036"/>
    <col min="7440" max="7440" width="13" style="3036" customWidth="1"/>
    <col min="7441" max="7441" width="12" style="3036" customWidth="1"/>
    <col min="7442" max="7442" width="13.125" style="3036" customWidth="1"/>
    <col min="7443" max="7681" width="9" style="3036"/>
    <col min="7682" max="7682" width="7" style="3036" customWidth="1"/>
    <col min="7683" max="7683" width="6.5" style="3036" customWidth="1"/>
    <col min="7684" max="7684" width="16.75" style="3036" customWidth="1"/>
    <col min="7685" max="7685" width="24.5" style="3036" customWidth="1"/>
    <col min="7686" max="7686" width="11.625" style="3036" customWidth="1"/>
    <col min="7687" max="7687" width="12.25" style="3036" customWidth="1"/>
    <col min="7688" max="7695" width="9" style="3036"/>
    <col min="7696" max="7696" width="13" style="3036" customWidth="1"/>
    <col min="7697" max="7697" width="12" style="3036" customWidth="1"/>
    <col min="7698" max="7698" width="13.125" style="3036" customWidth="1"/>
    <col min="7699" max="7937" width="9" style="3036"/>
    <col min="7938" max="7938" width="7" style="3036" customWidth="1"/>
    <col min="7939" max="7939" width="6.5" style="3036" customWidth="1"/>
    <col min="7940" max="7940" width="16.75" style="3036" customWidth="1"/>
    <col min="7941" max="7941" width="24.5" style="3036" customWidth="1"/>
    <col min="7942" max="7942" width="11.625" style="3036" customWidth="1"/>
    <col min="7943" max="7943" width="12.25" style="3036" customWidth="1"/>
    <col min="7944" max="7951" width="9" style="3036"/>
    <col min="7952" max="7952" width="13" style="3036" customWidth="1"/>
    <col min="7953" max="7953" width="12" style="3036" customWidth="1"/>
    <col min="7954" max="7954" width="13.125" style="3036" customWidth="1"/>
    <col min="7955" max="8193" width="9" style="3036"/>
    <col min="8194" max="8194" width="7" style="3036" customWidth="1"/>
    <col min="8195" max="8195" width="6.5" style="3036" customWidth="1"/>
    <col min="8196" max="8196" width="16.75" style="3036" customWidth="1"/>
    <col min="8197" max="8197" width="24.5" style="3036" customWidth="1"/>
    <col min="8198" max="8198" width="11.625" style="3036" customWidth="1"/>
    <col min="8199" max="8199" width="12.25" style="3036" customWidth="1"/>
    <col min="8200" max="8207" width="9" style="3036"/>
    <col min="8208" max="8208" width="13" style="3036" customWidth="1"/>
    <col min="8209" max="8209" width="12" style="3036" customWidth="1"/>
    <col min="8210" max="8210" width="13.125" style="3036" customWidth="1"/>
    <col min="8211" max="8449" width="9" style="3036"/>
    <col min="8450" max="8450" width="7" style="3036" customWidth="1"/>
    <col min="8451" max="8451" width="6.5" style="3036" customWidth="1"/>
    <col min="8452" max="8452" width="16.75" style="3036" customWidth="1"/>
    <col min="8453" max="8453" width="24.5" style="3036" customWidth="1"/>
    <col min="8454" max="8454" width="11.625" style="3036" customWidth="1"/>
    <col min="8455" max="8455" width="12.25" style="3036" customWidth="1"/>
    <col min="8456" max="8463" width="9" style="3036"/>
    <col min="8464" max="8464" width="13" style="3036" customWidth="1"/>
    <col min="8465" max="8465" width="12" style="3036" customWidth="1"/>
    <col min="8466" max="8466" width="13.125" style="3036" customWidth="1"/>
    <col min="8467" max="8705" width="9" style="3036"/>
    <col min="8706" max="8706" width="7" style="3036" customWidth="1"/>
    <col min="8707" max="8707" width="6.5" style="3036" customWidth="1"/>
    <col min="8708" max="8708" width="16.75" style="3036" customWidth="1"/>
    <col min="8709" max="8709" width="24.5" style="3036" customWidth="1"/>
    <col min="8710" max="8710" width="11.625" style="3036" customWidth="1"/>
    <col min="8711" max="8711" width="12.25" style="3036" customWidth="1"/>
    <col min="8712" max="8719" width="9" style="3036"/>
    <col min="8720" max="8720" width="13" style="3036" customWidth="1"/>
    <col min="8721" max="8721" width="12" style="3036" customWidth="1"/>
    <col min="8722" max="8722" width="13.125" style="3036" customWidth="1"/>
    <col min="8723" max="8961" width="9" style="3036"/>
    <col min="8962" max="8962" width="7" style="3036" customWidth="1"/>
    <col min="8963" max="8963" width="6.5" style="3036" customWidth="1"/>
    <col min="8964" max="8964" width="16.75" style="3036" customWidth="1"/>
    <col min="8965" max="8965" width="24.5" style="3036" customWidth="1"/>
    <col min="8966" max="8966" width="11.625" style="3036" customWidth="1"/>
    <col min="8967" max="8967" width="12.25" style="3036" customWidth="1"/>
    <col min="8968" max="8975" width="9" style="3036"/>
    <col min="8976" max="8976" width="13" style="3036" customWidth="1"/>
    <col min="8977" max="8977" width="12" style="3036" customWidth="1"/>
    <col min="8978" max="8978" width="13.125" style="3036" customWidth="1"/>
    <col min="8979" max="9217" width="9" style="3036"/>
    <col min="9218" max="9218" width="7" style="3036" customWidth="1"/>
    <col min="9219" max="9219" width="6.5" style="3036" customWidth="1"/>
    <col min="9220" max="9220" width="16.75" style="3036" customWidth="1"/>
    <col min="9221" max="9221" width="24.5" style="3036" customWidth="1"/>
    <col min="9222" max="9222" width="11.625" style="3036" customWidth="1"/>
    <col min="9223" max="9223" width="12.25" style="3036" customWidth="1"/>
    <col min="9224" max="9231" width="9" style="3036"/>
    <col min="9232" max="9232" width="13" style="3036" customWidth="1"/>
    <col min="9233" max="9233" width="12" style="3036" customWidth="1"/>
    <col min="9234" max="9234" width="13.125" style="3036" customWidth="1"/>
    <col min="9235" max="9473" width="9" style="3036"/>
    <col min="9474" max="9474" width="7" style="3036" customWidth="1"/>
    <col min="9475" max="9475" width="6.5" style="3036" customWidth="1"/>
    <col min="9476" max="9476" width="16.75" style="3036" customWidth="1"/>
    <col min="9477" max="9477" width="24.5" style="3036" customWidth="1"/>
    <col min="9478" max="9478" width="11.625" style="3036" customWidth="1"/>
    <col min="9479" max="9479" width="12.25" style="3036" customWidth="1"/>
    <col min="9480" max="9487" width="9" style="3036"/>
    <col min="9488" max="9488" width="13" style="3036" customWidth="1"/>
    <col min="9489" max="9489" width="12" style="3036" customWidth="1"/>
    <col min="9490" max="9490" width="13.125" style="3036" customWidth="1"/>
    <col min="9491" max="9729" width="9" style="3036"/>
    <col min="9730" max="9730" width="7" style="3036" customWidth="1"/>
    <col min="9731" max="9731" width="6.5" style="3036" customWidth="1"/>
    <col min="9732" max="9732" width="16.75" style="3036" customWidth="1"/>
    <col min="9733" max="9733" width="24.5" style="3036" customWidth="1"/>
    <col min="9734" max="9734" width="11.625" style="3036" customWidth="1"/>
    <col min="9735" max="9735" width="12.25" style="3036" customWidth="1"/>
    <col min="9736" max="9743" width="9" style="3036"/>
    <col min="9744" max="9744" width="13" style="3036" customWidth="1"/>
    <col min="9745" max="9745" width="12" style="3036" customWidth="1"/>
    <col min="9746" max="9746" width="13.125" style="3036" customWidth="1"/>
    <col min="9747" max="9985" width="9" style="3036"/>
    <col min="9986" max="9986" width="7" style="3036" customWidth="1"/>
    <col min="9987" max="9987" width="6.5" style="3036" customWidth="1"/>
    <col min="9988" max="9988" width="16.75" style="3036" customWidth="1"/>
    <col min="9989" max="9989" width="24.5" style="3036" customWidth="1"/>
    <col min="9990" max="9990" width="11.625" style="3036" customWidth="1"/>
    <col min="9991" max="9991" width="12.25" style="3036" customWidth="1"/>
    <col min="9992" max="9999" width="9" style="3036"/>
    <col min="10000" max="10000" width="13" style="3036" customWidth="1"/>
    <col min="10001" max="10001" width="12" style="3036" customWidth="1"/>
    <col min="10002" max="10002" width="13.125" style="3036" customWidth="1"/>
    <col min="10003" max="10241" width="9" style="3036"/>
    <col min="10242" max="10242" width="7" style="3036" customWidth="1"/>
    <col min="10243" max="10243" width="6.5" style="3036" customWidth="1"/>
    <col min="10244" max="10244" width="16.75" style="3036" customWidth="1"/>
    <col min="10245" max="10245" width="24.5" style="3036" customWidth="1"/>
    <col min="10246" max="10246" width="11.625" style="3036" customWidth="1"/>
    <col min="10247" max="10247" width="12.25" style="3036" customWidth="1"/>
    <col min="10248" max="10255" width="9" style="3036"/>
    <col min="10256" max="10256" width="13" style="3036" customWidth="1"/>
    <col min="10257" max="10257" width="12" style="3036" customWidth="1"/>
    <col min="10258" max="10258" width="13.125" style="3036" customWidth="1"/>
    <col min="10259" max="10497" width="9" style="3036"/>
    <col min="10498" max="10498" width="7" style="3036" customWidth="1"/>
    <col min="10499" max="10499" width="6.5" style="3036" customWidth="1"/>
    <col min="10500" max="10500" width="16.75" style="3036" customWidth="1"/>
    <col min="10501" max="10501" width="24.5" style="3036" customWidth="1"/>
    <col min="10502" max="10502" width="11.625" style="3036" customWidth="1"/>
    <col min="10503" max="10503" width="12.25" style="3036" customWidth="1"/>
    <col min="10504" max="10511" width="9" style="3036"/>
    <col min="10512" max="10512" width="13" style="3036" customWidth="1"/>
    <col min="10513" max="10513" width="12" style="3036" customWidth="1"/>
    <col min="10514" max="10514" width="13.125" style="3036" customWidth="1"/>
    <col min="10515" max="10753" width="9" style="3036"/>
    <col min="10754" max="10754" width="7" style="3036" customWidth="1"/>
    <col min="10755" max="10755" width="6.5" style="3036" customWidth="1"/>
    <col min="10756" max="10756" width="16.75" style="3036" customWidth="1"/>
    <col min="10757" max="10757" width="24.5" style="3036" customWidth="1"/>
    <col min="10758" max="10758" width="11.625" style="3036" customWidth="1"/>
    <col min="10759" max="10759" width="12.25" style="3036" customWidth="1"/>
    <col min="10760" max="10767" width="9" style="3036"/>
    <col min="10768" max="10768" width="13" style="3036" customWidth="1"/>
    <col min="10769" max="10769" width="12" style="3036" customWidth="1"/>
    <col min="10770" max="10770" width="13.125" style="3036" customWidth="1"/>
    <col min="10771" max="11009" width="9" style="3036"/>
    <col min="11010" max="11010" width="7" style="3036" customWidth="1"/>
    <col min="11011" max="11011" width="6.5" style="3036" customWidth="1"/>
    <col min="11012" max="11012" width="16.75" style="3036" customWidth="1"/>
    <col min="11013" max="11013" width="24.5" style="3036" customWidth="1"/>
    <col min="11014" max="11014" width="11.625" style="3036" customWidth="1"/>
    <col min="11015" max="11015" width="12.25" style="3036" customWidth="1"/>
    <col min="11016" max="11023" width="9" style="3036"/>
    <col min="11024" max="11024" width="13" style="3036" customWidth="1"/>
    <col min="11025" max="11025" width="12" style="3036" customWidth="1"/>
    <col min="11026" max="11026" width="13.125" style="3036" customWidth="1"/>
    <col min="11027" max="11265" width="9" style="3036"/>
    <col min="11266" max="11266" width="7" style="3036" customWidth="1"/>
    <col min="11267" max="11267" width="6.5" style="3036" customWidth="1"/>
    <col min="11268" max="11268" width="16.75" style="3036" customWidth="1"/>
    <col min="11269" max="11269" width="24.5" style="3036" customWidth="1"/>
    <col min="11270" max="11270" width="11.625" style="3036" customWidth="1"/>
    <col min="11271" max="11271" width="12.25" style="3036" customWidth="1"/>
    <col min="11272" max="11279" width="9" style="3036"/>
    <col min="11280" max="11280" width="13" style="3036" customWidth="1"/>
    <col min="11281" max="11281" width="12" style="3036" customWidth="1"/>
    <col min="11282" max="11282" width="13.125" style="3036" customWidth="1"/>
    <col min="11283" max="11521" width="9" style="3036"/>
    <col min="11522" max="11522" width="7" style="3036" customWidth="1"/>
    <col min="11523" max="11523" width="6.5" style="3036" customWidth="1"/>
    <col min="11524" max="11524" width="16.75" style="3036" customWidth="1"/>
    <col min="11525" max="11525" width="24.5" style="3036" customWidth="1"/>
    <col min="11526" max="11526" width="11.625" style="3036" customWidth="1"/>
    <col min="11527" max="11527" width="12.25" style="3036" customWidth="1"/>
    <col min="11528" max="11535" width="9" style="3036"/>
    <col min="11536" max="11536" width="13" style="3036" customWidth="1"/>
    <col min="11537" max="11537" width="12" style="3036" customWidth="1"/>
    <col min="11538" max="11538" width="13.125" style="3036" customWidth="1"/>
    <col min="11539" max="11777" width="9" style="3036"/>
    <col min="11778" max="11778" width="7" style="3036" customWidth="1"/>
    <col min="11779" max="11779" width="6.5" style="3036" customWidth="1"/>
    <col min="11780" max="11780" width="16.75" style="3036" customWidth="1"/>
    <col min="11781" max="11781" width="24.5" style="3036" customWidth="1"/>
    <col min="11782" max="11782" width="11.625" style="3036" customWidth="1"/>
    <col min="11783" max="11783" width="12.25" style="3036" customWidth="1"/>
    <col min="11784" max="11791" width="9" style="3036"/>
    <col min="11792" max="11792" width="13" style="3036" customWidth="1"/>
    <col min="11793" max="11793" width="12" style="3036" customWidth="1"/>
    <col min="11794" max="11794" width="13.125" style="3036" customWidth="1"/>
    <col min="11795" max="12033" width="9" style="3036"/>
    <col min="12034" max="12034" width="7" style="3036" customWidth="1"/>
    <col min="12035" max="12035" width="6.5" style="3036" customWidth="1"/>
    <col min="12036" max="12036" width="16.75" style="3036" customWidth="1"/>
    <col min="12037" max="12037" width="24.5" style="3036" customWidth="1"/>
    <col min="12038" max="12038" width="11.625" style="3036" customWidth="1"/>
    <col min="12039" max="12039" width="12.25" style="3036" customWidth="1"/>
    <col min="12040" max="12047" width="9" style="3036"/>
    <col min="12048" max="12048" width="13" style="3036" customWidth="1"/>
    <col min="12049" max="12049" width="12" style="3036" customWidth="1"/>
    <col min="12050" max="12050" width="13.125" style="3036" customWidth="1"/>
    <col min="12051" max="12289" width="9" style="3036"/>
    <col min="12290" max="12290" width="7" style="3036" customWidth="1"/>
    <col min="12291" max="12291" width="6.5" style="3036" customWidth="1"/>
    <col min="12292" max="12292" width="16.75" style="3036" customWidth="1"/>
    <col min="12293" max="12293" width="24.5" style="3036" customWidth="1"/>
    <col min="12294" max="12294" width="11.625" style="3036" customWidth="1"/>
    <col min="12295" max="12295" width="12.25" style="3036" customWidth="1"/>
    <col min="12296" max="12303" width="9" style="3036"/>
    <col min="12304" max="12304" width="13" style="3036" customWidth="1"/>
    <col min="12305" max="12305" width="12" style="3036" customWidth="1"/>
    <col min="12306" max="12306" width="13.125" style="3036" customWidth="1"/>
    <col min="12307" max="12545" width="9" style="3036"/>
    <col min="12546" max="12546" width="7" style="3036" customWidth="1"/>
    <col min="12547" max="12547" width="6.5" style="3036" customWidth="1"/>
    <col min="12548" max="12548" width="16.75" style="3036" customWidth="1"/>
    <col min="12549" max="12549" width="24.5" style="3036" customWidth="1"/>
    <col min="12550" max="12550" width="11.625" style="3036" customWidth="1"/>
    <col min="12551" max="12551" width="12.25" style="3036" customWidth="1"/>
    <col min="12552" max="12559" width="9" style="3036"/>
    <col min="12560" max="12560" width="13" style="3036" customWidth="1"/>
    <col min="12561" max="12561" width="12" style="3036" customWidth="1"/>
    <col min="12562" max="12562" width="13.125" style="3036" customWidth="1"/>
    <col min="12563" max="12801" width="9" style="3036"/>
    <col min="12802" max="12802" width="7" style="3036" customWidth="1"/>
    <col min="12803" max="12803" width="6.5" style="3036" customWidth="1"/>
    <col min="12804" max="12804" width="16.75" style="3036" customWidth="1"/>
    <col min="12805" max="12805" width="24.5" style="3036" customWidth="1"/>
    <col min="12806" max="12806" width="11.625" style="3036" customWidth="1"/>
    <col min="12807" max="12807" width="12.25" style="3036" customWidth="1"/>
    <col min="12808" max="12815" width="9" style="3036"/>
    <col min="12816" max="12816" width="13" style="3036" customWidth="1"/>
    <col min="12817" max="12817" width="12" style="3036" customWidth="1"/>
    <col min="12818" max="12818" width="13.125" style="3036" customWidth="1"/>
    <col min="12819" max="13057" width="9" style="3036"/>
    <col min="13058" max="13058" width="7" style="3036" customWidth="1"/>
    <col min="13059" max="13059" width="6.5" style="3036" customWidth="1"/>
    <col min="13060" max="13060" width="16.75" style="3036" customWidth="1"/>
    <col min="13061" max="13061" width="24.5" style="3036" customWidth="1"/>
    <col min="13062" max="13062" width="11.625" style="3036" customWidth="1"/>
    <col min="13063" max="13063" width="12.25" style="3036" customWidth="1"/>
    <col min="13064" max="13071" width="9" style="3036"/>
    <col min="13072" max="13072" width="13" style="3036" customWidth="1"/>
    <col min="13073" max="13073" width="12" style="3036" customWidth="1"/>
    <col min="13074" max="13074" width="13.125" style="3036" customWidth="1"/>
    <col min="13075" max="13313" width="9" style="3036"/>
    <col min="13314" max="13314" width="7" style="3036" customWidth="1"/>
    <col min="13315" max="13315" width="6.5" style="3036" customWidth="1"/>
    <col min="13316" max="13316" width="16.75" style="3036" customWidth="1"/>
    <col min="13317" max="13317" width="24.5" style="3036" customWidth="1"/>
    <col min="13318" max="13318" width="11.625" style="3036" customWidth="1"/>
    <col min="13319" max="13319" width="12.25" style="3036" customWidth="1"/>
    <col min="13320" max="13327" width="9" style="3036"/>
    <col min="13328" max="13328" width="13" style="3036" customWidth="1"/>
    <col min="13329" max="13329" width="12" style="3036" customWidth="1"/>
    <col min="13330" max="13330" width="13.125" style="3036" customWidth="1"/>
    <col min="13331" max="13569" width="9" style="3036"/>
    <col min="13570" max="13570" width="7" style="3036" customWidth="1"/>
    <col min="13571" max="13571" width="6.5" style="3036" customWidth="1"/>
    <col min="13572" max="13572" width="16.75" style="3036" customWidth="1"/>
    <col min="13573" max="13573" width="24.5" style="3036" customWidth="1"/>
    <col min="13574" max="13574" width="11.625" style="3036" customWidth="1"/>
    <col min="13575" max="13575" width="12.25" style="3036" customWidth="1"/>
    <col min="13576" max="13583" width="9" style="3036"/>
    <col min="13584" max="13584" width="13" style="3036" customWidth="1"/>
    <col min="13585" max="13585" width="12" style="3036" customWidth="1"/>
    <col min="13586" max="13586" width="13.125" style="3036" customWidth="1"/>
    <col min="13587" max="13825" width="9" style="3036"/>
    <col min="13826" max="13826" width="7" style="3036" customWidth="1"/>
    <col min="13827" max="13827" width="6.5" style="3036" customWidth="1"/>
    <col min="13828" max="13828" width="16.75" style="3036" customWidth="1"/>
    <col min="13829" max="13829" width="24.5" style="3036" customWidth="1"/>
    <col min="13830" max="13830" width="11.625" style="3036" customWidth="1"/>
    <col min="13831" max="13831" width="12.25" style="3036" customWidth="1"/>
    <col min="13832" max="13839" width="9" style="3036"/>
    <col min="13840" max="13840" width="13" style="3036" customWidth="1"/>
    <col min="13841" max="13841" width="12" style="3036" customWidth="1"/>
    <col min="13842" max="13842" width="13.125" style="3036" customWidth="1"/>
    <col min="13843" max="14081" width="9" style="3036"/>
    <col min="14082" max="14082" width="7" style="3036" customWidth="1"/>
    <col min="14083" max="14083" width="6.5" style="3036" customWidth="1"/>
    <col min="14084" max="14084" width="16.75" style="3036" customWidth="1"/>
    <col min="14085" max="14085" width="24.5" style="3036" customWidth="1"/>
    <col min="14086" max="14086" width="11.625" style="3036" customWidth="1"/>
    <col min="14087" max="14087" width="12.25" style="3036" customWidth="1"/>
    <col min="14088" max="14095" width="9" style="3036"/>
    <col min="14096" max="14096" width="13" style="3036" customWidth="1"/>
    <col min="14097" max="14097" width="12" style="3036" customWidth="1"/>
    <col min="14098" max="14098" width="13.125" style="3036" customWidth="1"/>
    <col min="14099" max="14337" width="9" style="3036"/>
    <col min="14338" max="14338" width="7" style="3036" customWidth="1"/>
    <col min="14339" max="14339" width="6.5" style="3036" customWidth="1"/>
    <col min="14340" max="14340" width="16.75" style="3036" customWidth="1"/>
    <col min="14341" max="14341" width="24.5" style="3036" customWidth="1"/>
    <col min="14342" max="14342" width="11.625" style="3036" customWidth="1"/>
    <col min="14343" max="14343" width="12.25" style="3036" customWidth="1"/>
    <col min="14344" max="14351" width="9" style="3036"/>
    <col min="14352" max="14352" width="13" style="3036" customWidth="1"/>
    <col min="14353" max="14353" width="12" style="3036" customWidth="1"/>
    <col min="14354" max="14354" width="13.125" style="3036" customWidth="1"/>
    <col min="14355" max="14593" width="9" style="3036"/>
    <col min="14594" max="14594" width="7" style="3036" customWidth="1"/>
    <col min="14595" max="14595" width="6.5" style="3036" customWidth="1"/>
    <col min="14596" max="14596" width="16.75" style="3036" customWidth="1"/>
    <col min="14597" max="14597" width="24.5" style="3036" customWidth="1"/>
    <col min="14598" max="14598" width="11.625" style="3036" customWidth="1"/>
    <col min="14599" max="14599" width="12.25" style="3036" customWidth="1"/>
    <col min="14600" max="14607" width="9" style="3036"/>
    <col min="14608" max="14608" width="13" style="3036" customWidth="1"/>
    <col min="14609" max="14609" width="12" style="3036" customWidth="1"/>
    <col min="14610" max="14610" width="13.125" style="3036" customWidth="1"/>
    <col min="14611" max="14849" width="9" style="3036"/>
    <col min="14850" max="14850" width="7" style="3036" customWidth="1"/>
    <col min="14851" max="14851" width="6.5" style="3036" customWidth="1"/>
    <col min="14852" max="14852" width="16.75" style="3036" customWidth="1"/>
    <col min="14853" max="14853" width="24.5" style="3036" customWidth="1"/>
    <col min="14854" max="14854" width="11.625" style="3036" customWidth="1"/>
    <col min="14855" max="14855" width="12.25" style="3036" customWidth="1"/>
    <col min="14856" max="14863" width="9" style="3036"/>
    <col min="14864" max="14864" width="13" style="3036" customWidth="1"/>
    <col min="14865" max="14865" width="12" style="3036" customWidth="1"/>
    <col min="14866" max="14866" width="13.125" style="3036" customWidth="1"/>
    <col min="14867" max="15105" width="9" style="3036"/>
    <col min="15106" max="15106" width="7" style="3036" customWidth="1"/>
    <col min="15107" max="15107" width="6.5" style="3036" customWidth="1"/>
    <col min="15108" max="15108" width="16.75" style="3036" customWidth="1"/>
    <col min="15109" max="15109" width="24.5" style="3036" customWidth="1"/>
    <col min="15110" max="15110" width="11.625" style="3036" customWidth="1"/>
    <col min="15111" max="15111" width="12.25" style="3036" customWidth="1"/>
    <col min="15112" max="15119" width="9" style="3036"/>
    <col min="15120" max="15120" width="13" style="3036" customWidth="1"/>
    <col min="15121" max="15121" width="12" style="3036" customWidth="1"/>
    <col min="15122" max="15122" width="13.125" style="3036" customWidth="1"/>
    <col min="15123" max="15361" width="9" style="3036"/>
    <col min="15362" max="15362" width="7" style="3036" customWidth="1"/>
    <col min="15363" max="15363" width="6.5" style="3036" customWidth="1"/>
    <col min="15364" max="15364" width="16.75" style="3036" customWidth="1"/>
    <col min="15365" max="15365" width="24.5" style="3036" customWidth="1"/>
    <col min="15366" max="15366" width="11.625" style="3036" customWidth="1"/>
    <col min="15367" max="15367" width="12.25" style="3036" customWidth="1"/>
    <col min="15368" max="15375" width="9" style="3036"/>
    <col min="15376" max="15376" width="13" style="3036" customWidth="1"/>
    <col min="15377" max="15377" width="12" style="3036" customWidth="1"/>
    <col min="15378" max="15378" width="13.125" style="3036" customWidth="1"/>
    <col min="15379" max="15617" width="9" style="3036"/>
    <col min="15618" max="15618" width="7" style="3036" customWidth="1"/>
    <col min="15619" max="15619" width="6.5" style="3036" customWidth="1"/>
    <col min="15620" max="15620" width="16.75" style="3036" customWidth="1"/>
    <col min="15621" max="15621" width="24.5" style="3036" customWidth="1"/>
    <col min="15622" max="15622" width="11.625" style="3036" customWidth="1"/>
    <col min="15623" max="15623" width="12.25" style="3036" customWidth="1"/>
    <col min="15624" max="15631" width="9" style="3036"/>
    <col min="15632" max="15632" width="13" style="3036" customWidth="1"/>
    <col min="15633" max="15633" width="12" style="3036" customWidth="1"/>
    <col min="15634" max="15634" width="13.125" style="3036" customWidth="1"/>
    <col min="15635" max="15873" width="9" style="3036"/>
    <col min="15874" max="15874" width="7" style="3036" customWidth="1"/>
    <col min="15875" max="15875" width="6.5" style="3036" customWidth="1"/>
    <col min="15876" max="15876" width="16.75" style="3036" customWidth="1"/>
    <col min="15877" max="15877" width="24.5" style="3036" customWidth="1"/>
    <col min="15878" max="15878" width="11.625" style="3036" customWidth="1"/>
    <col min="15879" max="15879" width="12.25" style="3036" customWidth="1"/>
    <col min="15880" max="15887" width="9" style="3036"/>
    <col min="15888" max="15888" width="13" style="3036" customWidth="1"/>
    <col min="15889" max="15889" width="12" style="3036" customWidth="1"/>
    <col min="15890" max="15890" width="13.125" style="3036" customWidth="1"/>
    <col min="15891" max="16129" width="9" style="3036"/>
    <col min="16130" max="16130" width="7" style="3036" customWidth="1"/>
    <col min="16131" max="16131" width="6.5" style="3036" customWidth="1"/>
    <col min="16132" max="16132" width="16.75" style="3036" customWidth="1"/>
    <col min="16133" max="16133" width="24.5" style="3036" customWidth="1"/>
    <col min="16134" max="16134" width="11.625" style="3036" customWidth="1"/>
    <col min="16135" max="16135" width="12.25" style="3036" customWidth="1"/>
    <col min="16136" max="16143" width="9" style="3036"/>
    <col min="16144" max="16144" width="13" style="3036" customWidth="1"/>
    <col min="16145" max="16145" width="12" style="3036" customWidth="1"/>
    <col min="16146" max="16146" width="13.125" style="3036" customWidth="1"/>
    <col min="16147" max="16384" width="9" style="3036"/>
  </cols>
  <sheetData>
    <row r="1" spans="1:21" ht="16.5">
      <c r="A1" s="3025" t="s">
        <v>3336</v>
      </c>
      <c r="B1" s="3026" t="s">
        <v>3169</v>
      </c>
      <c r="C1" s="3026" t="s">
        <v>3247</v>
      </c>
      <c r="D1" s="3026" t="s">
        <v>3337</v>
      </c>
      <c r="E1" s="3027" t="s">
        <v>3338</v>
      </c>
      <c r="F1" s="3028" t="s">
        <v>3339</v>
      </c>
      <c r="G1" s="3029" t="s">
        <v>3340</v>
      </c>
      <c r="H1" s="3027" t="s">
        <v>3341</v>
      </c>
      <c r="I1" s="3027" t="s">
        <v>3342</v>
      </c>
      <c r="J1" s="3026" t="s">
        <v>3343</v>
      </c>
      <c r="K1" s="3028" t="s">
        <v>3344</v>
      </c>
      <c r="L1" s="3030" t="s">
        <v>3345</v>
      </c>
      <c r="M1" s="3031" t="s">
        <v>3346</v>
      </c>
      <c r="N1" s="3032" t="s">
        <v>3347</v>
      </c>
      <c r="O1" s="3033" t="s">
        <v>3348</v>
      </c>
      <c r="P1" s="3028" t="s">
        <v>3349</v>
      </c>
      <c r="Q1" s="3028" t="s">
        <v>3350</v>
      </c>
      <c r="R1" s="3028" t="s">
        <v>3351</v>
      </c>
      <c r="S1" s="3034">
        <f>SUM(S2:S173)</f>
        <v>15477090.520300003</v>
      </c>
      <c r="T1" s="3035">
        <f>SUM(F2:F173)</f>
        <v>126358.18999999993</v>
      </c>
      <c r="U1" s="3034">
        <f>S1/30/T1</f>
        <v>4.0828617230377677</v>
      </c>
    </row>
    <row r="2" spans="1:21">
      <c r="A2" s="3037" t="s">
        <v>3352</v>
      </c>
      <c r="B2" s="3038">
        <v>1</v>
      </c>
      <c r="C2" s="3038">
        <v>1</v>
      </c>
      <c r="D2" s="3039" t="s">
        <v>3353</v>
      </c>
      <c r="E2" s="3040" t="s">
        <v>3354</v>
      </c>
      <c r="F2" s="3041">
        <v>564.59</v>
      </c>
      <c r="G2" s="3042">
        <v>564.59</v>
      </c>
      <c r="H2" s="3043">
        <v>43282</v>
      </c>
      <c r="I2" s="3043">
        <v>44377</v>
      </c>
      <c r="J2" s="3044">
        <v>36</v>
      </c>
      <c r="K2" s="3045">
        <v>106.88</v>
      </c>
      <c r="L2" s="3046">
        <f>K2/30</f>
        <v>3.5626666666666664</v>
      </c>
      <c r="M2" s="3047"/>
      <c r="N2" s="3048"/>
      <c r="O2" s="3049">
        <v>30</v>
      </c>
      <c r="P2" s="3050">
        <v>2721775.5</v>
      </c>
      <c r="Q2" s="3051">
        <v>2112018.2999999998</v>
      </c>
      <c r="R2" s="3051">
        <v>609757.19999999995</v>
      </c>
      <c r="S2" s="3034">
        <f>K2*F2</f>
        <v>60343.379200000003</v>
      </c>
    </row>
    <row r="3" spans="1:21">
      <c r="A3" s="3037" t="s">
        <v>3352</v>
      </c>
      <c r="B3" s="3038">
        <v>1</v>
      </c>
      <c r="C3" s="3038">
        <v>7</v>
      </c>
      <c r="D3" s="3039" t="s">
        <v>3355</v>
      </c>
      <c r="E3" s="3040" t="s">
        <v>3356</v>
      </c>
      <c r="F3" s="3041">
        <v>3334.57</v>
      </c>
      <c r="G3" s="3042">
        <v>6669.14</v>
      </c>
      <c r="H3" s="3043">
        <v>43070</v>
      </c>
      <c r="I3" s="3043">
        <v>44165</v>
      </c>
      <c r="J3" s="3044">
        <v>36</v>
      </c>
      <c r="K3" s="3045">
        <v>254.17</v>
      </c>
      <c r="L3" s="3046">
        <f t="shared" ref="L3:L66" si="0">K3/30</f>
        <v>8.4723333333333333</v>
      </c>
      <c r="M3" s="3047"/>
      <c r="N3" s="3048"/>
      <c r="O3" s="3049">
        <v>50</v>
      </c>
      <c r="P3" s="3050">
        <v>32864557.172876701</v>
      </c>
      <c r="Q3" s="3051">
        <v>26859133.640000001</v>
      </c>
      <c r="R3" s="3051">
        <v>6005423.5328767104</v>
      </c>
      <c r="S3" s="3034">
        <f t="shared" ref="S3:S66" si="1">K3*F3</f>
        <v>847547.65689999994</v>
      </c>
    </row>
    <row r="4" spans="1:21">
      <c r="A4" s="3037" t="s">
        <v>3352</v>
      </c>
      <c r="B4" s="3038">
        <v>1</v>
      </c>
      <c r="C4" s="3038">
        <v>7</v>
      </c>
      <c r="D4" s="3039" t="s">
        <v>3357</v>
      </c>
      <c r="E4" s="3040" t="s">
        <v>3358</v>
      </c>
      <c r="F4" s="3041">
        <v>278.38</v>
      </c>
      <c r="G4" s="3042">
        <v>556.76</v>
      </c>
      <c r="H4" s="3043">
        <v>43070</v>
      </c>
      <c r="I4" s="3043">
        <v>44165</v>
      </c>
      <c r="J4" s="3044">
        <v>36</v>
      </c>
      <c r="K4" s="3045">
        <v>254.17</v>
      </c>
      <c r="L4" s="3046">
        <f t="shared" si="0"/>
        <v>8.4723333333333333</v>
      </c>
      <c r="M4" s="3047"/>
      <c r="N4" s="3048"/>
      <c r="O4" s="3049">
        <v>50</v>
      </c>
      <c r="P4" s="3050">
        <v>2743632.5997260301</v>
      </c>
      <c r="Q4" s="3051">
        <v>2242281.66</v>
      </c>
      <c r="R4" s="3051">
        <v>501350.93972602702</v>
      </c>
      <c r="S4" s="3034">
        <f t="shared" si="1"/>
        <v>70755.844599999997</v>
      </c>
    </row>
    <row r="5" spans="1:21">
      <c r="A5" s="3037" t="s">
        <v>3352</v>
      </c>
      <c r="B5" s="3038">
        <v>1</v>
      </c>
      <c r="C5" s="3038">
        <v>7</v>
      </c>
      <c r="D5" s="3039" t="s">
        <v>3359</v>
      </c>
      <c r="E5" s="3040" t="s">
        <v>3360</v>
      </c>
      <c r="F5" s="3041">
        <v>326.67</v>
      </c>
      <c r="G5" s="3042">
        <v>653.34</v>
      </c>
      <c r="H5" s="3043">
        <v>43070</v>
      </c>
      <c r="I5" s="3043">
        <v>44165</v>
      </c>
      <c r="J5" s="3044">
        <v>36</v>
      </c>
      <c r="K5" s="3045">
        <v>254.17</v>
      </c>
      <c r="L5" s="3046">
        <f t="shared" si="0"/>
        <v>8.4723333333333333</v>
      </c>
      <c r="M5" s="3047"/>
      <c r="N5" s="3048"/>
      <c r="O5" s="3049">
        <v>50</v>
      </c>
      <c r="P5" s="3050">
        <v>3219564.79520548</v>
      </c>
      <c r="Q5" s="3051">
        <v>2631245.5499999998</v>
      </c>
      <c r="R5" s="3051">
        <v>588319.24520547898</v>
      </c>
      <c r="S5" s="3034">
        <f t="shared" si="1"/>
        <v>83029.713900000002</v>
      </c>
    </row>
    <row r="6" spans="1:21">
      <c r="A6" s="3037" t="s">
        <v>3352</v>
      </c>
      <c r="B6" s="3038">
        <v>1</v>
      </c>
      <c r="C6" s="3038">
        <v>7</v>
      </c>
      <c r="D6" s="3039" t="s">
        <v>3361</v>
      </c>
      <c r="E6" s="3040" t="s">
        <v>3362</v>
      </c>
      <c r="F6" s="3041">
        <v>77.33</v>
      </c>
      <c r="G6" s="3042">
        <v>154.66</v>
      </c>
      <c r="H6" s="3043">
        <v>43070</v>
      </c>
      <c r="I6" s="3043">
        <v>44165</v>
      </c>
      <c r="J6" s="3044">
        <v>36</v>
      </c>
      <c r="K6" s="3045">
        <v>254.17</v>
      </c>
      <c r="L6" s="3046">
        <f t="shared" si="0"/>
        <v>8.4723333333333333</v>
      </c>
      <c r="M6" s="3047"/>
      <c r="N6" s="3048"/>
      <c r="O6" s="3049">
        <v>50</v>
      </c>
      <c r="P6" s="3050">
        <v>762142.212054795</v>
      </c>
      <c r="Q6" s="3051">
        <v>622874.06000000006</v>
      </c>
      <c r="R6" s="3051">
        <v>139268.15205479501</v>
      </c>
      <c r="S6" s="3034">
        <f t="shared" si="1"/>
        <v>19654.966099999998</v>
      </c>
    </row>
    <row r="7" spans="1:21">
      <c r="A7" s="3037" t="s">
        <v>3352</v>
      </c>
      <c r="B7" s="3038">
        <v>1</v>
      </c>
      <c r="C7" s="3038">
        <v>7</v>
      </c>
      <c r="D7" s="3039" t="s">
        <v>3363</v>
      </c>
      <c r="E7" s="3040" t="s">
        <v>3364</v>
      </c>
      <c r="F7" s="3041">
        <v>77.33</v>
      </c>
      <c r="G7" s="3042">
        <v>154.66</v>
      </c>
      <c r="H7" s="3043">
        <v>43070</v>
      </c>
      <c r="I7" s="3043">
        <v>44165</v>
      </c>
      <c r="J7" s="3044">
        <v>36</v>
      </c>
      <c r="K7" s="3045">
        <v>254.17</v>
      </c>
      <c r="L7" s="3046">
        <f t="shared" si="0"/>
        <v>8.4723333333333333</v>
      </c>
      <c r="M7" s="3047"/>
      <c r="N7" s="3048"/>
      <c r="O7" s="3049">
        <v>50</v>
      </c>
      <c r="P7" s="3050">
        <v>762142.212054795</v>
      </c>
      <c r="Q7" s="3051">
        <v>622874.06000000006</v>
      </c>
      <c r="R7" s="3051">
        <v>139268.15205479501</v>
      </c>
      <c r="S7" s="3034">
        <f t="shared" si="1"/>
        <v>19654.966099999998</v>
      </c>
    </row>
    <row r="8" spans="1:21">
      <c r="A8" s="3037" t="s">
        <v>3352</v>
      </c>
      <c r="B8" s="3038">
        <v>1</v>
      </c>
      <c r="C8" s="3038" t="s">
        <v>3365</v>
      </c>
      <c r="D8" s="3039" t="s">
        <v>3357</v>
      </c>
      <c r="E8" s="3040" t="s">
        <v>3366</v>
      </c>
      <c r="F8" s="3041">
        <v>104.14</v>
      </c>
      <c r="G8" s="3042">
        <v>104.14</v>
      </c>
      <c r="H8" s="3043">
        <v>43301</v>
      </c>
      <c r="I8" s="3043">
        <v>44396</v>
      </c>
      <c r="J8" s="3044">
        <v>36</v>
      </c>
      <c r="K8" s="3045">
        <v>97.75</v>
      </c>
      <c r="L8" s="3046">
        <f t="shared" si="0"/>
        <v>3.2583333333333333</v>
      </c>
      <c r="M8" s="3047"/>
      <c r="N8" s="3048"/>
      <c r="O8" s="3049">
        <v>30</v>
      </c>
      <c r="P8" s="3050">
        <v>479194.93</v>
      </c>
      <c r="Q8" s="3051">
        <v>366663.92</v>
      </c>
      <c r="R8" s="3051">
        <v>112531.01</v>
      </c>
      <c r="S8" s="3034">
        <f t="shared" si="1"/>
        <v>10179.684999999999</v>
      </c>
    </row>
    <row r="9" spans="1:21">
      <c r="A9" s="3037" t="s">
        <v>3352</v>
      </c>
      <c r="B9" s="3038">
        <v>2</v>
      </c>
      <c r="C9" s="3038">
        <v>2</v>
      </c>
      <c r="D9" s="3039"/>
      <c r="E9" s="3040" t="s">
        <v>3367</v>
      </c>
      <c r="F9" s="3041">
        <v>1152.56</v>
      </c>
      <c r="G9" s="3042">
        <v>1152.56</v>
      </c>
      <c r="H9" s="3052">
        <v>42095</v>
      </c>
      <c r="I9" s="3043">
        <v>43861</v>
      </c>
      <c r="J9" s="3044">
        <v>58</v>
      </c>
      <c r="K9" s="3045">
        <v>136</v>
      </c>
      <c r="L9" s="3046">
        <f t="shared" si="0"/>
        <v>4.5333333333333332</v>
      </c>
      <c r="M9" s="3047">
        <v>25</v>
      </c>
      <c r="N9" s="3048"/>
      <c r="O9" s="3049"/>
      <c r="P9" s="3050">
        <v>9318678.0600000005</v>
      </c>
      <c r="Q9" s="3051">
        <v>7705094.0599999996</v>
      </c>
      <c r="R9" s="3051">
        <v>1613584</v>
      </c>
      <c r="S9" s="3034">
        <f t="shared" si="1"/>
        <v>156748.16</v>
      </c>
    </row>
    <row r="10" spans="1:21">
      <c r="A10" s="3037" t="s">
        <v>3352</v>
      </c>
      <c r="B10" s="3038">
        <v>2</v>
      </c>
      <c r="C10" s="3038">
        <v>6</v>
      </c>
      <c r="D10" s="3039" t="s">
        <v>3368</v>
      </c>
      <c r="E10" s="3040" t="s">
        <v>3369</v>
      </c>
      <c r="F10" s="3041">
        <v>498.09</v>
      </c>
      <c r="G10" s="3042">
        <v>498.09</v>
      </c>
      <c r="H10" s="3043">
        <v>43160</v>
      </c>
      <c r="I10" s="3043">
        <v>43890</v>
      </c>
      <c r="J10" s="3044">
        <v>24</v>
      </c>
      <c r="K10" s="3045">
        <v>131.21</v>
      </c>
      <c r="L10" s="3046">
        <f t="shared" si="0"/>
        <v>4.3736666666666668</v>
      </c>
      <c r="M10" s="3047"/>
      <c r="N10" s="3048"/>
      <c r="O10" s="3049">
        <v>30</v>
      </c>
      <c r="P10" s="3050">
        <v>1927130.16</v>
      </c>
      <c r="Q10" s="3051">
        <v>1568505.36</v>
      </c>
      <c r="R10" s="3051">
        <v>358624.8</v>
      </c>
      <c r="S10" s="3034">
        <f t="shared" si="1"/>
        <v>65354.388899999998</v>
      </c>
    </row>
    <row r="11" spans="1:21">
      <c r="A11" s="3037" t="s">
        <v>3352</v>
      </c>
      <c r="B11" s="3038">
        <v>2</v>
      </c>
      <c r="C11" s="3038">
        <v>6</v>
      </c>
      <c r="D11" s="3039" t="s">
        <v>3370</v>
      </c>
      <c r="E11" s="3040" t="s">
        <v>3371</v>
      </c>
      <c r="F11" s="3041">
        <v>654.47</v>
      </c>
      <c r="G11" s="3042">
        <v>654.47</v>
      </c>
      <c r="H11" s="3043">
        <v>42776</v>
      </c>
      <c r="I11" s="3043">
        <v>44149</v>
      </c>
      <c r="J11" s="3044">
        <v>45</v>
      </c>
      <c r="K11" s="3045">
        <v>161.21</v>
      </c>
      <c r="L11" s="3046">
        <f t="shared" si="0"/>
        <v>5.3736666666666668</v>
      </c>
      <c r="M11" s="3047"/>
      <c r="N11" s="3048"/>
      <c r="O11" s="3049"/>
      <c r="P11" s="3050">
        <v>5029827.915</v>
      </c>
      <c r="Q11" s="3051">
        <v>5029827.92</v>
      </c>
      <c r="R11" s="3051">
        <v>0</v>
      </c>
      <c r="S11" s="3034">
        <f t="shared" si="1"/>
        <v>105507.10870000001</v>
      </c>
    </row>
    <row r="12" spans="1:21">
      <c r="A12" s="3037" t="s">
        <v>3352</v>
      </c>
      <c r="B12" s="3038">
        <v>2</v>
      </c>
      <c r="C12" s="3038">
        <v>7</v>
      </c>
      <c r="D12" s="3039" t="s">
        <v>3372</v>
      </c>
      <c r="E12" s="3040" t="s">
        <v>3373</v>
      </c>
      <c r="F12" s="3041">
        <v>851.19</v>
      </c>
      <c r="G12" s="3042">
        <v>851.19</v>
      </c>
      <c r="H12" s="3043">
        <v>43282</v>
      </c>
      <c r="I12" s="3043">
        <v>44377</v>
      </c>
      <c r="J12" s="3044">
        <v>36</v>
      </c>
      <c r="K12" s="3045">
        <v>137.29</v>
      </c>
      <c r="L12" s="3046">
        <f t="shared" si="0"/>
        <v>4.5763333333333334</v>
      </c>
      <c r="M12" s="3047"/>
      <c r="N12" s="3048"/>
      <c r="O12" s="3049">
        <v>30</v>
      </c>
      <c r="P12" s="3050">
        <v>5126240.88</v>
      </c>
      <c r="Q12" s="3051">
        <v>4206955.68</v>
      </c>
      <c r="R12" s="3051">
        <v>919285.2</v>
      </c>
      <c r="S12" s="3034">
        <f t="shared" si="1"/>
        <v>116859.8751</v>
      </c>
    </row>
    <row r="13" spans="1:21">
      <c r="A13" s="3037" t="s">
        <v>3352</v>
      </c>
      <c r="B13" s="3038">
        <v>2</v>
      </c>
      <c r="C13" s="3038">
        <v>7</v>
      </c>
      <c r="D13" s="3039" t="s">
        <v>3374</v>
      </c>
      <c r="E13" s="3040" t="s">
        <v>3375</v>
      </c>
      <c r="F13" s="3041">
        <v>301.37</v>
      </c>
      <c r="G13" s="3042">
        <v>301.37</v>
      </c>
      <c r="H13" s="3043">
        <v>43296</v>
      </c>
      <c r="I13" s="3043">
        <v>44391</v>
      </c>
      <c r="J13" s="3044">
        <v>36</v>
      </c>
      <c r="K13" s="3045">
        <v>137.29</v>
      </c>
      <c r="L13" s="3046">
        <f t="shared" si="0"/>
        <v>4.5763333333333334</v>
      </c>
      <c r="M13" s="3047"/>
      <c r="N13" s="3048"/>
      <c r="O13" s="3049">
        <v>30</v>
      </c>
      <c r="P13" s="3050">
        <v>1815949.77</v>
      </c>
      <c r="Q13" s="3051">
        <v>1490296.83</v>
      </c>
      <c r="R13" s="3051">
        <v>325652.94</v>
      </c>
      <c r="S13" s="3034">
        <f t="shared" si="1"/>
        <v>41375.087299999999</v>
      </c>
    </row>
    <row r="14" spans="1:21">
      <c r="A14" s="3037" t="s">
        <v>3352</v>
      </c>
      <c r="B14" s="3038">
        <v>2</v>
      </c>
      <c r="C14" s="3038">
        <v>7</v>
      </c>
      <c r="D14" s="3039" t="s">
        <v>3376</v>
      </c>
      <c r="E14" s="3040" t="s">
        <v>3377</v>
      </c>
      <c r="F14" s="3041">
        <v>694.81</v>
      </c>
      <c r="G14" s="3042">
        <v>694.81</v>
      </c>
      <c r="H14" s="3043">
        <v>43297</v>
      </c>
      <c r="I14" s="3043">
        <v>44027</v>
      </c>
      <c r="J14" s="3044">
        <v>24</v>
      </c>
      <c r="K14" s="3045">
        <v>128.16999999999999</v>
      </c>
      <c r="L14" s="3046">
        <f t="shared" si="0"/>
        <v>4.2723333333333331</v>
      </c>
      <c r="M14" s="3047"/>
      <c r="N14" s="3048"/>
      <c r="O14" s="3049">
        <v>30</v>
      </c>
      <c r="P14" s="3050">
        <v>2637554.4</v>
      </c>
      <c r="Q14" s="3051">
        <v>2137291.2599999998</v>
      </c>
      <c r="R14" s="3051">
        <v>500263.17</v>
      </c>
      <c r="S14" s="3034">
        <f t="shared" si="1"/>
        <v>89053.797699999981</v>
      </c>
    </row>
    <row r="15" spans="1:21" ht="14.25">
      <c r="A15" s="3037" t="s">
        <v>3352</v>
      </c>
      <c r="B15" s="3038">
        <v>2</v>
      </c>
      <c r="C15" s="3038">
        <v>7</v>
      </c>
      <c r="D15" s="3039" t="s">
        <v>3378</v>
      </c>
      <c r="E15" s="3040" t="s">
        <v>3379</v>
      </c>
      <c r="F15" s="3041">
        <v>457.75</v>
      </c>
      <c r="G15" s="3042">
        <v>457.75</v>
      </c>
      <c r="H15" s="3043">
        <v>43068</v>
      </c>
      <c r="I15" s="3043">
        <v>44163</v>
      </c>
      <c r="J15" s="3044">
        <v>36</v>
      </c>
      <c r="K15" s="3045">
        <v>136.21</v>
      </c>
      <c r="L15" s="3046">
        <f t="shared" si="0"/>
        <v>4.5403333333333338</v>
      </c>
      <c r="M15" s="3053"/>
      <c r="N15" s="3054"/>
      <c r="O15" s="3049">
        <v>25</v>
      </c>
      <c r="P15" s="3050">
        <v>2594229.5499999998</v>
      </c>
      <c r="Q15" s="3051">
        <v>2182254.5499999998</v>
      </c>
      <c r="R15" s="3051">
        <v>411975</v>
      </c>
      <c r="S15" s="3034">
        <f t="shared" si="1"/>
        <v>62350.127500000002</v>
      </c>
    </row>
    <row r="16" spans="1:21">
      <c r="A16" s="3037" t="s">
        <v>3352</v>
      </c>
      <c r="B16" s="3038">
        <v>2</v>
      </c>
      <c r="C16" s="3038">
        <v>8</v>
      </c>
      <c r="D16" s="3039" t="s">
        <v>3380</v>
      </c>
      <c r="E16" s="3040" t="s">
        <v>3381</v>
      </c>
      <c r="F16" s="3041">
        <v>274.91000000000003</v>
      </c>
      <c r="G16" s="3042">
        <v>274.91000000000003</v>
      </c>
      <c r="H16" s="3043">
        <v>42948</v>
      </c>
      <c r="I16" s="3043">
        <v>44043</v>
      </c>
      <c r="J16" s="3044">
        <v>36</v>
      </c>
      <c r="K16" s="3045">
        <v>142.29</v>
      </c>
      <c r="L16" s="3046">
        <f t="shared" si="0"/>
        <v>4.7429999999999994</v>
      </c>
      <c r="M16" s="3047"/>
      <c r="N16" s="3048"/>
      <c r="O16" s="3049">
        <v>25</v>
      </c>
      <c r="P16" s="3050">
        <v>1636070.37</v>
      </c>
      <c r="Q16" s="3051">
        <v>1388651.37</v>
      </c>
      <c r="R16" s="3051">
        <v>247419</v>
      </c>
      <c r="S16" s="3034">
        <f t="shared" si="1"/>
        <v>39116.943899999998</v>
      </c>
    </row>
    <row r="17" spans="1:19">
      <c r="A17" s="3037" t="s">
        <v>3352</v>
      </c>
      <c r="B17" s="3038">
        <v>2</v>
      </c>
      <c r="C17" s="3038">
        <v>9</v>
      </c>
      <c r="D17" s="3039" t="s">
        <v>3382</v>
      </c>
      <c r="E17" s="3040" t="s">
        <v>3383</v>
      </c>
      <c r="F17" s="3041">
        <v>1152.56</v>
      </c>
      <c r="G17" s="3042">
        <v>1152.56</v>
      </c>
      <c r="H17" s="3043">
        <v>43160</v>
      </c>
      <c r="I17" s="3043">
        <v>44255</v>
      </c>
      <c r="J17" s="3044">
        <v>36</v>
      </c>
      <c r="K17" s="3045">
        <v>137.29</v>
      </c>
      <c r="L17" s="3046">
        <f t="shared" si="0"/>
        <v>4.5763333333333334</v>
      </c>
      <c r="M17" s="3047"/>
      <c r="N17" s="3048"/>
      <c r="O17" s="3049">
        <v>30</v>
      </c>
      <c r="P17" s="3050">
        <v>6782988.4000000004</v>
      </c>
      <c r="Q17" s="3051">
        <v>5538223.5999999996</v>
      </c>
      <c r="R17" s="3051">
        <v>1244764.8</v>
      </c>
      <c r="S17" s="3034">
        <f t="shared" si="1"/>
        <v>158234.96239999999</v>
      </c>
    </row>
    <row r="18" spans="1:19">
      <c r="A18" s="3037" t="s">
        <v>3352</v>
      </c>
      <c r="B18" s="3038">
        <v>2</v>
      </c>
      <c r="C18" s="3038" t="s">
        <v>3265</v>
      </c>
      <c r="D18" s="3039" t="s">
        <v>3382</v>
      </c>
      <c r="E18" s="3040" t="s">
        <v>3371</v>
      </c>
      <c r="F18" s="3041">
        <v>1152.56</v>
      </c>
      <c r="G18" s="3042">
        <v>1152.56</v>
      </c>
      <c r="H18" s="3043">
        <v>42323</v>
      </c>
      <c r="I18" s="3043">
        <v>44149</v>
      </c>
      <c r="J18" s="3044">
        <v>60</v>
      </c>
      <c r="K18" s="3045">
        <v>155.13</v>
      </c>
      <c r="L18" s="3046">
        <f t="shared" si="0"/>
        <v>5.1710000000000003</v>
      </c>
      <c r="M18" s="3047">
        <v>25</v>
      </c>
      <c r="N18" s="3048"/>
      <c r="O18" s="3049"/>
      <c r="P18" s="3050">
        <v>10921531.7784</v>
      </c>
      <c r="Q18" s="3051">
        <v>9192691.7784000002</v>
      </c>
      <c r="R18" s="3051">
        <v>1728840</v>
      </c>
      <c r="S18" s="3034">
        <f t="shared" si="1"/>
        <v>178796.63279999999</v>
      </c>
    </row>
    <row r="19" spans="1:19">
      <c r="A19" s="3037" t="s">
        <v>3352</v>
      </c>
      <c r="B19" s="3038">
        <v>3</v>
      </c>
      <c r="C19" s="3038">
        <v>1</v>
      </c>
      <c r="D19" s="3039" t="s">
        <v>3384</v>
      </c>
      <c r="E19" s="3040" t="s">
        <v>3385</v>
      </c>
      <c r="F19" s="3041">
        <v>653.64</v>
      </c>
      <c r="G19" s="3042">
        <v>933.77</v>
      </c>
      <c r="H19" s="3043">
        <v>42856</v>
      </c>
      <c r="I19" s="3043">
        <v>44681</v>
      </c>
      <c r="J19" s="3044">
        <v>60</v>
      </c>
      <c r="K19" s="3045">
        <v>162.91999999999999</v>
      </c>
      <c r="L19" s="3046">
        <f t="shared" si="0"/>
        <v>5.4306666666666663</v>
      </c>
      <c r="M19" s="3047"/>
      <c r="N19" s="3048"/>
      <c r="O19" s="3049">
        <v>50</v>
      </c>
      <c r="P19" s="3050">
        <v>8638453.9800000004</v>
      </c>
      <c r="Q19" s="3051">
        <v>6677533.9800000004</v>
      </c>
      <c r="R19" s="3051">
        <v>1960920</v>
      </c>
      <c r="S19" s="3034">
        <f t="shared" si="1"/>
        <v>106491.02879999999</v>
      </c>
    </row>
    <row r="20" spans="1:19">
      <c r="A20" s="3037" t="s">
        <v>3352</v>
      </c>
      <c r="B20" s="3038">
        <v>3</v>
      </c>
      <c r="C20" s="3038">
        <v>3</v>
      </c>
      <c r="D20" s="3039" t="s">
        <v>3386</v>
      </c>
      <c r="E20" s="3040" t="s">
        <v>3387</v>
      </c>
      <c r="F20" s="3041">
        <v>196.72</v>
      </c>
      <c r="G20" s="3042">
        <v>196.72</v>
      </c>
      <c r="H20" s="3043">
        <v>43229</v>
      </c>
      <c r="I20" s="3043">
        <v>43959</v>
      </c>
      <c r="J20" s="3044">
        <v>24</v>
      </c>
      <c r="K20" s="3045">
        <v>137.29</v>
      </c>
      <c r="L20" s="3046">
        <f t="shared" si="0"/>
        <v>4.5763333333333334</v>
      </c>
      <c r="M20" s="3047"/>
      <c r="N20" s="3048"/>
      <c r="O20" s="3049">
        <v>30</v>
      </c>
      <c r="P20" s="3050">
        <v>789822.96</v>
      </c>
      <c r="Q20" s="3051">
        <v>648184.56000000006</v>
      </c>
      <c r="R20" s="3051">
        <v>141638.39999999999</v>
      </c>
      <c r="S20" s="3034">
        <f t="shared" si="1"/>
        <v>27007.6888</v>
      </c>
    </row>
    <row r="21" spans="1:19">
      <c r="A21" s="3037" t="s">
        <v>3352</v>
      </c>
      <c r="B21" s="3038">
        <v>3</v>
      </c>
      <c r="C21" s="3038">
        <v>3</v>
      </c>
      <c r="D21" s="3039" t="s">
        <v>3388</v>
      </c>
      <c r="E21" s="3040" t="s">
        <v>3389</v>
      </c>
      <c r="F21" s="3041">
        <v>223.18</v>
      </c>
      <c r="G21" s="3042">
        <v>223.18</v>
      </c>
      <c r="H21" s="3043">
        <v>43296</v>
      </c>
      <c r="I21" s="3043">
        <v>44391</v>
      </c>
      <c r="J21" s="3044">
        <v>36</v>
      </c>
      <c r="K21" s="3045">
        <v>134.25</v>
      </c>
      <c r="L21" s="3046">
        <f t="shared" si="0"/>
        <v>4.4749999999999996</v>
      </c>
      <c r="M21" s="3047"/>
      <c r="N21" s="3048"/>
      <c r="O21" s="3049">
        <v>30</v>
      </c>
      <c r="P21" s="3050">
        <v>1320366.47</v>
      </c>
      <c r="Q21" s="3051">
        <v>1079203.75</v>
      </c>
      <c r="R21" s="3051">
        <v>241162.72</v>
      </c>
      <c r="S21" s="3034">
        <f t="shared" si="1"/>
        <v>29961.915000000001</v>
      </c>
    </row>
    <row r="22" spans="1:19">
      <c r="A22" s="3037" t="s">
        <v>3352</v>
      </c>
      <c r="B22" s="3038">
        <v>3</v>
      </c>
      <c r="C22" s="3038">
        <v>3</v>
      </c>
      <c r="D22" s="3039" t="s">
        <v>3390</v>
      </c>
      <c r="E22" s="3040" t="s">
        <v>3391</v>
      </c>
      <c r="F22" s="3041">
        <v>78.19</v>
      </c>
      <c r="G22" s="3042">
        <v>78.19</v>
      </c>
      <c r="H22" s="3043">
        <v>43363</v>
      </c>
      <c r="I22" s="3043">
        <v>44458</v>
      </c>
      <c r="J22" s="3044">
        <v>36</v>
      </c>
      <c r="K22" s="3045">
        <v>140.33000000000001</v>
      </c>
      <c r="L22" s="3046">
        <f t="shared" si="0"/>
        <v>4.6776666666666671</v>
      </c>
      <c r="M22" s="3047"/>
      <c r="N22" s="3048"/>
      <c r="O22" s="3049">
        <v>30</v>
      </c>
      <c r="P22" s="3050">
        <v>479269.3</v>
      </c>
      <c r="Q22" s="3051">
        <v>394856.2</v>
      </c>
      <c r="R22" s="3051">
        <v>84413.1</v>
      </c>
      <c r="S22" s="3034">
        <f t="shared" si="1"/>
        <v>10972.402700000001</v>
      </c>
    </row>
    <row r="23" spans="1:19">
      <c r="A23" s="3037" t="s">
        <v>3352</v>
      </c>
      <c r="B23" s="3038">
        <v>3</v>
      </c>
      <c r="C23" s="3038">
        <v>3</v>
      </c>
      <c r="D23" s="3039" t="s">
        <v>3392</v>
      </c>
      <c r="E23" s="3040" t="s">
        <v>3393</v>
      </c>
      <c r="F23" s="3041">
        <v>274.91000000000003</v>
      </c>
      <c r="G23" s="3042">
        <v>274.91000000000003</v>
      </c>
      <c r="H23" s="3043">
        <v>43339</v>
      </c>
      <c r="I23" s="3043">
        <v>44069</v>
      </c>
      <c r="J23" s="3044">
        <v>24</v>
      </c>
      <c r="K23" s="3055">
        <v>137.29</v>
      </c>
      <c r="L23" s="3046">
        <f t="shared" si="0"/>
        <v>4.5763333333333334</v>
      </c>
      <c r="M23" s="3047"/>
      <c r="N23" s="3048"/>
      <c r="O23" s="3049">
        <v>30</v>
      </c>
      <c r="P23" s="3045">
        <v>1066779.27711726</v>
      </c>
      <c r="Q23" s="3051">
        <v>868798.88643232896</v>
      </c>
      <c r="R23" s="3051">
        <v>197980.390684932</v>
      </c>
      <c r="S23" s="3034">
        <f t="shared" si="1"/>
        <v>37742.393900000003</v>
      </c>
    </row>
    <row r="24" spans="1:19">
      <c r="A24" s="3037" t="s">
        <v>3352</v>
      </c>
      <c r="B24" s="3038">
        <v>3</v>
      </c>
      <c r="C24" s="3038">
        <v>5</v>
      </c>
      <c r="D24" s="3039" t="s">
        <v>3394</v>
      </c>
      <c r="E24" s="3040" t="s">
        <v>3395</v>
      </c>
      <c r="F24" s="3041">
        <v>419.9</v>
      </c>
      <c r="G24" s="3042">
        <v>419.9</v>
      </c>
      <c r="H24" s="3043">
        <v>43120</v>
      </c>
      <c r="I24" s="3043">
        <v>44215</v>
      </c>
      <c r="J24" s="3044">
        <v>36</v>
      </c>
      <c r="K24" s="3045">
        <v>131.21</v>
      </c>
      <c r="L24" s="3046">
        <f t="shared" si="0"/>
        <v>4.3736666666666668</v>
      </c>
      <c r="M24" s="3047"/>
      <c r="N24" s="3048"/>
      <c r="O24" s="3049">
        <v>30</v>
      </c>
      <c r="P24" s="3050">
        <v>2416235.4500000002</v>
      </c>
      <c r="Q24" s="3051">
        <v>1962743.45</v>
      </c>
      <c r="R24" s="3051">
        <v>453492</v>
      </c>
      <c r="S24" s="3034">
        <f t="shared" si="1"/>
        <v>55095.078999999998</v>
      </c>
    </row>
    <row r="25" spans="1:19">
      <c r="A25" s="3037" t="s">
        <v>3352</v>
      </c>
      <c r="B25" s="3038">
        <v>3</v>
      </c>
      <c r="C25" s="3038">
        <v>5</v>
      </c>
      <c r="D25" s="3039" t="s">
        <v>3396</v>
      </c>
      <c r="E25" s="3040" t="s">
        <v>3397</v>
      </c>
      <c r="F25" s="3041">
        <v>78.19</v>
      </c>
      <c r="G25" s="3042">
        <v>78.19</v>
      </c>
      <c r="H25" s="3043">
        <v>43042</v>
      </c>
      <c r="I25" s="3043">
        <v>43771</v>
      </c>
      <c r="J25" s="3044">
        <v>24</v>
      </c>
      <c r="K25" s="3045">
        <v>142.29</v>
      </c>
      <c r="L25" s="3046">
        <f t="shared" si="0"/>
        <v>4.7429999999999994</v>
      </c>
      <c r="M25" s="3047"/>
      <c r="N25" s="3048"/>
      <c r="O25" s="3049">
        <v>25</v>
      </c>
      <c r="P25" s="3050">
        <v>313929.84000000003</v>
      </c>
      <c r="Q25" s="3051">
        <v>267015.84000000003</v>
      </c>
      <c r="R25" s="3051">
        <v>46914</v>
      </c>
      <c r="S25" s="3034">
        <f t="shared" si="1"/>
        <v>11125.6551</v>
      </c>
    </row>
    <row r="26" spans="1:19">
      <c r="A26" s="3037" t="s">
        <v>3352</v>
      </c>
      <c r="B26" s="3038">
        <v>3</v>
      </c>
      <c r="C26" s="3038">
        <v>5</v>
      </c>
      <c r="D26" s="3039" t="s">
        <v>3398</v>
      </c>
      <c r="E26" s="3040" t="s">
        <v>3399</v>
      </c>
      <c r="F26" s="3041">
        <v>156.38</v>
      </c>
      <c r="G26" s="3042">
        <v>156.38</v>
      </c>
      <c r="H26" s="3043">
        <v>43291</v>
      </c>
      <c r="I26" s="3043">
        <v>44021</v>
      </c>
      <c r="J26" s="3044">
        <v>24</v>
      </c>
      <c r="K26" s="3045">
        <v>137.29</v>
      </c>
      <c r="L26" s="3046">
        <f t="shared" si="0"/>
        <v>4.5763333333333334</v>
      </c>
      <c r="M26" s="3047"/>
      <c r="N26" s="3048"/>
      <c r="O26" s="3049">
        <v>30</v>
      </c>
      <c r="P26" s="3050">
        <v>617773.51</v>
      </c>
      <c r="Q26" s="3051">
        <v>505089.87</v>
      </c>
      <c r="R26" s="3051">
        <v>112683.64</v>
      </c>
      <c r="S26" s="3034">
        <f t="shared" si="1"/>
        <v>21469.410199999998</v>
      </c>
    </row>
    <row r="27" spans="1:19">
      <c r="A27" s="3037" t="s">
        <v>3352</v>
      </c>
      <c r="B27" s="3038">
        <v>3</v>
      </c>
      <c r="C27" s="3038">
        <v>5</v>
      </c>
      <c r="D27" s="3039" t="s">
        <v>3400</v>
      </c>
      <c r="E27" s="3040" t="s">
        <v>3401</v>
      </c>
      <c r="F27" s="3041">
        <v>118.53</v>
      </c>
      <c r="G27" s="3042">
        <v>118.53</v>
      </c>
      <c r="H27" s="3043">
        <v>43313</v>
      </c>
      <c r="I27" s="3043">
        <v>44408</v>
      </c>
      <c r="J27" s="3044">
        <v>36</v>
      </c>
      <c r="K27" s="3045">
        <v>137.29</v>
      </c>
      <c r="L27" s="3046">
        <f t="shared" si="0"/>
        <v>4.5763333333333334</v>
      </c>
      <c r="M27" s="3047"/>
      <c r="N27" s="3048"/>
      <c r="O27" s="3049">
        <v>30</v>
      </c>
      <c r="P27" s="3050">
        <v>706194.92865753395</v>
      </c>
      <c r="Q27" s="3051">
        <v>578114.33331506897</v>
      </c>
      <c r="R27" s="3051">
        <v>128080.595342466</v>
      </c>
      <c r="S27" s="3034">
        <f t="shared" si="1"/>
        <v>16272.983699999999</v>
      </c>
    </row>
    <row r="28" spans="1:19">
      <c r="A28" s="3037" t="s">
        <v>3352</v>
      </c>
      <c r="B28" s="3038">
        <v>3</v>
      </c>
      <c r="C28" s="3038">
        <v>8</v>
      </c>
      <c r="D28" s="3039" t="s">
        <v>3402</v>
      </c>
      <c r="E28" s="3040" t="s">
        <v>3403</v>
      </c>
      <c r="F28" s="3041">
        <v>118.53</v>
      </c>
      <c r="G28" s="3042">
        <v>118.53</v>
      </c>
      <c r="H28" s="3043">
        <v>42689</v>
      </c>
      <c r="I28" s="3043">
        <v>43362</v>
      </c>
      <c r="J28" s="3044">
        <v>22</v>
      </c>
      <c r="K28" s="3045">
        <v>158.19999999999999</v>
      </c>
      <c r="L28" s="3046">
        <f t="shared" si="0"/>
        <v>5.2733333333333325</v>
      </c>
      <c r="M28" s="3047"/>
      <c r="N28" s="3048"/>
      <c r="O28" s="3049"/>
      <c r="P28" s="3050">
        <v>415614.35</v>
      </c>
      <c r="Q28" s="3051">
        <v>415614.35</v>
      </c>
      <c r="R28" s="3051">
        <v>0</v>
      </c>
      <c r="S28" s="3034">
        <f t="shared" si="1"/>
        <v>18751.446</v>
      </c>
    </row>
    <row r="29" spans="1:19">
      <c r="A29" s="3037" t="s">
        <v>3352</v>
      </c>
      <c r="B29" s="3038">
        <v>3</v>
      </c>
      <c r="C29" s="3038">
        <v>8</v>
      </c>
      <c r="D29" s="3039" t="s">
        <v>3404</v>
      </c>
      <c r="E29" s="3040" t="s">
        <v>3405</v>
      </c>
      <c r="F29" s="3041">
        <v>576.28</v>
      </c>
      <c r="G29" s="3042">
        <v>576.28</v>
      </c>
      <c r="H29" s="3043">
        <v>43359</v>
      </c>
      <c r="I29" s="3043">
        <v>44454</v>
      </c>
      <c r="J29" s="3044">
        <v>36</v>
      </c>
      <c r="K29" s="3055">
        <v>131.21</v>
      </c>
      <c r="L29" s="3046">
        <f t="shared" si="0"/>
        <v>4.3736666666666668</v>
      </c>
      <c r="M29" s="3047"/>
      <c r="N29" s="3048"/>
      <c r="O29" s="3047">
        <v>30</v>
      </c>
      <c r="P29" s="3045">
        <v>3343202.9253095901</v>
      </c>
      <c r="Q29" s="3051">
        <v>2721057.35270685</v>
      </c>
      <c r="R29" s="3051">
        <v>622145.57260274002</v>
      </c>
      <c r="S29" s="3034">
        <f t="shared" si="1"/>
        <v>75613.698799999998</v>
      </c>
    </row>
    <row r="30" spans="1:19">
      <c r="A30" s="3037" t="s">
        <v>3352</v>
      </c>
      <c r="B30" s="3038">
        <v>3</v>
      </c>
      <c r="C30" s="3038">
        <v>8</v>
      </c>
      <c r="D30" s="3039" t="s">
        <v>3406</v>
      </c>
      <c r="E30" s="3056" t="s">
        <v>3407</v>
      </c>
      <c r="F30" s="3041">
        <v>196.72</v>
      </c>
      <c r="G30" s="3042">
        <v>196.72</v>
      </c>
      <c r="H30" s="3043">
        <v>43359</v>
      </c>
      <c r="I30" s="3043">
        <v>44089</v>
      </c>
      <c r="J30" s="3044">
        <v>24</v>
      </c>
      <c r="K30" s="3055">
        <v>131.21</v>
      </c>
      <c r="L30" s="3046">
        <f t="shared" si="0"/>
        <v>4.3736666666666668</v>
      </c>
      <c r="M30" s="3047"/>
      <c r="N30" s="3048"/>
      <c r="O30" s="3049">
        <v>30</v>
      </c>
      <c r="P30" s="3045">
        <v>760683.12097534304</v>
      </c>
      <c r="Q30" s="3051">
        <v>619125.56481095904</v>
      </c>
      <c r="R30" s="3051">
        <v>141557.556164384</v>
      </c>
      <c r="S30" s="3034">
        <f t="shared" si="1"/>
        <v>25811.6312</v>
      </c>
    </row>
    <row r="31" spans="1:19">
      <c r="A31" s="3037" t="s">
        <v>3352</v>
      </c>
      <c r="B31" s="3038">
        <v>3</v>
      </c>
      <c r="C31" s="3038">
        <v>8</v>
      </c>
      <c r="D31" s="3039" t="s">
        <v>3408</v>
      </c>
      <c r="E31" s="3056" t="s">
        <v>3409</v>
      </c>
      <c r="F31" s="3041">
        <v>576.28</v>
      </c>
      <c r="G31" s="3042">
        <v>576.28</v>
      </c>
      <c r="H31" s="3043">
        <v>43359</v>
      </c>
      <c r="I31" s="3043">
        <v>44089</v>
      </c>
      <c r="J31" s="3044">
        <v>24</v>
      </c>
      <c r="K31" s="3055">
        <v>131.21</v>
      </c>
      <c r="L31" s="3046">
        <f t="shared" si="0"/>
        <v>4.3736666666666668</v>
      </c>
      <c r="M31" s="3047"/>
      <c r="N31" s="3048"/>
      <c r="O31" s="3049">
        <v>30</v>
      </c>
      <c r="P31" s="3045">
        <v>2228377.7397095901</v>
      </c>
      <c r="Q31" s="3051">
        <v>1813692.9671068499</v>
      </c>
      <c r="R31" s="3051">
        <v>414684.77260273998</v>
      </c>
      <c r="S31" s="3034">
        <f t="shared" si="1"/>
        <v>75613.698799999998</v>
      </c>
    </row>
    <row r="32" spans="1:19">
      <c r="A32" s="3037" t="s">
        <v>3352</v>
      </c>
      <c r="B32" s="3038">
        <v>3</v>
      </c>
      <c r="C32" s="3038">
        <v>8</v>
      </c>
      <c r="D32" s="3039" t="s">
        <v>3410</v>
      </c>
      <c r="E32" s="3056" t="s">
        <v>3411</v>
      </c>
      <c r="F32" s="3041">
        <v>379.56</v>
      </c>
      <c r="G32" s="3042">
        <v>379.56</v>
      </c>
      <c r="H32" s="3043">
        <v>43359</v>
      </c>
      <c r="I32" s="3043">
        <v>44089</v>
      </c>
      <c r="J32" s="3044">
        <v>24</v>
      </c>
      <c r="K32" s="3055">
        <v>131.21</v>
      </c>
      <c r="L32" s="3046">
        <f t="shared" si="0"/>
        <v>4.3736666666666668</v>
      </c>
      <c r="M32" s="3047"/>
      <c r="N32" s="3048"/>
      <c r="O32" s="3049">
        <v>30</v>
      </c>
      <c r="P32" s="3045">
        <v>1467694.6187342501</v>
      </c>
      <c r="Q32" s="3051">
        <v>1194567.40229589</v>
      </c>
      <c r="R32" s="3051">
        <v>273127.21643835597</v>
      </c>
      <c r="S32" s="3034">
        <f t="shared" si="1"/>
        <v>49802.067600000002</v>
      </c>
    </row>
    <row r="33" spans="1:19">
      <c r="A33" s="3037" t="s">
        <v>3352</v>
      </c>
      <c r="B33" s="3038">
        <v>3</v>
      </c>
      <c r="C33" s="3038">
        <v>8</v>
      </c>
      <c r="D33" s="3039" t="s">
        <v>3412</v>
      </c>
      <c r="E33" s="3056" t="s">
        <v>3413</v>
      </c>
      <c r="F33" s="3041">
        <v>576.28</v>
      </c>
      <c r="G33" s="3042">
        <v>576.28</v>
      </c>
      <c r="H33" s="3043">
        <v>43363</v>
      </c>
      <c r="I33" s="3043">
        <v>44458</v>
      </c>
      <c r="J33" s="3044">
        <v>36</v>
      </c>
      <c r="K33" s="3055">
        <v>134.25</v>
      </c>
      <c r="L33" s="3046">
        <f t="shared" si="0"/>
        <v>4.4749999999999996</v>
      </c>
      <c r="M33" s="3047"/>
      <c r="N33" s="3048"/>
      <c r="O33" s="3049">
        <v>30</v>
      </c>
      <c r="P33" s="3045">
        <v>3406247.01</v>
      </c>
      <c r="Q33" s="3051">
        <v>2784101.4373972602</v>
      </c>
      <c r="R33" s="3051">
        <v>622145.57260274002</v>
      </c>
      <c r="S33" s="3034">
        <f t="shared" si="1"/>
        <v>77365.59</v>
      </c>
    </row>
    <row r="34" spans="1:19" s="3072" customFormat="1">
      <c r="A34" s="3057" t="s">
        <v>3352</v>
      </c>
      <c r="B34" s="3058">
        <v>3</v>
      </c>
      <c r="C34" s="3058" t="s">
        <v>3414</v>
      </c>
      <c r="D34" s="3059" t="s">
        <v>3415</v>
      </c>
      <c r="E34" s="3060" t="s">
        <v>3416</v>
      </c>
      <c r="F34" s="3061">
        <v>4591</v>
      </c>
      <c r="G34" s="3062">
        <v>4591</v>
      </c>
      <c r="H34" s="3063">
        <v>41306</v>
      </c>
      <c r="I34" s="3063">
        <v>58471</v>
      </c>
      <c r="J34" s="3064">
        <v>564</v>
      </c>
      <c r="K34" s="3065"/>
      <c r="L34" s="3065">
        <f t="shared" si="0"/>
        <v>0</v>
      </c>
      <c r="M34" s="3066">
        <v>25</v>
      </c>
      <c r="N34" s="3067"/>
      <c r="O34" s="3068"/>
      <c r="P34" s="3069">
        <v>27546000</v>
      </c>
      <c r="Q34" s="3070">
        <v>0</v>
      </c>
      <c r="R34" s="3070">
        <v>27546000</v>
      </c>
      <c r="S34" s="3071">
        <v>0</v>
      </c>
    </row>
    <row r="35" spans="1:19">
      <c r="A35" s="3037" t="s">
        <v>3352</v>
      </c>
      <c r="B35" s="3038">
        <v>4</v>
      </c>
      <c r="C35" s="3038">
        <v>1</v>
      </c>
      <c r="D35" s="3039" t="s">
        <v>3417</v>
      </c>
      <c r="E35" s="3040" t="s">
        <v>3418</v>
      </c>
      <c r="F35" s="3041">
        <v>486.6</v>
      </c>
      <c r="G35" s="3042">
        <v>486.6</v>
      </c>
      <c r="H35" s="3043">
        <v>43252</v>
      </c>
      <c r="I35" s="3043">
        <v>45077</v>
      </c>
      <c r="J35" s="3044">
        <v>60</v>
      </c>
      <c r="K35" s="3045">
        <v>137.29</v>
      </c>
      <c r="L35" s="3046">
        <f t="shared" si="0"/>
        <v>4.5763333333333334</v>
      </c>
      <c r="M35" s="3047"/>
      <c r="N35" s="3048"/>
      <c r="O35" s="3049">
        <v>30</v>
      </c>
      <c r="P35" s="3050">
        <v>5110404.49</v>
      </c>
      <c r="Q35" s="3051">
        <v>4234524.49</v>
      </c>
      <c r="R35" s="3051">
        <v>875880</v>
      </c>
      <c r="S35" s="3034">
        <f t="shared" si="1"/>
        <v>66805.313999999998</v>
      </c>
    </row>
    <row r="36" spans="1:19">
      <c r="A36" s="3037" t="s">
        <v>3352</v>
      </c>
      <c r="B36" s="3038">
        <v>4</v>
      </c>
      <c r="C36" s="3038">
        <v>1</v>
      </c>
      <c r="D36" s="3039" t="s">
        <v>3419</v>
      </c>
      <c r="E36" s="3040" t="s">
        <v>3420</v>
      </c>
      <c r="F36" s="3041">
        <v>426.8</v>
      </c>
      <c r="G36" s="3042">
        <v>426.8</v>
      </c>
      <c r="H36" s="3043">
        <v>43205</v>
      </c>
      <c r="I36" s="3043">
        <v>44300</v>
      </c>
      <c r="J36" s="3044">
        <v>36</v>
      </c>
      <c r="K36" s="3045">
        <v>137.29</v>
      </c>
      <c r="L36" s="3046">
        <f t="shared" si="0"/>
        <v>4.5763333333333334</v>
      </c>
      <c r="M36" s="3047"/>
      <c r="N36" s="3048"/>
      <c r="O36" s="3049">
        <v>30</v>
      </c>
      <c r="P36" s="3050">
        <v>2511781.9500000002</v>
      </c>
      <c r="Q36" s="3051">
        <v>2050837.95</v>
      </c>
      <c r="R36" s="3051">
        <v>460944</v>
      </c>
      <c r="S36" s="3034">
        <f t="shared" si="1"/>
        <v>58595.371999999996</v>
      </c>
    </row>
    <row r="37" spans="1:19">
      <c r="A37" s="3037" t="s">
        <v>3352</v>
      </c>
      <c r="B37" s="3038">
        <v>4</v>
      </c>
      <c r="C37" s="3038">
        <v>1</v>
      </c>
      <c r="D37" s="3039" t="s">
        <v>3421</v>
      </c>
      <c r="E37" s="3040" t="s">
        <v>3422</v>
      </c>
      <c r="F37" s="3041">
        <v>1010.94</v>
      </c>
      <c r="G37" s="3042">
        <v>1010.94</v>
      </c>
      <c r="H37" s="3043">
        <v>43221</v>
      </c>
      <c r="I37" s="3043">
        <v>44500</v>
      </c>
      <c r="J37" s="3044">
        <v>42</v>
      </c>
      <c r="K37" s="3045">
        <v>106.88</v>
      </c>
      <c r="L37" s="3046">
        <f t="shared" si="0"/>
        <v>3.5626666666666664</v>
      </c>
      <c r="M37" s="3047"/>
      <c r="N37" s="3048"/>
      <c r="O37" s="3049">
        <v>30</v>
      </c>
      <c r="P37" s="3050">
        <v>5703804.4699999997</v>
      </c>
      <c r="Q37" s="3051">
        <v>4430020.07</v>
      </c>
      <c r="R37" s="3051">
        <v>1273784.3999999999</v>
      </c>
      <c r="S37" s="3034">
        <f t="shared" si="1"/>
        <v>108049.2672</v>
      </c>
    </row>
    <row r="38" spans="1:19" ht="14.25">
      <c r="A38" s="3037" t="s">
        <v>3352</v>
      </c>
      <c r="B38" s="3038">
        <v>4</v>
      </c>
      <c r="C38" s="3038">
        <v>2</v>
      </c>
      <c r="D38" s="3039" t="s">
        <v>3423</v>
      </c>
      <c r="E38" s="3040" t="s">
        <v>3424</v>
      </c>
      <c r="F38" s="3041">
        <v>393.44</v>
      </c>
      <c r="G38" s="3042">
        <v>393.44</v>
      </c>
      <c r="H38" s="3043">
        <v>43191</v>
      </c>
      <c r="I38" s="3043">
        <v>43921</v>
      </c>
      <c r="J38" s="3044">
        <v>24</v>
      </c>
      <c r="K38" s="3045">
        <v>127.08</v>
      </c>
      <c r="L38" s="3046">
        <f t="shared" si="0"/>
        <v>4.2359999999999998</v>
      </c>
      <c r="M38" s="3053"/>
      <c r="N38" s="3054"/>
      <c r="O38" s="3049">
        <v>25</v>
      </c>
      <c r="P38" s="3050">
        <v>1336027.92</v>
      </c>
      <c r="Q38" s="3051">
        <v>1099963.92</v>
      </c>
      <c r="R38" s="3051">
        <v>236064</v>
      </c>
      <c r="S38" s="3034">
        <f t="shared" si="1"/>
        <v>49998.355199999998</v>
      </c>
    </row>
    <row r="39" spans="1:19">
      <c r="A39" s="3037" t="s">
        <v>3352</v>
      </c>
      <c r="B39" s="3038">
        <v>4</v>
      </c>
      <c r="C39" s="3038">
        <v>2</v>
      </c>
      <c r="D39" s="3039" t="s">
        <v>3425</v>
      </c>
      <c r="E39" s="3040" t="s">
        <v>3426</v>
      </c>
      <c r="F39" s="3041">
        <v>680.93</v>
      </c>
      <c r="G39" s="3042">
        <v>680.93</v>
      </c>
      <c r="H39" s="3043">
        <v>43191</v>
      </c>
      <c r="I39" s="3043">
        <v>43921</v>
      </c>
      <c r="J39" s="3044">
        <v>24</v>
      </c>
      <c r="K39" s="3045">
        <v>127.08</v>
      </c>
      <c r="L39" s="3046">
        <f t="shared" si="0"/>
        <v>4.2359999999999998</v>
      </c>
      <c r="M39" s="3047"/>
      <c r="N39" s="3048"/>
      <c r="O39" s="3049">
        <v>25</v>
      </c>
      <c r="P39" s="3050">
        <v>2312274.7599999998</v>
      </c>
      <c r="Q39" s="3051">
        <v>1903716.76</v>
      </c>
      <c r="R39" s="3051">
        <v>408558</v>
      </c>
      <c r="S39" s="3034">
        <f t="shared" si="1"/>
        <v>86532.584399999992</v>
      </c>
    </row>
    <row r="40" spans="1:19">
      <c r="A40" s="3037" t="s">
        <v>3352</v>
      </c>
      <c r="B40" s="3038">
        <v>4</v>
      </c>
      <c r="C40" s="3038">
        <v>2</v>
      </c>
      <c r="D40" s="3039" t="s">
        <v>3427</v>
      </c>
      <c r="E40" s="3040" t="s">
        <v>3428</v>
      </c>
      <c r="F40" s="3041">
        <v>78.19</v>
      </c>
      <c r="G40" s="3042">
        <v>78.19</v>
      </c>
      <c r="H40" s="3043">
        <v>43191</v>
      </c>
      <c r="I40" s="3043">
        <v>43921</v>
      </c>
      <c r="J40" s="3044">
        <v>24</v>
      </c>
      <c r="K40" s="3045">
        <v>127.08</v>
      </c>
      <c r="L40" s="3046">
        <f t="shared" si="0"/>
        <v>4.2359999999999998</v>
      </c>
      <c r="M40" s="3047"/>
      <c r="N40" s="3048"/>
      <c r="O40" s="3049">
        <v>25</v>
      </c>
      <c r="P40" s="3050">
        <v>265514.58</v>
      </c>
      <c r="Q40" s="3051">
        <v>218600.58</v>
      </c>
      <c r="R40" s="3051">
        <v>46914</v>
      </c>
      <c r="S40" s="3034">
        <f t="shared" si="1"/>
        <v>9936.3851999999988</v>
      </c>
    </row>
    <row r="41" spans="1:19">
      <c r="A41" s="3037" t="s">
        <v>3352</v>
      </c>
      <c r="B41" s="3038">
        <v>4</v>
      </c>
      <c r="C41" s="3038">
        <v>3</v>
      </c>
      <c r="D41" s="3039" t="s">
        <v>3382</v>
      </c>
      <c r="E41" s="3040" t="s">
        <v>3429</v>
      </c>
      <c r="F41" s="3041">
        <v>1152.56</v>
      </c>
      <c r="G41" s="3042">
        <v>1152.56</v>
      </c>
      <c r="H41" s="3043">
        <v>43191</v>
      </c>
      <c r="I41" s="3043">
        <v>44286</v>
      </c>
      <c r="J41" s="3044">
        <v>36</v>
      </c>
      <c r="K41" s="3045">
        <v>127.08</v>
      </c>
      <c r="L41" s="3046">
        <f t="shared" si="0"/>
        <v>4.2359999999999998</v>
      </c>
      <c r="M41" s="3047"/>
      <c r="N41" s="3048"/>
      <c r="O41" s="3049">
        <v>25</v>
      </c>
      <c r="P41" s="3050">
        <v>6017192.8799999999</v>
      </c>
      <c r="Q41" s="3051">
        <v>4979888.88</v>
      </c>
      <c r="R41" s="3051">
        <v>1037304</v>
      </c>
      <c r="S41" s="3034">
        <f t="shared" si="1"/>
        <v>146467.3248</v>
      </c>
    </row>
    <row r="42" spans="1:19">
      <c r="A42" s="3037" t="s">
        <v>3352</v>
      </c>
      <c r="B42" s="3038">
        <v>4</v>
      </c>
      <c r="C42" s="3038">
        <v>5</v>
      </c>
      <c r="D42" s="3039" t="s">
        <v>3430</v>
      </c>
      <c r="E42" s="3040" t="s">
        <v>3424</v>
      </c>
      <c r="F42" s="3041">
        <v>929.38</v>
      </c>
      <c r="G42" s="3042">
        <v>929.38</v>
      </c>
      <c r="H42" s="3043">
        <v>43191</v>
      </c>
      <c r="I42" s="3043">
        <v>44286</v>
      </c>
      <c r="J42" s="3044">
        <v>36</v>
      </c>
      <c r="K42" s="3045">
        <v>127.08</v>
      </c>
      <c r="L42" s="3046">
        <f t="shared" si="0"/>
        <v>4.2359999999999998</v>
      </c>
      <c r="M42" s="3047"/>
      <c r="N42" s="3048"/>
      <c r="O42" s="3049">
        <v>25</v>
      </c>
      <c r="P42" s="3050">
        <v>4852032.74</v>
      </c>
      <c r="Q42" s="3051">
        <v>4015590.74</v>
      </c>
      <c r="R42" s="3051">
        <v>836442</v>
      </c>
      <c r="S42" s="3034">
        <f t="shared" si="1"/>
        <v>118105.61040000001</v>
      </c>
    </row>
    <row r="43" spans="1:19">
      <c r="A43" s="3037" t="s">
        <v>3352</v>
      </c>
      <c r="B43" s="3038">
        <v>4</v>
      </c>
      <c r="C43" s="3038">
        <v>5</v>
      </c>
      <c r="D43" s="3039" t="s">
        <v>3431</v>
      </c>
      <c r="E43" s="3040" t="s">
        <v>3432</v>
      </c>
      <c r="F43" s="3041">
        <v>104.65</v>
      </c>
      <c r="G43" s="3042">
        <v>104.65</v>
      </c>
      <c r="H43" s="3043">
        <v>43191</v>
      </c>
      <c r="I43" s="3043">
        <v>44286</v>
      </c>
      <c r="J43" s="3044">
        <v>36</v>
      </c>
      <c r="K43" s="3045">
        <v>127.08</v>
      </c>
      <c r="L43" s="3046">
        <f t="shared" si="0"/>
        <v>4.2359999999999998</v>
      </c>
      <c r="M43" s="3047"/>
      <c r="N43" s="3048"/>
      <c r="O43" s="3049">
        <v>25</v>
      </c>
      <c r="P43" s="3050">
        <v>546348.28</v>
      </c>
      <c r="Q43" s="3051">
        <v>452163.28</v>
      </c>
      <c r="R43" s="3051">
        <v>94185</v>
      </c>
      <c r="S43" s="3034">
        <f t="shared" si="1"/>
        <v>13298.922</v>
      </c>
    </row>
    <row r="44" spans="1:19">
      <c r="A44" s="3037" t="s">
        <v>3352</v>
      </c>
      <c r="B44" s="3038">
        <v>4</v>
      </c>
      <c r="C44" s="3038">
        <v>5</v>
      </c>
      <c r="D44" s="3039" t="s">
        <v>3433</v>
      </c>
      <c r="E44" s="3040" t="s">
        <v>3434</v>
      </c>
      <c r="F44" s="3041">
        <v>118.53</v>
      </c>
      <c r="G44" s="3042">
        <v>118.53</v>
      </c>
      <c r="H44" s="3043">
        <v>43191</v>
      </c>
      <c r="I44" s="3043">
        <v>44286</v>
      </c>
      <c r="J44" s="3044">
        <v>36</v>
      </c>
      <c r="K44" s="3045">
        <v>127.08</v>
      </c>
      <c r="L44" s="3046">
        <f t="shared" si="0"/>
        <v>4.2359999999999998</v>
      </c>
      <c r="M44" s="3047"/>
      <c r="N44" s="3048"/>
      <c r="O44" s="3049">
        <v>25</v>
      </c>
      <c r="P44" s="3050">
        <v>618811.86</v>
      </c>
      <c r="Q44" s="3051">
        <v>512134.86</v>
      </c>
      <c r="R44" s="3051">
        <v>106677</v>
      </c>
      <c r="S44" s="3034">
        <f t="shared" si="1"/>
        <v>15062.7924</v>
      </c>
    </row>
    <row r="45" spans="1:19">
      <c r="A45" s="3037" t="s">
        <v>3352</v>
      </c>
      <c r="B45" s="3038">
        <v>4</v>
      </c>
      <c r="C45" s="3038">
        <v>6</v>
      </c>
      <c r="D45" s="3039" t="s">
        <v>3435</v>
      </c>
      <c r="E45" s="3040" t="s">
        <v>3424</v>
      </c>
      <c r="F45" s="3041">
        <v>1152.56</v>
      </c>
      <c r="G45" s="3042">
        <v>2305.12</v>
      </c>
      <c r="H45" s="3043">
        <v>43101</v>
      </c>
      <c r="I45" s="3043">
        <v>45016</v>
      </c>
      <c r="J45" s="3044">
        <v>60</v>
      </c>
      <c r="K45" s="3045">
        <v>266.17</v>
      </c>
      <c r="L45" s="3046">
        <f t="shared" si="0"/>
        <v>8.8723333333333336</v>
      </c>
      <c r="M45" s="3047"/>
      <c r="N45" s="3048"/>
      <c r="O45" s="3049">
        <v>38</v>
      </c>
      <c r="P45" s="3050">
        <v>21683088.440000001</v>
      </c>
      <c r="Q45" s="3051">
        <v>19055251.640000001</v>
      </c>
      <c r="R45" s="3051">
        <v>2627836.7999999998</v>
      </c>
      <c r="S45" s="3034">
        <f t="shared" si="1"/>
        <v>306776.89520000003</v>
      </c>
    </row>
    <row r="46" spans="1:19" ht="14.25">
      <c r="A46" s="3037" t="s">
        <v>3352</v>
      </c>
      <c r="B46" s="3038">
        <v>4</v>
      </c>
      <c r="C46" s="3038">
        <v>7</v>
      </c>
      <c r="D46" s="3039" t="s">
        <v>3436</v>
      </c>
      <c r="E46" s="3040" t="s">
        <v>3437</v>
      </c>
      <c r="F46" s="3041">
        <v>274.91000000000003</v>
      </c>
      <c r="G46" s="3042">
        <v>274.91000000000003</v>
      </c>
      <c r="H46" s="3043">
        <v>43337</v>
      </c>
      <c r="I46" s="3043">
        <v>44067</v>
      </c>
      <c r="J46" s="3044">
        <v>24</v>
      </c>
      <c r="K46" s="3045">
        <v>137.29</v>
      </c>
      <c r="L46" s="3046">
        <f t="shared" si="0"/>
        <v>4.5763333333333334</v>
      </c>
      <c r="M46" s="3047"/>
      <c r="N46" s="3054"/>
      <c r="O46" s="3049">
        <v>30</v>
      </c>
      <c r="P46" s="3050">
        <v>1104634.56</v>
      </c>
      <c r="Q46" s="3051">
        <v>906541.32</v>
      </c>
      <c r="R46" s="3051">
        <v>198093.24</v>
      </c>
      <c r="S46" s="3034">
        <f t="shared" si="1"/>
        <v>37742.393900000003</v>
      </c>
    </row>
    <row r="47" spans="1:19">
      <c r="A47" s="3037" t="s">
        <v>3352</v>
      </c>
      <c r="B47" s="3038">
        <v>4</v>
      </c>
      <c r="C47" s="3038">
        <v>7</v>
      </c>
      <c r="D47" s="3039" t="s">
        <v>3396</v>
      </c>
      <c r="E47" s="3040" t="s">
        <v>3438</v>
      </c>
      <c r="F47" s="3041">
        <v>78.19</v>
      </c>
      <c r="G47" s="3042">
        <v>78.19</v>
      </c>
      <c r="H47" s="3043">
        <v>43187</v>
      </c>
      <c r="I47" s="3043">
        <v>44282</v>
      </c>
      <c r="J47" s="3044">
        <v>36</v>
      </c>
      <c r="K47" s="3045">
        <v>137.29</v>
      </c>
      <c r="L47" s="3046">
        <f t="shared" si="0"/>
        <v>4.5763333333333334</v>
      </c>
      <c r="M47" s="3047"/>
      <c r="N47" s="3048"/>
      <c r="O47" s="3049">
        <v>30</v>
      </c>
      <c r="P47" s="3050">
        <v>470894.76</v>
      </c>
      <c r="Q47" s="3051">
        <v>386449.56</v>
      </c>
      <c r="R47" s="3051">
        <v>84445.2</v>
      </c>
      <c r="S47" s="3034">
        <f t="shared" si="1"/>
        <v>10734.705099999999</v>
      </c>
    </row>
    <row r="48" spans="1:19">
      <c r="A48" s="3037" t="s">
        <v>3352</v>
      </c>
      <c r="B48" s="3038">
        <v>4</v>
      </c>
      <c r="C48" s="3038">
        <v>7</v>
      </c>
      <c r="D48" s="3039" t="s">
        <v>3439</v>
      </c>
      <c r="E48" s="3040" t="s">
        <v>3440</v>
      </c>
      <c r="F48" s="3041">
        <v>78.19</v>
      </c>
      <c r="G48" s="3042">
        <v>78.19</v>
      </c>
      <c r="H48" s="3043">
        <v>42664</v>
      </c>
      <c r="I48" s="3043">
        <v>43758</v>
      </c>
      <c r="J48" s="3044">
        <v>36</v>
      </c>
      <c r="K48" s="3045">
        <v>161.21</v>
      </c>
      <c r="L48" s="3046">
        <f t="shared" si="0"/>
        <v>5.3736666666666668</v>
      </c>
      <c r="M48" s="3047"/>
      <c r="N48" s="3048"/>
      <c r="O48" s="3049"/>
      <c r="P48" s="3050">
        <v>453780.36</v>
      </c>
      <c r="Q48" s="3051">
        <v>453780.36</v>
      </c>
      <c r="R48" s="3051">
        <v>0</v>
      </c>
      <c r="S48" s="3034">
        <f t="shared" si="1"/>
        <v>12605.009900000001</v>
      </c>
    </row>
    <row r="49" spans="1:19">
      <c r="A49" s="3037" t="s">
        <v>3352</v>
      </c>
      <c r="B49" s="3038">
        <v>4</v>
      </c>
      <c r="C49" s="3038">
        <v>8</v>
      </c>
      <c r="D49" s="3039" t="s">
        <v>3441</v>
      </c>
      <c r="E49" s="3040" t="s">
        <v>3442</v>
      </c>
      <c r="F49" s="3041">
        <v>576.28</v>
      </c>
      <c r="G49" s="3042">
        <v>576.28</v>
      </c>
      <c r="H49" s="3043">
        <v>42826</v>
      </c>
      <c r="I49" s="3043">
        <v>43921</v>
      </c>
      <c r="J49" s="3044">
        <v>36</v>
      </c>
      <c r="K49" s="3045">
        <v>167.29</v>
      </c>
      <c r="L49" s="3046">
        <f t="shared" si="0"/>
        <v>5.5763333333333334</v>
      </c>
      <c r="M49" s="3047"/>
      <c r="N49" s="3048"/>
      <c r="O49" s="3049"/>
      <c r="P49" s="3050">
        <v>3470611.68</v>
      </c>
      <c r="Q49" s="3051">
        <v>3470611.68</v>
      </c>
      <c r="R49" s="3051">
        <v>0</v>
      </c>
      <c r="S49" s="3034">
        <f t="shared" si="1"/>
        <v>96405.881199999989</v>
      </c>
    </row>
    <row r="50" spans="1:19" ht="14.25">
      <c r="A50" s="3037" t="s">
        <v>3352</v>
      </c>
      <c r="B50" s="3038">
        <v>4</v>
      </c>
      <c r="C50" s="3038">
        <v>8</v>
      </c>
      <c r="D50" s="3039" t="s">
        <v>3443</v>
      </c>
      <c r="E50" s="3040" t="s">
        <v>3444</v>
      </c>
      <c r="F50" s="3041">
        <v>576.28</v>
      </c>
      <c r="G50" s="3042">
        <v>576.28</v>
      </c>
      <c r="H50" s="3043">
        <v>43337</v>
      </c>
      <c r="I50" s="3043">
        <v>44432</v>
      </c>
      <c r="J50" s="3044">
        <v>36</v>
      </c>
      <c r="K50" s="3055">
        <v>137.29</v>
      </c>
      <c r="L50" s="3046">
        <f t="shared" si="0"/>
        <v>4.5763333333333334</v>
      </c>
      <c r="M50" s="3073"/>
      <c r="N50" s="3048"/>
      <c r="O50" s="3047">
        <v>30</v>
      </c>
      <c r="P50" s="3050">
        <v>3390173.6134904101</v>
      </c>
      <c r="Q50" s="3051">
        <v>2768028.0408876701</v>
      </c>
      <c r="R50" s="3051">
        <v>622145.57260274002</v>
      </c>
      <c r="S50" s="3034">
        <f t="shared" si="1"/>
        <v>79117.481199999995</v>
      </c>
    </row>
    <row r="51" spans="1:19">
      <c r="A51" s="3037" t="s">
        <v>3352</v>
      </c>
      <c r="B51" s="3038">
        <v>4</v>
      </c>
      <c r="C51" s="3038">
        <v>9</v>
      </c>
      <c r="D51" s="3039" t="s">
        <v>3392</v>
      </c>
      <c r="E51" s="3040" t="s">
        <v>3445</v>
      </c>
      <c r="F51" s="3041">
        <v>274.91000000000003</v>
      </c>
      <c r="G51" s="3042">
        <v>274.91000000000003</v>
      </c>
      <c r="H51" s="3043">
        <v>43246</v>
      </c>
      <c r="I51" s="3043">
        <v>43976</v>
      </c>
      <c r="J51" s="3044">
        <v>24</v>
      </c>
      <c r="K51" s="3045">
        <v>137.29</v>
      </c>
      <c r="L51" s="3046">
        <f t="shared" si="0"/>
        <v>4.5763333333333334</v>
      </c>
      <c r="M51" s="3047"/>
      <c r="N51" s="3048"/>
      <c r="O51" s="3049">
        <v>30</v>
      </c>
      <c r="P51" s="3050">
        <v>1085395.1599999999</v>
      </c>
      <c r="Q51" s="3051">
        <v>887411.68</v>
      </c>
      <c r="R51" s="3051">
        <v>197983.48</v>
      </c>
      <c r="S51" s="3034">
        <f t="shared" si="1"/>
        <v>37742.393900000003</v>
      </c>
    </row>
    <row r="52" spans="1:19">
      <c r="A52" s="3037" t="s">
        <v>3352</v>
      </c>
      <c r="B52" s="3038">
        <v>4</v>
      </c>
      <c r="C52" s="3038">
        <v>9</v>
      </c>
      <c r="D52" s="3039" t="s">
        <v>3446</v>
      </c>
      <c r="E52" s="3040" t="s">
        <v>3447</v>
      </c>
      <c r="F52" s="3041">
        <v>223.18</v>
      </c>
      <c r="G52" s="3042">
        <v>223.18</v>
      </c>
      <c r="H52" s="3043">
        <v>43101</v>
      </c>
      <c r="I52" s="3043">
        <v>43830</v>
      </c>
      <c r="J52" s="3044">
        <v>24</v>
      </c>
      <c r="K52" s="3045">
        <v>142.29</v>
      </c>
      <c r="L52" s="3046">
        <f t="shared" si="0"/>
        <v>4.7429999999999994</v>
      </c>
      <c r="M52" s="3047"/>
      <c r="N52" s="3048"/>
      <c r="O52" s="3049">
        <v>25</v>
      </c>
      <c r="P52" s="3050">
        <v>896058.72</v>
      </c>
      <c r="Q52" s="3051">
        <v>762150.72</v>
      </c>
      <c r="R52" s="3051">
        <v>133908</v>
      </c>
      <c r="S52" s="3034">
        <f t="shared" si="1"/>
        <v>31756.282199999998</v>
      </c>
    </row>
    <row r="53" spans="1:19">
      <c r="A53" s="3037" t="s">
        <v>3352</v>
      </c>
      <c r="B53" s="3038">
        <v>4</v>
      </c>
      <c r="C53" s="3038">
        <v>9</v>
      </c>
      <c r="D53" s="3039" t="s">
        <v>3390</v>
      </c>
      <c r="E53" s="3040" t="s">
        <v>3448</v>
      </c>
      <c r="F53" s="3041">
        <v>78.19</v>
      </c>
      <c r="G53" s="3042">
        <v>78.19</v>
      </c>
      <c r="H53" s="3043">
        <v>42963</v>
      </c>
      <c r="I53" s="3043">
        <v>44058</v>
      </c>
      <c r="J53" s="3044">
        <v>36</v>
      </c>
      <c r="K53" s="3045">
        <v>136.21</v>
      </c>
      <c r="L53" s="3046">
        <f t="shared" si="0"/>
        <v>4.5403333333333338</v>
      </c>
      <c r="M53" s="3047"/>
      <c r="N53" s="3048"/>
      <c r="O53" s="3049">
        <v>25</v>
      </c>
      <c r="P53" s="3050">
        <v>453780.36</v>
      </c>
      <c r="Q53" s="3051">
        <v>383409.36</v>
      </c>
      <c r="R53" s="3051">
        <v>70371</v>
      </c>
      <c r="S53" s="3034">
        <f t="shared" si="1"/>
        <v>10650.259900000001</v>
      </c>
    </row>
    <row r="54" spans="1:19">
      <c r="A54" s="3037" t="s">
        <v>3352</v>
      </c>
      <c r="B54" s="3038">
        <v>4</v>
      </c>
      <c r="C54" s="3038">
        <v>9</v>
      </c>
      <c r="D54" s="3039" t="s">
        <v>3449</v>
      </c>
      <c r="E54" s="3040" t="s">
        <v>3450</v>
      </c>
      <c r="F54" s="3041">
        <v>341.71</v>
      </c>
      <c r="G54" s="3042">
        <v>341.71</v>
      </c>
      <c r="H54" s="3043">
        <v>43070</v>
      </c>
      <c r="I54" s="3043">
        <v>43799</v>
      </c>
      <c r="J54" s="3044">
        <v>24</v>
      </c>
      <c r="K54" s="3045">
        <v>142.29</v>
      </c>
      <c r="L54" s="3046">
        <f t="shared" si="0"/>
        <v>4.7429999999999994</v>
      </c>
      <c r="M54" s="3047"/>
      <c r="N54" s="3048"/>
      <c r="O54" s="3049">
        <v>25</v>
      </c>
      <c r="P54" s="3050">
        <v>1323330.1599999999</v>
      </c>
      <c r="Q54" s="3051">
        <v>1118304.1599999999</v>
      </c>
      <c r="R54" s="3051">
        <v>205026</v>
      </c>
      <c r="S54" s="3034">
        <f t="shared" si="1"/>
        <v>48621.915899999993</v>
      </c>
    </row>
    <row r="55" spans="1:19">
      <c r="A55" s="3037" t="s">
        <v>3352</v>
      </c>
      <c r="B55" s="3038">
        <v>4</v>
      </c>
      <c r="C55" s="3038">
        <v>9</v>
      </c>
      <c r="D55" s="3039" t="s">
        <v>3451</v>
      </c>
      <c r="E55" s="3040" t="s">
        <v>3452</v>
      </c>
      <c r="F55" s="3041">
        <v>118.53</v>
      </c>
      <c r="G55" s="3042">
        <v>118.53</v>
      </c>
      <c r="H55" s="3043">
        <v>42825</v>
      </c>
      <c r="I55" s="3043">
        <v>43920</v>
      </c>
      <c r="J55" s="3044">
        <v>36</v>
      </c>
      <c r="K55" s="3045">
        <v>167.29</v>
      </c>
      <c r="L55" s="3046">
        <f t="shared" si="0"/>
        <v>5.5763333333333334</v>
      </c>
      <c r="M55" s="3047"/>
      <c r="N55" s="3048"/>
      <c r="O55" s="3049"/>
      <c r="P55" s="3050">
        <v>713839.68</v>
      </c>
      <c r="Q55" s="3051">
        <v>713839.68</v>
      </c>
      <c r="R55" s="3051">
        <v>0</v>
      </c>
      <c r="S55" s="3034">
        <f t="shared" si="1"/>
        <v>19828.883699999998</v>
      </c>
    </row>
    <row r="56" spans="1:19">
      <c r="A56" s="3037" t="s">
        <v>3352</v>
      </c>
      <c r="B56" s="3038">
        <v>5</v>
      </c>
      <c r="C56" s="3038">
        <v>5</v>
      </c>
      <c r="D56" s="3039" t="s">
        <v>3453</v>
      </c>
      <c r="E56" s="3040" t="s">
        <v>3454</v>
      </c>
      <c r="F56" s="3041">
        <v>556.76</v>
      </c>
      <c r="G56" s="3042">
        <v>556.76</v>
      </c>
      <c r="H56" s="3043">
        <v>43221</v>
      </c>
      <c r="I56" s="3043">
        <v>43951</v>
      </c>
      <c r="J56" s="3044">
        <v>24</v>
      </c>
      <c r="K56" s="3045">
        <v>125.13</v>
      </c>
      <c r="L56" s="3046">
        <f t="shared" si="0"/>
        <v>4.1710000000000003</v>
      </c>
      <c r="M56" s="3047"/>
      <c r="N56" s="3048"/>
      <c r="O56" s="3049">
        <v>30</v>
      </c>
      <c r="P56" s="3050">
        <v>2003216.94</v>
      </c>
      <c r="Q56" s="3051">
        <v>1602349.74</v>
      </c>
      <c r="R56" s="3051">
        <v>400867.2</v>
      </c>
      <c r="S56" s="3034">
        <f t="shared" si="1"/>
        <v>69667.378799999991</v>
      </c>
    </row>
    <row r="57" spans="1:19">
      <c r="A57" s="3037" t="s">
        <v>3352</v>
      </c>
      <c r="B57" s="3038">
        <v>5</v>
      </c>
      <c r="C57" s="3038">
        <v>6</v>
      </c>
      <c r="D57" s="3039" t="s">
        <v>3455</v>
      </c>
      <c r="E57" s="3040" t="s">
        <v>3456</v>
      </c>
      <c r="F57" s="3041">
        <v>1364.76</v>
      </c>
      <c r="G57" s="3042">
        <v>1364.76</v>
      </c>
      <c r="H57" s="3043">
        <v>43089</v>
      </c>
      <c r="I57" s="3043">
        <v>44914</v>
      </c>
      <c r="J57" s="3044">
        <v>60</v>
      </c>
      <c r="K57" s="3045">
        <v>130.13</v>
      </c>
      <c r="L57" s="3046">
        <f t="shared" si="0"/>
        <v>4.3376666666666663</v>
      </c>
      <c r="M57" s="3047"/>
      <c r="N57" s="3048"/>
      <c r="O57" s="3049">
        <v>25</v>
      </c>
      <c r="P57" s="3050">
        <v>13200384.3916723</v>
      </c>
      <c r="Q57" s="3051">
        <v>11151935.690126</v>
      </c>
      <c r="R57" s="3051">
        <v>2048448.6473972599</v>
      </c>
      <c r="S57" s="3034">
        <f t="shared" si="1"/>
        <v>177596.2188</v>
      </c>
    </row>
    <row r="58" spans="1:19">
      <c r="A58" s="3037" t="s">
        <v>3352</v>
      </c>
      <c r="B58" s="3038">
        <v>5</v>
      </c>
      <c r="C58" s="3038">
        <v>6</v>
      </c>
      <c r="D58" s="3039" t="s">
        <v>3457</v>
      </c>
      <c r="E58" s="3040" t="s">
        <v>3458</v>
      </c>
      <c r="F58" s="3041">
        <v>556.76</v>
      </c>
      <c r="G58" s="3042">
        <v>556.76</v>
      </c>
      <c r="H58" s="3043">
        <v>43070</v>
      </c>
      <c r="I58" s="3043">
        <v>44165</v>
      </c>
      <c r="J58" s="3044">
        <v>36</v>
      </c>
      <c r="K58" s="3045">
        <v>136.21</v>
      </c>
      <c r="L58" s="3046">
        <f t="shared" si="0"/>
        <v>4.5403333333333338</v>
      </c>
      <c r="M58" s="3047"/>
      <c r="N58" s="3048"/>
      <c r="O58" s="3049">
        <v>25</v>
      </c>
      <c r="P58" s="3050">
        <v>3155353.8</v>
      </c>
      <c r="Q58" s="3051">
        <v>2654269.7999999998</v>
      </c>
      <c r="R58" s="3051">
        <v>501084</v>
      </c>
      <c r="S58" s="3034">
        <f t="shared" si="1"/>
        <v>75836.279600000009</v>
      </c>
    </row>
    <row r="59" spans="1:19" ht="14.25">
      <c r="A59" s="3037" t="s">
        <v>3352</v>
      </c>
      <c r="B59" s="3038">
        <v>5</v>
      </c>
      <c r="C59" s="3038">
        <v>6</v>
      </c>
      <c r="D59" s="3039" t="s">
        <v>3459</v>
      </c>
      <c r="E59" s="3040" t="s">
        <v>3460</v>
      </c>
      <c r="F59" s="3041">
        <v>326.67</v>
      </c>
      <c r="G59" s="3042">
        <v>326.67</v>
      </c>
      <c r="H59" s="3043">
        <v>43023</v>
      </c>
      <c r="I59" s="3043">
        <v>44118</v>
      </c>
      <c r="J59" s="3044">
        <v>36</v>
      </c>
      <c r="K59" s="3045">
        <v>139.25</v>
      </c>
      <c r="L59" s="3046">
        <f t="shared" si="0"/>
        <v>4.6416666666666666</v>
      </c>
      <c r="M59" s="3053"/>
      <c r="N59" s="3054"/>
      <c r="O59" s="3049">
        <v>25</v>
      </c>
      <c r="P59" s="3050">
        <v>1907205.03</v>
      </c>
      <c r="Q59" s="3051">
        <v>1613045.28</v>
      </c>
      <c r="R59" s="3051">
        <v>294159.75</v>
      </c>
      <c r="S59" s="3034">
        <f t="shared" si="1"/>
        <v>45488.797500000001</v>
      </c>
    </row>
    <row r="60" spans="1:19">
      <c r="A60" s="3037" t="s">
        <v>3352</v>
      </c>
      <c r="B60" s="3038">
        <v>5</v>
      </c>
      <c r="C60" s="3038">
        <v>6</v>
      </c>
      <c r="D60" s="3039" t="s">
        <v>3461</v>
      </c>
      <c r="E60" s="3040" t="s">
        <v>3462</v>
      </c>
      <c r="F60" s="3041">
        <v>481.33</v>
      </c>
      <c r="G60" s="3042">
        <v>481.33</v>
      </c>
      <c r="H60" s="3043">
        <v>43009</v>
      </c>
      <c r="I60" s="3043">
        <v>44104</v>
      </c>
      <c r="J60" s="3044">
        <v>36</v>
      </c>
      <c r="K60" s="3045">
        <v>136.21</v>
      </c>
      <c r="L60" s="3046">
        <f t="shared" si="0"/>
        <v>4.5403333333333338</v>
      </c>
      <c r="M60" s="3047"/>
      <c r="N60" s="3048"/>
      <c r="O60" s="3049">
        <v>25</v>
      </c>
      <c r="P60" s="3050">
        <v>2727865.6</v>
      </c>
      <c r="Q60" s="3051">
        <v>2294668.6</v>
      </c>
      <c r="R60" s="3051">
        <v>433197</v>
      </c>
      <c r="S60" s="3034">
        <f t="shared" si="1"/>
        <v>65561.959300000002</v>
      </c>
    </row>
    <row r="61" spans="1:19">
      <c r="A61" s="3037" t="s">
        <v>3352</v>
      </c>
      <c r="B61" s="3038">
        <v>5</v>
      </c>
      <c r="C61" s="3038">
        <v>7</v>
      </c>
      <c r="D61" s="3039" t="s">
        <v>3463</v>
      </c>
      <c r="E61" s="3040" t="s">
        <v>3464</v>
      </c>
      <c r="F61" s="3041">
        <v>556.76</v>
      </c>
      <c r="G61" s="3042">
        <v>556.76</v>
      </c>
      <c r="H61" s="3043">
        <v>43191</v>
      </c>
      <c r="I61" s="3043">
        <v>44286</v>
      </c>
      <c r="J61" s="3044">
        <v>36</v>
      </c>
      <c r="K61" s="3045">
        <v>134.25</v>
      </c>
      <c r="L61" s="3046">
        <f t="shared" si="0"/>
        <v>4.4749999999999996</v>
      </c>
      <c r="M61" s="3047"/>
      <c r="N61" s="3048"/>
      <c r="O61" s="3049">
        <v>30</v>
      </c>
      <c r="P61" s="3050">
        <v>3217376.85</v>
      </c>
      <c r="Q61" s="3051">
        <v>2616076.0499999998</v>
      </c>
      <c r="R61" s="3051">
        <v>601300.80000000005</v>
      </c>
      <c r="S61" s="3034">
        <f t="shared" si="1"/>
        <v>74745.03</v>
      </c>
    </row>
    <row r="62" spans="1:19">
      <c r="A62" s="3037" t="s">
        <v>3352</v>
      </c>
      <c r="B62" s="3038">
        <v>5</v>
      </c>
      <c r="C62" s="3038">
        <v>7</v>
      </c>
      <c r="D62" s="3039" t="s">
        <v>3419</v>
      </c>
      <c r="E62" s="3040" t="s">
        <v>3465</v>
      </c>
      <c r="F62" s="3041">
        <v>326.67</v>
      </c>
      <c r="G62" s="3042">
        <v>326.67</v>
      </c>
      <c r="H62" s="3043">
        <v>43070</v>
      </c>
      <c r="I62" s="3043">
        <v>44165</v>
      </c>
      <c r="J62" s="3044">
        <v>36</v>
      </c>
      <c r="K62" s="3045">
        <v>139.25</v>
      </c>
      <c r="L62" s="3046">
        <f t="shared" si="0"/>
        <v>4.6416666666666666</v>
      </c>
      <c r="M62" s="3047"/>
      <c r="N62" s="3048"/>
      <c r="O62" s="3049">
        <v>25</v>
      </c>
      <c r="P62" s="3050">
        <v>1886111</v>
      </c>
      <c r="Q62" s="3051">
        <v>1592108</v>
      </c>
      <c r="R62" s="3051">
        <v>294003</v>
      </c>
      <c r="S62" s="3034">
        <f t="shared" si="1"/>
        <v>45488.797500000001</v>
      </c>
    </row>
    <row r="63" spans="1:19">
      <c r="A63" s="3037" t="s">
        <v>3352</v>
      </c>
      <c r="B63" s="3038">
        <v>5</v>
      </c>
      <c r="C63" s="3038">
        <v>7</v>
      </c>
      <c r="D63" s="3039" t="s">
        <v>3466</v>
      </c>
      <c r="E63" s="3040" t="s">
        <v>3467</v>
      </c>
      <c r="F63" s="3041">
        <v>556.76</v>
      </c>
      <c r="G63" s="3042">
        <v>556.76</v>
      </c>
      <c r="H63" s="3043">
        <v>42993</v>
      </c>
      <c r="I63" s="3043">
        <v>44088</v>
      </c>
      <c r="J63" s="3044">
        <v>36</v>
      </c>
      <c r="K63" s="3045">
        <v>139.25</v>
      </c>
      <c r="L63" s="3046">
        <f t="shared" si="0"/>
        <v>4.6416666666666666</v>
      </c>
      <c r="M63" s="3047"/>
      <c r="N63" s="3048"/>
      <c r="O63" s="3049">
        <v>25</v>
      </c>
      <c r="P63" s="3050">
        <v>3214593.05</v>
      </c>
      <c r="Q63" s="3051">
        <v>2713509.05</v>
      </c>
      <c r="R63" s="3051">
        <v>501084</v>
      </c>
      <c r="S63" s="3034">
        <f t="shared" si="1"/>
        <v>77528.83</v>
      </c>
    </row>
    <row r="64" spans="1:19">
      <c r="A64" s="3037" t="s">
        <v>3352</v>
      </c>
      <c r="B64" s="3038">
        <v>5</v>
      </c>
      <c r="C64" s="3038">
        <v>7</v>
      </c>
      <c r="D64" s="3039" t="s">
        <v>3461</v>
      </c>
      <c r="E64" s="3040" t="s">
        <v>3468</v>
      </c>
      <c r="F64" s="3041">
        <v>481.33</v>
      </c>
      <c r="G64" s="3042">
        <v>481.33</v>
      </c>
      <c r="H64" s="3043">
        <v>43009</v>
      </c>
      <c r="I64" s="3043">
        <v>44104</v>
      </c>
      <c r="J64" s="3044">
        <v>36</v>
      </c>
      <c r="K64" s="3045">
        <v>139.25</v>
      </c>
      <c r="L64" s="3046">
        <f t="shared" si="0"/>
        <v>4.6416666666666666</v>
      </c>
      <c r="M64" s="3047"/>
      <c r="N64" s="3048"/>
      <c r="O64" s="3049">
        <v>25</v>
      </c>
      <c r="P64" s="3050">
        <v>2779079</v>
      </c>
      <c r="Q64" s="3051">
        <v>2345882</v>
      </c>
      <c r="R64" s="3051">
        <v>433197</v>
      </c>
      <c r="S64" s="3034">
        <f t="shared" si="1"/>
        <v>67025.202499999999</v>
      </c>
    </row>
    <row r="65" spans="1:19">
      <c r="A65" s="3037" t="s">
        <v>3352</v>
      </c>
      <c r="B65" s="3038">
        <v>5</v>
      </c>
      <c r="C65" s="3038">
        <v>8</v>
      </c>
      <c r="D65" s="3039" t="s">
        <v>3469</v>
      </c>
      <c r="E65" s="3040" t="s">
        <v>3470</v>
      </c>
      <c r="F65" s="3041">
        <v>326.67</v>
      </c>
      <c r="G65" s="3042">
        <v>326.67</v>
      </c>
      <c r="H65" s="3043">
        <v>43070</v>
      </c>
      <c r="I65" s="3043">
        <v>44165</v>
      </c>
      <c r="J65" s="3044">
        <v>36</v>
      </c>
      <c r="K65" s="3045">
        <v>142.29</v>
      </c>
      <c r="L65" s="3046">
        <f t="shared" si="0"/>
        <v>4.7429999999999994</v>
      </c>
      <c r="M65" s="3047"/>
      <c r="N65" s="3048"/>
      <c r="O65" s="3049">
        <v>25</v>
      </c>
      <c r="P65" s="3050">
        <v>1920868.45</v>
      </c>
      <c r="Q65" s="3051">
        <v>1626865.45</v>
      </c>
      <c r="R65" s="3051">
        <v>294003</v>
      </c>
      <c r="S65" s="3034">
        <f t="shared" si="1"/>
        <v>46481.874300000003</v>
      </c>
    </row>
    <row r="66" spans="1:19">
      <c r="A66" s="3037" t="s">
        <v>3352</v>
      </c>
      <c r="B66" s="3038">
        <v>5</v>
      </c>
      <c r="C66" s="3038">
        <v>8</v>
      </c>
      <c r="D66" s="3039" t="s">
        <v>3421</v>
      </c>
      <c r="E66" s="3040" t="s">
        <v>3471</v>
      </c>
      <c r="F66" s="3041">
        <v>481.33</v>
      </c>
      <c r="G66" s="3042">
        <v>481.33</v>
      </c>
      <c r="H66" s="3043">
        <v>43070</v>
      </c>
      <c r="I66" s="3043">
        <v>44165</v>
      </c>
      <c r="J66" s="3044">
        <v>36</v>
      </c>
      <c r="K66" s="3045">
        <v>142.29</v>
      </c>
      <c r="L66" s="3046">
        <f t="shared" si="0"/>
        <v>4.7429999999999994</v>
      </c>
      <c r="M66" s="3047"/>
      <c r="N66" s="3048"/>
      <c r="O66" s="3049">
        <v>25</v>
      </c>
      <c r="P66" s="3050">
        <v>2830292.75</v>
      </c>
      <c r="Q66" s="3051">
        <v>2397095.75</v>
      </c>
      <c r="R66" s="3051">
        <v>433197</v>
      </c>
      <c r="S66" s="3034">
        <f t="shared" si="1"/>
        <v>68488.445699999997</v>
      </c>
    </row>
    <row r="67" spans="1:19">
      <c r="A67" s="3037" t="s">
        <v>3352</v>
      </c>
      <c r="B67" s="3038">
        <v>5</v>
      </c>
      <c r="C67" s="3038">
        <v>8</v>
      </c>
      <c r="D67" s="3039" t="s">
        <v>3459</v>
      </c>
      <c r="E67" s="3040" t="s">
        <v>3472</v>
      </c>
      <c r="F67" s="3041">
        <v>326.67</v>
      </c>
      <c r="G67" s="3042">
        <v>326.67</v>
      </c>
      <c r="H67" s="3043">
        <v>42988</v>
      </c>
      <c r="I67" s="3043">
        <v>44083</v>
      </c>
      <c r="J67" s="3044">
        <v>36</v>
      </c>
      <c r="K67" s="3045">
        <v>142.29</v>
      </c>
      <c r="L67" s="3046">
        <f t="shared" ref="L67:L130" si="2">K67/30</f>
        <v>4.7429999999999994</v>
      </c>
      <c r="M67" s="3047"/>
      <c r="N67" s="3048"/>
      <c r="O67" s="3049">
        <v>25</v>
      </c>
      <c r="P67" s="3050">
        <v>1920868.45</v>
      </c>
      <c r="Q67" s="3051">
        <v>1626865.45</v>
      </c>
      <c r="R67" s="3051">
        <v>294003</v>
      </c>
      <c r="S67" s="3034">
        <f t="shared" ref="S67:S130" si="3">K67*F67</f>
        <v>46481.874300000003</v>
      </c>
    </row>
    <row r="68" spans="1:19">
      <c r="A68" s="3037" t="s">
        <v>3352</v>
      </c>
      <c r="B68" s="3038">
        <v>5</v>
      </c>
      <c r="C68" s="3038">
        <v>8</v>
      </c>
      <c r="D68" s="3039" t="s">
        <v>3461</v>
      </c>
      <c r="E68" s="3040" t="s">
        <v>3473</v>
      </c>
      <c r="F68" s="3041">
        <v>481.33</v>
      </c>
      <c r="G68" s="3042">
        <v>481.33</v>
      </c>
      <c r="H68" s="3043">
        <v>42979</v>
      </c>
      <c r="I68" s="3043">
        <v>44074</v>
      </c>
      <c r="J68" s="3044">
        <v>36</v>
      </c>
      <c r="K68" s="3045">
        <v>142.29</v>
      </c>
      <c r="L68" s="3046">
        <f t="shared" si="2"/>
        <v>4.7429999999999994</v>
      </c>
      <c r="M68" s="3047"/>
      <c r="N68" s="3048"/>
      <c r="O68" s="3049">
        <v>25</v>
      </c>
      <c r="P68" s="3050">
        <v>2830292.75</v>
      </c>
      <c r="Q68" s="3051">
        <v>2397095.75</v>
      </c>
      <c r="R68" s="3051">
        <v>433197</v>
      </c>
      <c r="S68" s="3034">
        <f t="shared" si="3"/>
        <v>68488.445699999997</v>
      </c>
    </row>
    <row r="69" spans="1:19">
      <c r="A69" s="3037" t="s">
        <v>3352</v>
      </c>
      <c r="B69" s="3038">
        <v>5</v>
      </c>
      <c r="C69" s="3038" t="s">
        <v>3474</v>
      </c>
      <c r="D69" s="3039" t="s">
        <v>3455</v>
      </c>
      <c r="E69" s="3040" t="s">
        <v>3475</v>
      </c>
      <c r="F69" s="3041">
        <v>2729.52</v>
      </c>
      <c r="G69" s="3042">
        <v>2729.52</v>
      </c>
      <c r="H69" s="3043">
        <v>43191</v>
      </c>
      <c r="I69" s="3043">
        <v>43921</v>
      </c>
      <c r="J69" s="3044">
        <v>24</v>
      </c>
      <c r="K69" s="3045">
        <v>122.08</v>
      </c>
      <c r="L69" s="3046">
        <f t="shared" si="2"/>
        <v>4.0693333333333337</v>
      </c>
      <c r="M69" s="3047"/>
      <c r="N69" s="3048"/>
      <c r="O69" s="3049">
        <v>30</v>
      </c>
      <c r="P69" s="3050">
        <v>9471372.7100000009</v>
      </c>
      <c r="Q69" s="3051">
        <v>7506118.3200000003</v>
      </c>
      <c r="R69" s="3051">
        <v>1965254.39</v>
      </c>
      <c r="S69" s="3034">
        <f t="shared" si="3"/>
        <v>333219.80160000001</v>
      </c>
    </row>
    <row r="70" spans="1:19">
      <c r="A70" s="3037" t="s">
        <v>3352</v>
      </c>
      <c r="B70" s="3038">
        <v>6</v>
      </c>
      <c r="C70" s="3038">
        <v>2</v>
      </c>
      <c r="D70" s="3039" t="s">
        <v>3455</v>
      </c>
      <c r="E70" s="3040" t="s">
        <v>3476</v>
      </c>
      <c r="F70" s="3041">
        <v>1364.76</v>
      </c>
      <c r="G70" s="3042">
        <v>1364.76</v>
      </c>
      <c r="H70" s="3043">
        <v>43069</v>
      </c>
      <c r="I70" s="3043">
        <v>44164</v>
      </c>
      <c r="J70" s="3044">
        <v>36</v>
      </c>
      <c r="K70" s="3045">
        <v>136.21</v>
      </c>
      <c r="L70" s="3046">
        <f t="shared" si="2"/>
        <v>4.5403333333333338</v>
      </c>
      <c r="M70" s="3047"/>
      <c r="N70" s="3048"/>
      <c r="O70" s="3049">
        <v>25</v>
      </c>
      <c r="P70" s="3050">
        <v>7917452.5999999996</v>
      </c>
      <c r="Q70" s="3051">
        <v>6689636.06515068</v>
      </c>
      <c r="R70" s="3051">
        <v>1227816.61589041</v>
      </c>
      <c r="S70" s="3034">
        <f t="shared" si="3"/>
        <v>185893.9596</v>
      </c>
    </row>
    <row r="71" spans="1:19">
      <c r="A71" s="3037" t="s">
        <v>3352</v>
      </c>
      <c r="B71" s="3038">
        <v>6</v>
      </c>
      <c r="C71" s="3038">
        <v>3</v>
      </c>
      <c r="D71" s="3039" t="s">
        <v>3425</v>
      </c>
      <c r="E71" s="3040" t="s">
        <v>3477</v>
      </c>
      <c r="F71" s="3041">
        <v>682.38</v>
      </c>
      <c r="G71" s="3042">
        <v>682.38</v>
      </c>
      <c r="H71" s="3043">
        <v>43070</v>
      </c>
      <c r="I71" s="3043">
        <v>44165</v>
      </c>
      <c r="J71" s="3044">
        <v>36</v>
      </c>
      <c r="K71" s="3045">
        <v>136.21</v>
      </c>
      <c r="L71" s="3046">
        <f t="shared" si="2"/>
        <v>4.5403333333333338</v>
      </c>
      <c r="M71" s="3047"/>
      <c r="N71" s="3048"/>
      <c r="O71" s="3049">
        <v>25</v>
      </c>
      <c r="P71" s="3050">
        <v>3960233.28</v>
      </c>
      <c r="Q71" s="3051">
        <v>3346091.28</v>
      </c>
      <c r="R71" s="3051">
        <v>614142</v>
      </c>
      <c r="S71" s="3034">
        <f t="shared" si="3"/>
        <v>92946.979800000001</v>
      </c>
    </row>
    <row r="72" spans="1:19" ht="14.25">
      <c r="A72" s="3037" t="s">
        <v>3352</v>
      </c>
      <c r="B72" s="3038">
        <v>6</v>
      </c>
      <c r="C72" s="3038">
        <v>5</v>
      </c>
      <c r="D72" s="3039" t="s">
        <v>3455</v>
      </c>
      <c r="E72" s="3040" t="s">
        <v>3478</v>
      </c>
      <c r="F72" s="3041">
        <v>1364.76</v>
      </c>
      <c r="G72" s="3042">
        <v>1364.76</v>
      </c>
      <c r="H72" s="3043">
        <v>43070</v>
      </c>
      <c r="I72" s="3043">
        <v>44165</v>
      </c>
      <c r="J72" s="3044">
        <v>36</v>
      </c>
      <c r="K72" s="3045">
        <v>146.85</v>
      </c>
      <c r="L72" s="3046">
        <f t="shared" si="2"/>
        <v>4.8949999999999996</v>
      </c>
      <c r="M72" s="3053"/>
      <c r="N72" s="3054"/>
      <c r="O72" s="3049">
        <v>25</v>
      </c>
      <c r="P72" s="3050">
        <v>8343016.8550000004</v>
      </c>
      <c r="Q72" s="3051">
        <v>7114732.8550000004</v>
      </c>
      <c r="R72" s="3051">
        <v>1228284</v>
      </c>
      <c r="S72" s="3034">
        <f t="shared" si="3"/>
        <v>200415.00599999999</v>
      </c>
    </row>
    <row r="73" spans="1:19">
      <c r="A73" s="3037" t="s">
        <v>3352</v>
      </c>
      <c r="B73" s="3038">
        <v>6</v>
      </c>
      <c r="C73" s="3038">
        <v>6</v>
      </c>
      <c r="D73" s="3039" t="s">
        <v>3396</v>
      </c>
      <c r="E73" s="3040" t="s">
        <v>3479</v>
      </c>
      <c r="F73" s="3041">
        <v>77.33</v>
      </c>
      <c r="G73" s="3042">
        <v>77.33</v>
      </c>
      <c r="H73" s="3043">
        <v>43101</v>
      </c>
      <c r="I73" s="3043">
        <v>43830</v>
      </c>
      <c r="J73" s="3044">
        <v>24</v>
      </c>
      <c r="K73" s="3045">
        <v>148.38</v>
      </c>
      <c r="L73" s="3046">
        <f t="shared" si="2"/>
        <v>4.9459999999999997</v>
      </c>
      <c r="M73" s="3047"/>
      <c r="N73" s="3048"/>
      <c r="O73" s="3049">
        <v>25</v>
      </c>
      <c r="P73" s="3050">
        <v>316042.40500000003</v>
      </c>
      <c r="Q73" s="3051">
        <v>269644.40500000003</v>
      </c>
      <c r="R73" s="3051">
        <v>46398</v>
      </c>
      <c r="S73" s="3034">
        <f t="shared" si="3"/>
        <v>11474.225399999999</v>
      </c>
    </row>
    <row r="74" spans="1:19">
      <c r="A74" s="3037" t="s">
        <v>3352</v>
      </c>
      <c r="B74" s="3038">
        <v>6</v>
      </c>
      <c r="C74" s="3038">
        <v>6</v>
      </c>
      <c r="D74" s="3039" t="s">
        <v>3480</v>
      </c>
      <c r="E74" s="3056" t="s">
        <v>3481</v>
      </c>
      <c r="F74" s="3041">
        <v>278.38</v>
      </c>
      <c r="G74" s="3042">
        <v>278.38</v>
      </c>
      <c r="H74" s="3043">
        <v>43366</v>
      </c>
      <c r="I74" s="3043">
        <v>44461</v>
      </c>
      <c r="J74" s="3044">
        <v>36</v>
      </c>
      <c r="K74" s="3055">
        <v>131.21</v>
      </c>
      <c r="L74" s="3046">
        <f t="shared" si="2"/>
        <v>4.3736666666666668</v>
      </c>
      <c r="M74" s="3047"/>
      <c r="N74" s="3048"/>
      <c r="O74" s="3049">
        <v>30</v>
      </c>
      <c r="P74" s="3045">
        <v>1614980.27061096</v>
      </c>
      <c r="Q74" s="3051">
        <v>1314444.27335069</v>
      </c>
      <c r="R74" s="3051">
        <v>300535.99726027402</v>
      </c>
      <c r="S74" s="3034">
        <f t="shared" si="3"/>
        <v>36526.239800000003</v>
      </c>
    </row>
    <row r="75" spans="1:19">
      <c r="A75" s="3037" t="s">
        <v>3352</v>
      </c>
      <c r="B75" s="3038">
        <v>6</v>
      </c>
      <c r="C75" s="3038">
        <v>7</v>
      </c>
      <c r="D75" s="3039" t="s">
        <v>3361</v>
      </c>
      <c r="E75" s="3040" t="s">
        <v>3482</v>
      </c>
      <c r="F75" s="3041">
        <v>77.33</v>
      </c>
      <c r="G75" s="3042">
        <v>154.66</v>
      </c>
      <c r="H75" s="3043">
        <v>43206</v>
      </c>
      <c r="I75" s="3043">
        <v>43936</v>
      </c>
      <c r="J75" s="3044">
        <v>24</v>
      </c>
      <c r="K75" s="3045">
        <v>266.17</v>
      </c>
      <c r="L75" s="3046">
        <f t="shared" si="2"/>
        <v>8.8723333333333336</v>
      </c>
      <c r="M75" s="3047"/>
      <c r="N75" s="3048"/>
      <c r="O75" s="3049">
        <v>38</v>
      </c>
      <c r="P75" s="3050">
        <v>523800.43081013701</v>
      </c>
      <c r="Q75" s="3051">
        <v>453219.11524849298</v>
      </c>
      <c r="R75" s="3051">
        <v>70581.315561643802</v>
      </c>
      <c r="S75" s="3034">
        <f t="shared" si="3"/>
        <v>20582.926100000001</v>
      </c>
    </row>
    <row r="76" spans="1:19">
      <c r="A76" s="3037" t="s">
        <v>3352</v>
      </c>
      <c r="B76" s="3038">
        <v>6</v>
      </c>
      <c r="C76" s="3038">
        <v>7</v>
      </c>
      <c r="D76" s="3039" t="s">
        <v>3396</v>
      </c>
      <c r="E76" s="3040" t="s">
        <v>3483</v>
      </c>
      <c r="F76" s="3041">
        <v>77.33</v>
      </c>
      <c r="G76" s="3042">
        <v>154.66</v>
      </c>
      <c r="H76" s="3043">
        <v>43206</v>
      </c>
      <c r="I76" s="3043">
        <v>43936</v>
      </c>
      <c r="J76" s="3044">
        <v>24</v>
      </c>
      <c r="K76" s="3045">
        <v>266.17</v>
      </c>
      <c r="L76" s="3046">
        <f t="shared" si="2"/>
        <v>8.8723333333333336</v>
      </c>
      <c r="M76" s="3047"/>
      <c r="N76" s="3048"/>
      <c r="O76" s="3049">
        <v>38</v>
      </c>
      <c r="P76" s="3050">
        <v>523800.43081013701</v>
      </c>
      <c r="Q76" s="3051">
        <v>453219.11524849298</v>
      </c>
      <c r="R76" s="3051">
        <v>70581.315561643802</v>
      </c>
      <c r="S76" s="3034">
        <f t="shared" si="3"/>
        <v>20582.926100000001</v>
      </c>
    </row>
    <row r="77" spans="1:19" ht="24.75">
      <c r="A77" s="3037" t="s">
        <v>3352</v>
      </c>
      <c r="B77" s="3038">
        <v>6</v>
      </c>
      <c r="C77" s="3038">
        <v>7</v>
      </c>
      <c r="D77" s="3039" t="s">
        <v>3484</v>
      </c>
      <c r="E77" s="3040" t="s">
        <v>3485</v>
      </c>
      <c r="F77" s="3041">
        <v>1277.82</v>
      </c>
      <c r="G77" s="3042">
        <v>2487.92</v>
      </c>
      <c r="H77" s="3043">
        <v>43206</v>
      </c>
      <c r="I77" s="3043">
        <v>43936</v>
      </c>
      <c r="J77" s="3044">
        <v>24</v>
      </c>
      <c r="K77" s="3045">
        <v>266.17</v>
      </c>
      <c r="L77" s="3046">
        <f t="shared" si="2"/>
        <v>8.8723333333333336</v>
      </c>
      <c r="M77" s="3047"/>
      <c r="N77" s="3048"/>
      <c r="O77" s="3049">
        <v>38</v>
      </c>
      <c r="P77" s="3050">
        <v>8337914.3640821902</v>
      </c>
      <c r="Q77" s="3051">
        <v>7171611.2908767099</v>
      </c>
      <c r="R77" s="3051">
        <v>1166303.0732054799</v>
      </c>
      <c r="S77" s="3034">
        <f t="shared" si="3"/>
        <v>340117.34940000001</v>
      </c>
    </row>
    <row r="78" spans="1:19">
      <c r="A78" s="3037" t="s">
        <v>3352</v>
      </c>
      <c r="B78" s="3038">
        <v>6</v>
      </c>
      <c r="C78" s="3038">
        <v>9</v>
      </c>
      <c r="D78" s="3039" t="s">
        <v>3486</v>
      </c>
      <c r="E78" s="3040" t="s">
        <v>3487</v>
      </c>
      <c r="F78" s="3041">
        <v>1239.1400000000001</v>
      </c>
      <c r="G78" s="3042">
        <v>1239.1400000000001</v>
      </c>
      <c r="H78" s="3043">
        <v>42675</v>
      </c>
      <c r="I78" s="3043">
        <v>43769</v>
      </c>
      <c r="J78" s="3044">
        <v>36</v>
      </c>
      <c r="K78" s="3045">
        <v>152.08000000000001</v>
      </c>
      <c r="L78" s="3046">
        <f t="shared" si="2"/>
        <v>5.0693333333333337</v>
      </c>
      <c r="M78" s="3047"/>
      <c r="N78" s="3048"/>
      <c r="O78" s="3049"/>
      <c r="P78" s="3050">
        <v>6784142.7599999998</v>
      </c>
      <c r="Q78" s="3051">
        <v>6784142.7599999998</v>
      </c>
      <c r="R78" s="3051">
        <v>0</v>
      </c>
      <c r="S78" s="3034">
        <f t="shared" si="3"/>
        <v>188448.41120000003</v>
      </c>
    </row>
    <row r="79" spans="1:19">
      <c r="A79" s="3037" t="s">
        <v>3352</v>
      </c>
      <c r="B79" s="3038">
        <v>6</v>
      </c>
      <c r="C79" s="3038">
        <v>9</v>
      </c>
      <c r="D79" s="3039" t="s">
        <v>3488</v>
      </c>
      <c r="E79" s="3040" t="s">
        <v>3489</v>
      </c>
      <c r="F79" s="3041">
        <v>125.62</v>
      </c>
      <c r="G79" s="3042">
        <v>125.62</v>
      </c>
      <c r="H79" s="3043">
        <v>42675</v>
      </c>
      <c r="I79" s="3043">
        <v>43769</v>
      </c>
      <c r="J79" s="3044">
        <v>36</v>
      </c>
      <c r="K79" s="3045">
        <v>152.08000000000001</v>
      </c>
      <c r="L79" s="3046">
        <f t="shared" si="2"/>
        <v>5.0693333333333337</v>
      </c>
      <c r="M79" s="3047"/>
      <c r="N79" s="3048"/>
      <c r="O79" s="3049"/>
      <c r="P79" s="3050">
        <v>687754.44</v>
      </c>
      <c r="Q79" s="3051">
        <v>687754.44</v>
      </c>
      <c r="R79" s="3051">
        <v>0</v>
      </c>
      <c r="S79" s="3034">
        <f t="shared" si="3"/>
        <v>19104.289600000004</v>
      </c>
    </row>
    <row r="80" spans="1:19">
      <c r="A80" s="3037" t="s">
        <v>3352</v>
      </c>
      <c r="B80" s="3038">
        <v>6</v>
      </c>
      <c r="C80" s="3038">
        <v>9</v>
      </c>
      <c r="D80" s="3039" t="s">
        <v>3490</v>
      </c>
      <c r="E80" s="3056" t="s">
        <v>3491</v>
      </c>
      <c r="F80" s="3041">
        <v>1364.76</v>
      </c>
      <c r="G80" s="3042">
        <v>1364.76</v>
      </c>
      <c r="H80" s="3043">
        <v>43363</v>
      </c>
      <c r="I80" s="3043">
        <v>44361</v>
      </c>
      <c r="J80" s="3044">
        <v>32</v>
      </c>
      <c r="K80" s="3055">
        <v>140.33000000000001</v>
      </c>
      <c r="L80" s="3046">
        <f t="shared" si="2"/>
        <v>4.6776666666666671</v>
      </c>
      <c r="M80" s="3047"/>
      <c r="N80" s="3048"/>
      <c r="O80" s="3049">
        <v>30</v>
      </c>
      <c r="P80" s="3045">
        <v>7445333.8018947998</v>
      </c>
      <c r="Q80" s="3051">
        <v>6100727.3810728798</v>
      </c>
      <c r="R80" s="3051">
        <v>1344606.42082192</v>
      </c>
      <c r="S80" s="3034">
        <f t="shared" si="3"/>
        <v>191516.77080000003</v>
      </c>
    </row>
    <row r="81" spans="1:19">
      <c r="A81" s="3037" t="s">
        <v>3352</v>
      </c>
      <c r="B81" s="3038">
        <v>7</v>
      </c>
      <c r="C81" s="3038">
        <v>1</v>
      </c>
      <c r="D81" s="3039" t="s">
        <v>3492</v>
      </c>
      <c r="E81" s="3040" t="s">
        <v>3493</v>
      </c>
      <c r="F81" s="3041">
        <v>472.24</v>
      </c>
      <c r="G81" s="3042">
        <v>472.24</v>
      </c>
      <c r="H81" s="3043">
        <v>43252</v>
      </c>
      <c r="I81" s="3043">
        <v>44347</v>
      </c>
      <c r="J81" s="3044">
        <v>36</v>
      </c>
      <c r="K81" s="3045">
        <v>137.29</v>
      </c>
      <c r="L81" s="3046">
        <f t="shared" si="2"/>
        <v>4.5763333333333334</v>
      </c>
      <c r="M81" s="3047"/>
      <c r="N81" s="3048"/>
      <c r="O81" s="3049">
        <v>30</v>
      </c>
      <c r="P81" s="3050">
        <v>2779203.25</v>
      </c>
      <c r="Q81" s="3051">
        <v>2269184.0499999998</v>
      </c>
      <c r="R81" s="3051">
        <v>510019.2</v>
      </c>
      <c r="S81" s="3034">
        <f t="shared" si="3"/>
        <v>64833.829599999997</v>
      </c>
    </row>
    <row r="82" spans="1:19">
      <c r="A82" s="3037" t="s">
        <v>3352</v>
      </c>
      <c r="B82" s="3038">
        <v>7</v>
      </c>
      <c r="C82" s="3038">
        <v>1</v>
      </c>
      <c r="D82" s="3039" t="s">
        <v>3353</v>
      </c>
      <c r="E82" s="3040" t="s">
        <v>3494</v>
      </c>
      <c r="F82" s="3041">
        <v>614.77</v>
      </c>
      <c r="G82" s="3042">
        <v>614.77</v>
      </c>
      <c r="H82" s="3043">
        <v>43235</v>
      </c>
      <c r="I82" s="3043">
        <v>44330</v>
      </c>
      <c r="J82" s="3044">
        <v>36</v>
      </c>
      <c r="K82" s="3045">
        <v>106.88</v>
      </c>
      <c r="L82" s="3046">
        <f t="shared" si="2"/>
        <v>3.5626666666666664</v>
      </c>
      <c r="M82" s="3047"/>
      <c r="N82" s="3048"/>
      <c r="O82" s="3049">
        <v>30</v>
      </c>
      <c r="P82" s="3050">
        <v>2963683.3</v>
      </c>
      <c r="Q82" s="3051">
        <v>2299728.1</v>
      </c>
      <c r="R82" s="3051">
        <v>663955.19999999995</v>
      </c>
      <c r="S82" s="3034">
        <f t="shared" si="3"/>
        <v>65706.617599999998</v>
      </c>
    </row>
    <row r="83" spans="1:19">
      <c r="A83" s="3037" t="s">
        <v>3352</v>
      </c>
      <c r="B83" s="3038">
        <v>7</v>
      </c>
      <c r="C83" s="3038">
        <v>1</v>
      </c>
      <c r="D83" s="3039" t="s">
        <v>3398</v>
      </c>
      <c r="E83" s="3040" t="s">
        <v>3495</v>
      </c>
      <c r="F83" s="3041">
        <v>366.77</v>
      </c>
      <c r="G83" s="3042">
        <v>366.77</v>
      </c>
      <c r="H83" s="3043">
        <v>43329</v>
      </c>
      <c r="I83" s="3043">
        <v>44424</v>
      </c>
      <c r="J83" s="3044">
        <v>36</v>
      </c>
      <c r="K83" s="3055">
        <v>106.88</v>
      </c>
      <c r="L83" s="3046">
        <f t="shared" si="2"/>
        <v>3.5626666666666664</v>
      </c>
      <c r="M83" s="3047"/>
      <c r="N83" s="3048"/>
      <c r="O83" s="3049">
        <v>30</v>
      </c>
      <c r="P83" s="3045">
        <v>1749755.9293567101</v>
      </c>
      <c r="Q83" s="3051">
        <v>1353433.3110005499</v>
      </c>
      <c r="R83" s="3051">
        <v>396322.61835616402</v>
      </c>
      <c r="S83" s="3034">
        <f t="shared" si="3"/>
        <v>39200.3776</v>
      </c>
    </row>
    <row r="84" spans="1:19">
      <c r="A84" s="3037" t="s">
        <v>3352</v>
      </c>
      <c r="B84" s="3038">
        <v>7</v>
      </c>
      <c r="C84" s="3038">
        <v>2</v>
      </c>
      <c r="D84" s="3039" t="s">
        <v>3374</v>
      </c>
      <c r="E84" s="3074" t="s">
        <v>3496</v>
      </c>
      <c r="F84" s="3041">
        <v>274.33</v>
      </c>
      <c r="G84" s="3042">
        <v>274.33</v>
      </c>
      <c r="H84" s="3043">
        <v>43252</v>
      </c>
      <c r="I84" s="3043">
        <v>44347</v>
      </c>
      <c r="J84" s="3044">
        <v>36</v>
      </c>
      <c r="K84" s="3045">
        <v>131.21</v>
      </c>
      <c r="L84" s="3046">
        <f t="shared" si="2"/>
        <v>4.3736666666666668</v>
      </c>
      <c r="M84" s="3047"/>
      <c r="N84" s="3048"/>
      <c r="O84" s="3049">
        <v>30</v>
      </c>
      <c r="P84" s="3050">
        <v>1592090.64</v>
      </c>
      <c r="Q84" s="3051">
        <v>1295814.24</v>
      </c>
      <c r="R84" s="3051">
        <v>296276.40000000002</v>
      </c>
      <c r="S84" s="3034">
        <f t="shared" si="3"/>
        <v>35994.8393</v>
      </c>
    </row>
    <row r="85" spans="1:19">
      <c r="A85" s="3037" t="s">
        <v>3352</v>
      </c>
      <c r="B85" s="3038">
        <v>7</v>
      </c>
      <c r="C85" s="3038">
        <v>2</v>
      </c>
      <c r="D85" s="3039" t="s">
        <v>3380</v>
      </c>
      <c r="E85" s="3040" t="s">
        <v>3497</v>
      </c>
      <c r="F85" s="3041">
        <v>285.85000000000002</v>
      </c>
      <c r="G85" s="3042">
        <v>285.85000000000002</v>
      </c>
      <c r="H85" s="3043">
        <v>43024</v>
      </c>
      <c r="I85" s="3043">
        <v>43692</v>
      </c>
      <c r="J85" s="3044">
        <v>22</v>
      </c>
      <c r="K85" s="3045">
        <v>142.29</v>
      </c>
      <c r="L85" s="3046">
        <f t="shared" si="2"/>
        <v>4.7429999999999994</v>
      </c>
      <c r="M85" s="3047"/>
      <c r="N85" s="3048"/>
      <c r="O85" s="3049">
        <v>25</v>
      </c>
      <c r="P85" s="3050">
        <v>1052036.7</v>
      </c>
      <c r="Q85" s="3051">
        <v>894819.2</v>
      </c>
      <c r="R85" s="3051">
        <v>157217.5</v>
      </c>
      <c r="S85" s="3034">
        <f t="shared" si="3"/>
        <v>40673.5965</v>
      </c>
    </row>
    <row r="86" spans="1:19">
      <c r="A86" s="3037" t="s">
        <v>3352</v>
      </c>
      <c r="B86" s="3038">
        <v>7</v>
      </c>
      <c r="C86" s="3038">
        <v>3</v>
      </c>
      <c r="D86" s="3039" t="s">
        <v>3382</v>
      </c>
      <c r="E86" s="3040" t="s">
        <v>3498</v>
      </c>
      <c r="F86" s="3041">
        <v>1126.57</v>
      </c>
      <c r="G86" s="3042">
        <v>1126.57</v>
      </c>
      <c r="H86" s="3043">
        <v>43282</v>
      </c>
      <c r="I86" s="3043">
        <v>44377</v>
      </c>
      <c r="J86" s="3044">
        <v>36</v>
      </c>
      <c r="K86" s="3045">
        <v>128.16999999999999</v>
      </c>
      <c r="L86" s="3046">
        <f t="shared" si="2"/>
        <v>4.2723333333333331</v>
      </c>
      <c r="M86" s="3047"/>
      <c r="N86" s="3048"/>
      <c r="O86" s="3049">
        <v>30</v>
      </c>
      <c r="P86" s="3050">
        <v>6126039.9199999999</v>
      </c>
      <c r="Q86" s="3051">
        <v>4909344.32</v>
      </c>
      <c r="R86" s="3051">
        <v>1216695.6000000001</v>
      </c>
      <c r="S86" s="3034">
        <f t="shared" si="3"/>
        <v>144392.47689999998</v>
      </c>
    </row>
    <row r="87" spans="1:19">
      <c r="A87" s="3037" t="s">
        <v>3352</v>
      </c>
      <c r="B87" s="3038">
        <v>7</v>
      </c>
      <c r="C87" s="3038">
        <v>5</v>
      </c>
      <c r="D87" s="3039" t="s">
        <v>3499</v>
      </c>
      <c r="E87" s="3040" t="s">
        <v>3500</v>
      </c>
      <c r="F87" s="3041">
        <v>1047.42</v>
      </c>
      <c r="G87" s="3042">
        <v>1047.42</v>
      </c>
      <c r="H87" s="3043">
        <v>43049</v>
      </c>
      <c r="I87" s="3043">
        <v>43778</v>
      </c>
      <c r="J87" s="3044">
        <v>24</v>
      </c>
      <c r="K87" s="3045">
        <v>133.16999999999999</v>
      </c>
      <c r="L87" s="3046">
        <f t="shared" si="2"/>
        <v>4.4389999999999992</v>
      </c>
      <c r="M87" s="3047"/>
      <c r="N87" s="3048"/>
      <c r="O87" s="3049">
        <v>25</v>
      </c>
      <c r="P87" s="3050">
        <v>3697120.24</v>
      </c>
      <c r="Q87" s="3051">
        <v>3068668.24</v>
      </c>
      <c r="R87" s="3051">
        <v>628452</v>
      </c>
      <c r="S87" s="3034">
        <f t="shared" si="3"/>
        <v>139484.92139999999</v>
      </c>
    </row>
    <row r="88" spans="1:19">
      <c r="A88" s="3037" t="s">
        <v>3352</v>
      </c>
      <c r="B88" s="3038">
        <v>7</v>
      </c>
      <c r="C88" s="3038">
        <v>5</v>
      </c>
      <c r="D88" s="3039" t="s">
        <v>3501</v>
      </c>
      <c r="E88" s="3040" t="s">
        <v>3502</v>
      </c>
      <c r="F88" s="3041">
        <v>79.150000000000006</v>
      </c>
      <c r="G88" s="3042">
        <v>79.150000000000006</v>
      </c>
      <c r="H88" s="3043">
        <v>43049</v>
      </c>
      <c r="I88" s="3043">
        <v>43778</v>
      </c>
      <c r="J88" s="3044">
        <v>24</v>
      </c>
      <c r="K88" s="3045">
        <v>133.16999999999999</v>
      </c>
      <c r="L88" s="3046">
        <f t="shared" si="2"/>
        <v>4.4389999999999992</v>
      </c>
      <c r="M88" s="3047"/>
      <c r="N88" s="3048"/>
      <c r="O88" s="3049">
        <v>25</v>
      </c>
      <c r="P88" s="3050">
        <v>279379.02</v>
      </c>
      <c r="Q88" s="3051">
        <v>231889.02</v>
      </c>
      <c r="R88" s="3051">
        <v>47490</v>
      </c>
      <c r="S88" s="3034">
        <f t="shared" si="3"/>
        <v>10540.405499999999</v>
      </c>
    </row>
    <row r="89" spans="1:19">
      <c r="A89" s="3037" t="s">
        <v>3352</v>
      </c>
      <c r="B89" s="3038">
        <v>7</v>
      </c>
      <c r="C89" s="3038">
        <v>6</v>
      </c>
      <c r="D89" s="3039" t="s">
        <v>3503</v>
      </c>
      <c r="E89" s="3040" t="s">
        <v>3504</v>
      </c>
      <c r="F89" s="3041">
        <v>454.71</v>
      </c>
      <c r="G89" s="3042">
        <v>454.71</v>
      </c>
      <c r="H89" s="3043">
        <v>42936</v>
      </c>
      <c r="I89" s="3043">
        <v>44031</v>
      </c>
      <c r="J89" s="3044">
        <v>36</v>
      </c>
      <c r="K89" s="3045">
        <v>136.21</v>
      </c>
      <c r="L89" s="3046">
        <f t="shared" si="2"/>
        <v>4.5403333333333338</v>
      </c>
      <c r="M89" s="3047"/>
      <c r="N89" s="3048"/>
      <c r="O89" s="3049">
        <v>25</v>
      </c>
      <c r="P89" s="3050">
        <v>2638918.7999999998</v>
      </c>
      <c r="Q89" s="3051">
        <v>2229691.81</v>
      </c>
      <c r="R89" s="3051">
        <v>409226.99</v>
      </c>
      <c r="S89" s="3034">
        <f t="shared" si="3"/>
        <v>61936.049100000004</v>
      </c>
    </row>
    <row r="90" spans="1:19">
      <c r="A90" s="3037" t="s">
        <v>3352</v>
      </c>
      <c r="B90" s="3038">
        <v>7</v>
      </c>
      <c r="C90" s="3038">
        <v>6</v>
      </c>
      <c r="D90" s="3039" t="s">
        <v>3488</v>
      </c>
      <c r="E90" s="3040" t="s">
        <v>3505</v>
      </c>
      <c r="F90" s="3041">
        <v>111.68</v>
      </c>
      <c r="G90" s="3042">
        <v>111.68</v>
      </c>
      <c r="H90" s="3043">
        <v>43205</v>
      </c>
      <c r="I90" s="3043">
        <v>43935</v>
      </c>
      <c r="J90" s="3044">
        <v>24</v>
      </c>
      <c r="K90" s="3045">
        <v>137.29</v>
      </c>
      <c r="L90" s="3046">
        <f t="shared" si="2"/>
        <v>4.5763333333333334</v>
      </c>
      <c r="M90" s="3047"/>
      <c r="N90" s="3048"/>
      <c r="O90" s="3049">
        <v>30</v>
      </c>
      <c r="P90" s="3050">
        <v>440115.42</v>
      </c>
      <c r="Q90" s="3051">
        <v>359705.82</v>
      </c>
      <c r="R90" s="3051">
        <v>80409.600000000006</v>
      </c>
      <c r="S90" s="3034">
        <f t="shared" si="3"/>
        <v>15332.547200000001</v>
      </c>
    </row>
    <row r="91" spans="1:19">
      <c r="A91" s="3037" t="s">
        <v>3352</v>
      </c>
      <c r="B91" s="3075">
        <v>7</v>
      </c>
      <c r="C91" s="3075">
        <v>6</v>
      </c>
      <c r="D91" s="3076" t="s">
        <v>3506</v>
      </c>
      <c r="E91" s="3040" t="s">
        <v>3507</v>
      </c>
      <c r="F91" s="3041">
        <v>1126.57</v>
      </c>
      <c r="G91" s="3042">
        <v>1126.57</v>
      </c>
      <c r="H91" s="3043">
        <v>43266</v>
      </c>
      <c r="I91" s="3043">
        <v>44361</v>
      </c>
      <c r="J91" s="3044">
        <v>36</v>
      </c>
      <c r="K91" s="3045">
        <v>131.21</v>
      </c>
      <c r="L91" s="3046">
        <f t="shared" si="2"/>
        <v>4.3736666666666668</v>
      </c>
      <c r="M91" s="3047"/>
      <c r="N91" s="3048"/>
      <c r="O91" s="3049">
        <v>30</v>
      </c>
      <c r="P91" s="3050">
        <v>6320886.3399999999</v>
      </c>
      <c r="Q91" s="3051">
        <v>5103542.5</v>
      </c>
      <c r="R91" s="3051">
        <v>1217343.8400000001</v>
      </c>
      <c r="S91" s="3034">
        <f t="shared" si="3"/>
        <v>147817.24970000001</v>
      </c>
    </row>
    <row r="92" spans="1:19">
      <c r="A92" s="3037" t="s">
        <v>3352</v>
      </c>
      <c r="B92" s="3038">
        <v>7</v>
      </c>
      <c r="C92" s="3038">
        <v>7</v>
      </c>
      <c r="D92" s="3039"/>
      <c r="E92" s="3040" t="s">
        <v>3508</v>
      </c>
      <c r="F92" s="3041">
        <v>1126.57</v>
      </c>
      <c r="G92" s="3042">
        <v>1126.57</v>
      </c>
      <c r="H92" s="3043">
        <v>41897</v>
      </c>
      <c r="I92" s="3043">
        <v>43722</v>
      </c>
      <c r="J92" s="3044">
        <v>60</v>
      </c>
      <c r="K92" s="3045">
        <v>131</v>
      </c>
      <c r="L92" s="3046">
        <f t="shared" si="2"/>
        <v>4.3666666666666663</v>
      </c>
      <c r="M92" s="3047">
        <v>25</v>
      </c>
      <c r="N92" s="3048">
        <v>151</v>
      </c>
      <c r="O92" s="3049"/>
      <c r="P92" s="3050">
        <v>9307721.3399999999</v>
      </c>
      <c r="Q92" s="3051">
        <v>7617866.3399999999</v>
      </c>
      <c r="R92" s="3051">
        <v>1689855</v>
      </c>
      <c r="S92" s="3034">
        <f t="shared" si="3"/>
        <v>147580.66999999998</v>
      </c>
    </row>
    <row r="93" spans="1:19">
      <c r="A93" s="3037" t="s">
        <v>3352</v>
      </c>
      <c r="B93" s="3038">
        <v>7</v>
      </c>
      <c r="C93" s="3038">
        <v>7</v>
      </c>
      <c r="D93" s="3039" t="s">
        <v>3509</v>
      </c>
      <c r="E93" s="3040" t="s">
        <v>3510</v>
      </c>
      <c r="F93" s="3041">
        <v>553.01</v>
      </c>
      <c r="G93" s="3042">
        <v>553.01</v>
      </c>
      <c r="H93" s="3043">
        <v>43266</v>
      </c>
      <c r="I93" s="3043">
        <v>43996</v>
      </c>
      <c r="J93" s="3044">
        <v>24</v>
      </c>
      <c r="K93" s="3045">
        <v>134.25</v>
      </c>
      <c r="L93" s="3046">
        <f t="shared" si="2"/>
        <v>4.4749999999999996</v>
      </c>
      <c r="M93" s="3047"/>
      <c r="N93" s="3048"/>
      <c r="O93" s="3049">
        <v>30</v>
      </c>
      <c r="P93" s="3050">
        <v>2070853.33</v>
      </c>
      <c r="Q93" s="3051">
        <v>1672368.1</v>
      </c>
      <c r="R93" s="3051">
        <v>398485.23</v>
      </c>
      <c r="S93" s="3034">
        <f t="shared" si="3"/>
        <v>74241.592499999999</v>
      </c>
    </row>
    <row r="94" spans="1:19">
      <c r="A94" s="3037" t="s">
        <v>3352</v>
      </c>
      <c r="B94" s="3038">
        <v>7</v>
      </c>
      <c r="C94" s="3038">
        <v>8</v>
      </c>
      <c r="D94" s="3039" t="s">
        <v>3511</v>
      </c>
      <c r="E94" s="3040" t="s">
        <v>3512</v>
      </c>
      <c r="F94" s="3041">
        <v>573.55999999999995</v>
      </c>
      <c r="G94" s="3042">
        <v>573.55999999999995</v>
      </c>
      <c r="H94" s="3043">
        <v>43103</v>
      </c>
      <c r="I94" s="3043">
        <v>44198</v>
      </c>
      <c r="J94" s="3044">
        <v>36</v>
      </c>
      <c r="K94" s="3045">
        <v>140.33000000000001</v>
      </c>
      <c r="L94" s="3046">
        <f t="shared" si="2"/>
        <v>4.6776666666666671</v>
      </c>
      <c r="M94" s="3047"/>
      <c r="N94" s="3048"/>
      <c r="O94" s="3049">
        <v>30</v>
      </c>
      <c r="P94" s="3050">
        <v>3361220.27</v>
      </c>
      <c r="Q94" s="3051">
        <v>2741873.12</v>
      </c>
      <c r="R94" s="3051">
        <v>619347.14</v>
      </c>
      <c r="S94" s="3034">
        <f t="shared" si="3"/>
        <v>80487.674799999993</v>
      </c>
    </row>
    <row r="95" spans="1:19">
      <c r="A95" s="3037" t="s">
        <v>3352</v>
      </c>
      <c r="B95" s="3038">
        <v>7</v>
      </c>
      <c r="C95" s="3038">
        <v>8</v>
      </c>
      <c r="D95" s="3039" t="s">
        <v>3513</v>
      </c>
      <c r="E95" s="3040" t="s">
        <v>3514</v>
      </c>
      <c r="F95" s="3041">
        <v>553.01</v>
      </c>
      <c r="G95" s="3042">
        <v>553.01</v>
      </c>
      <c r="H95" s="3043">
        <v>43191</v>
      </c>
      <c r="I95" s="3043">
        <v>44286</v>
      </c>
      <c r="J95" s="3044">
        <v>36</v>
      </c>
      <c r="K95" s="3045">
        <v>137.29</v>
      </c>
      <c r="L95" s="3046">
        <f t="shared" si="2"/>
        <v>4.5763333333333334</v>
      </c>
      <c r="M95" s="3047"/>
      <c r="N95" s="3048"/>
      <c r="O95" s="3049">
        <v>30</v>
      </c>
      <c r="P95" s="3050">
        <v>3254546.7</v>
      </c>
      <c r="Q95" s="3051">
        <v>2657295.9</v>
      </c>
      <c r="R95" s="3051">
        <v>597250.80000000005</v>
      </c>
      <c r="S95" s="3034">
        <f t="shared" si="3"/>
        <v>75922.742899999997</v>
      </c>
    </row>
    <row r="96" spans="1:19">
      <c r="A96" s="3037" t="s">
        <v>3352</v>
      </c>
      <c r="B96" s="3038">
        <v>7</v>
      </c>
      <c r="C96" s="3038">
        <v>8</v>
      </c>
      <c r="D96" s="3039" t="s">
        <v>3515</v>
      </c>
      <c r="E96" s="3040" t="s">
        <v>3516</v>
      </c>
      <c r="F96" s="3041">
        <v>573.55999999999995</v>
      </c>
      <c r="G96" s="3042">
        <v>573.55999999999995</v>
      </c>
      <c r="H96" s="3043">
        <v>43070</v>
      </c>
      <c r="I96" s="3043">
        <v>44165</v>
      </c>
      <c r="J96" s="3044">
        <v>36</v>
      </c>
      <c r="K96" s="3045">
        <v>142.29</v>
      </c>
      <c r="L96" s="3046">
        <f t="shared" si="2"/>
        <v>4.7429999999999994</v>
      </c>
      <c r="M96" s="3047"/>
      <c r="N96" s="3048"/>
      <c r="O96" s="3049">
        <v>25</v>
      </c>
      <c r="P96" s="3050">
        <v>3372618.75</v>
      </c>
      <c r="Q96" s="3051">
        <v>2856414.75</v>
      </c>
      <c r="R96" s="3051">
        <v>516204</v>
      </c>
      <c r="S96" s="3034">
        <f t="shared" si="3"/>
        <v>81611.852399999989</v>
      </c>
    </row>
    <row r="97" spans="1:19">
      <c r="A97" s="3037" t="s">
        <v>3352</v>
      </c>
      <c r="B97" s="3038">
        <v>7</v>
      </c>
      <c r="C97" s="3038">
        <v>8</v>
      </c>
      <c r="D97" s="3039" t="s">
        <v>3509</v>
      </c>
      <c r="E97" s="3040" t="s">
        <v>3517</v>
      </c>
      <c r="F97" s="3041">
        <v>553.01</v>
      </c>
      <c r="G97" s="3042">
        <v>553.01</v>
      </c>
      <c r="H97" s="3043">
        <v>43016</v>
      </c>
      <c r="I97" s="3043">
        <v>44111</v>
      </c>
      <c r="J97" s="3044">
        <v>36</v>
      </c>
      <c r="K97" s="3045">
        <v>148.38</v>
      </c>
      <c r="L97" s="3046">
        <f t="shared" si="2"/>
        <v>4.9459999999999997</v>
      </c>
      <c r="M97" s="3047"/>
      <c r="N97" s="3048"/>
      <c r="O97" s="3049">
        <v>25</v>
      </c>
      <c r="P97" s="3050">
        <v>3369655.7</v>
      </c>
      <c r="Q97" s="3051">
        <v>2871946.7</v>
      </c>
      <c r="R97" s="3051">
        <v>497709</v>
      </c>
      <c r="S97" s="3034">
        <f t="shared" si="3"/>
        <v>82055.623800000001</v>
      </c>
    </row>
    <row r="98" spans="1:19">
      <c r="A98" s="3037" t="s">
        <v>3352</v>
      </c>
      <c r="B98" s="3038">
        <v>7</v>
      </c>
      <c r="C98" s="3038">
        <v>9</v>
      </c>
      <c r="D98" s="3039" t="s">
        <v>3518</v>
      </c>
      <c r="E98" s="3040" t="s">
        <v>3519</v>
      </c>
      <c r="F98" s="3041">
        <v>357.83</v>
      </c>
      <c r="G98" s="3042">
        <v>357.83</v>
      </c>
      <c r="H98" s="3043">
        <v>43087</v>
      </c>
      <c r="I98" s="3043">
        <v>43816</v>
      </c>
      <c r="J98" s="3044">
        <v>24</v>
      </c>
      <c r="K98" s="3045">
        <v>142.29</v>
      </c>
      <c r="L98" s="3046">
        <f t="shared" si="2"/>
        <v>4.7429999999999994</v>
      </c>
      <c r="M98" s="3047"/>
      <c r="N98" s="3048"/>
      <c r="O98" s="3049">
        <v>25</v>
      </c>
      <c r="P98" s="3050">
        <v>1385757.49</v>
      </c>
      <c r="Q98" s="3051">
        <v>1171059.73</v>
      </c>
      <c r="R98" s="3051">
        <v>214698</v>
      </c>
      <c r="S98" s="3034">
        <f t="shared" si="3"/>
        <v>50915.630699999994</v>
      </c>
    </row>
    <row r="99" spans="1:19">
      <c r="A99" s="3037" t="s">
        <v>3352</v>
      </c>
      <c r="B99" s="3038">
        <v>8</v>
      </c>
      <c r="C99" s="3038">
        <v>5</v>
      </c>
      <c r="D99" s="3039" t="s">
        <v>3382</v>
      </c>
      <c r="E99" s="3040" t="s">
        <v>3520</v>
      </c>
      <c r="F99" s="3041">
        <v>1126.57</v>
      </c>
      <c r="G99" s="3042">
        <v>1126.57</v>
      </c>
      <c r="H99" s="3043">
        <v>42819</v>
      </c>
      <c r="I99" s="3043">
        <v>44644</v>
      </c>
      <c r="J99" s="3044">
        <v>60</v>
      </c>
      <c r="K99" s="3045">
        <v>158.16999999999999</v>
      </c>
      <c r="L99" s="3046">
        <f t="shared" si="2"/>
        <v>5.2723333333333331</v>
      </c>
      <c r="M99" s="3047"/>
      <c r="N99" s="3048"/>
      <c r="O99" s="3049"/>
      <c r="P99" s="3050">
        <v>11332978.800000001</v>
      </c>
      <c r="Q99" s="3051">
        <v>11332978.800000001</v>
      </c>
      <c r="R99" s="3051">
        <v>0</v>
      </c>
      <c r="S99" s="3034">
        <f t="shared" si="3"/>
        <v>178189.57689999999</v>
      </c>
    </row>
    <row r="100" spans="1:19">
      <c r="A100" s="3037" t="s">
        <v>3352</v>
      </c>
      <c r="B100" s="3075">
        <v>8</v>
      </c>
      <c r="C100" s="3075">
        <v>6</v>
      </c>
      <c r="D100" s="3076" t="s">
        <v>3521</v>
      </c>
      <c r="E100" s="3040" t="s">
        <v>3522</v>
      </c>
      <c r="F100" s="3041">
        <v>852.24</v>
      </c>
      <c r="G100" s="3042">
        <v>852.24</v>
      </c>
      <c r="H100" s="3043">
        <v>42870</v>
      </c>
      <c r="I100" s="3043">
        <v>43965</v>
      </c>
      <c r="J100" s="3044">
        <v>36</v>
      </c>
      <c r="K100" s="3045">
        <v>133.16999999999999</v>
      </c>
      <c r="L100" s="3046">
        <f t="shared" si="2"/>
        <v>4.4389999999999992</v>
      </c>
      <c r="M100" s="3047"/>
      <c r="N100" s="3048"/>
      <c r="O100" s="3049">
        <v>25</v>
      </c>
      <c r="P100" s="3050">
        <v>4852756.8</v>
      </c>
      <c r="Q100" s="3051">
        <v>4085740.8</v>
      </c>
      <c r="R100" s="3051">
        <v>767016</v>
      </c>
      <c r="S100" s="3034">
        <f t="shared" si="3"/>
        <v>113492.8008</v>
      </c>
    </row>
    <row r="101" spans="1:19">
      <c r="A101" s="3037" t="s">
        <v>3352</v>
      </c>
      <c r="B101" s="3075">
        <v>8</v>
      </c>
      <c r="C101" s="3075">
        <v>6</v>
      </c>
      <c r="D101" s="3076" t="s">
        <v>3523</v>
      </c>
      <c r="E101" s="3040" t="s">
        <v>3524</v>
      </c>
      <c r="F101" s="3041">
        <v>83.5</v>
      </c>
      <c r="G101" s="3042">
        <v>83.5</v>
      </c>
      <c r="H101" s="3043">
        <v>42870</v>
      </c>
      <c r="I101" s="3043">
        <v>43965</v>
      </c>
      <c r="J101" s="3044">
        <v>36</v>
      </c>
      <c r="K101" s="3045">
        <v>133.16999999999999</v>
      </c>
      <c r="L101" s="3046">
        <f t="shared" si="2"/>
        <v>4.4389999999999992</v>
      </c>
      <c r="M101" s="3047"/>
      <c r="N101" s="3048"/>
      <c r="O101" s="3049">
        <v>25</v>
      </c>
      <c r="P101" s="3050">
        <v>475459.2</v>
      </c>
      <c r="Q101" s="3051">
        <v>400309.2</v>
      </c>
      <c r="R101" s="3051">
        <v>75150</v>
      </c>
      <c r="S101" s="3034">
        <f t="shared" si="3"/>
        <v>11119.695</v>
      </c>
    </row>
    <row r="102" spans="1:19">
      <c r="A102" s="3037" t="s">
        <v>3352</v>
      </c>
      <c r="B102" s="3075">
        <v>8</v>
      </c>
      <c r="C102" s="3075">
        <v>6</v>
      </c>
      <c r="D102" s="3076" t="s">
        <v>3525</v>
      </c>
      <c r="E102" s="3040" t="s">
        <v>3526</v>
      </c>
      <c r="F102" s="3041">
        <v>79.150000000000006</v>
      </c>
      <c r="G102" s="3042">
        <v>79.150000000000006</v>
      </c>
      <c r="H102" s="3043">
        <v>42870</v>
      </c>
      <c r="I102" s="3043">
        <v>43965</v>
      </c>
      <c r="J102" s="3044">
        <v>36</v>
      </c>
      <c r="K102" s="3045">
        <v>133.16999999999999</v>
      </c>
      <c r="L102" s="3046">
        <f t="shared" si="2"/>
        <v>4.4389999999999992</v>
      </c>
      <c r="M102" s="3047"/>
      <c r="N102" s="3048"/>
      <c r="O102" s="3049">
        <v>25</v>
      </c>
      <c r="P102" s="3050">
        <v>450689.76</v>
      </c>
      <c r="Q102" s="3051">
        <v>379454.76</v>
      </c>
      <c r="R102" s="3051">
        <v>71235</v>
      </c>
      <c r="S102" s="3034">
        <f t="shared" si="3"/>
        <v>10540.405499999999</v>
      </c>
    </row>
    <row r="103" spans="1:19">
      <c r="A103" s="3037" t="s">
        <v>3352</v>
      </c>
      <c r="B103" s="3075">
        <v>8</v>
      </c>
      <c r="C103" s="3075">
        <v>6</v>
      </c>
      <c r="D103" s="3076" t="s">
        <v>3527</v>
      </c>
      <c r="E103" s="3040" t="s">
        <v>3528</v>
      </c>
      <c r="F103" s="3041">
        <v>111.68</v>
      </c>
      <c r="G103" s="3042">
        <v>111.68</v>
      </c>
      <c r="H103" s="3043">
        <v>42870</v>
      </c>
      <c r="I103" s="3043">
        <v>43965</v>
      </c>
      <c r="J103" s="3044">
        <v>36</v>
      </c>
      <c r="K103" s="3045">
        <v>133.16999999999999</v>
      </c>
      <c r="L103" s="3046">
        <f t="shared" si="2"/>
        <v>4.4389999999999992</v>
      </c>
      <c r="M103" s="3047"/>
      <c r="N103" s="3048"/>
      <c r="O103" s="3049">
        <v>25</v>
      </c>
      <c r="P103" s="3050">
        <v>635919.48</v>
      </c>
      <c r="Q103" s="3051">
        <v>535407.48</v>
      </c>
      <c r="R103" s="3051">
        <v>100512</v>
      </c>
      <c r="S103" s="3034">
        <f t="shared" si="3"/>
        <v>14872.425599999999</v>
      </c>
    </row>
    <row r="104" spans="1:19">
      <c r="A104" s="3037" t="s">
        <v>3352</v>
      </c>
      <c r="B104" s="3038">
        <v>8</v>
      </c>
      <c r="C104" s="3038">
        <v>7</v>
      </c>
      <c r="D104" s="3039" t="s">
        <v>3410</v>
      </c>
      <c r="E104" s="3040" t="s">
        <v>3529</v>
      </c>
      <c r="F104" s="3041">
        <v>357.83</v>
      </c>
      <c r="G104" s="3042">
        <v>357.83</v>
      </c>
      <c r="H104" s="3043">
        <v>43132</v>
      </c>
      <c r="I104" s="3043">
        <v>43861</v>
      </c>
      <c r="J104" s="3044">
        <v>24</v>
      </c>
      <c r="K104" s="3045">
        <v>137.29</v>
      </c>
      <c r="L104" s="3046">
        <f t="shared" si="2"/>
        <v>4.5763333333333334</v>
      </c>
      <c r="M104" s="3047"/>
      <c r="N104" s="3048"/>
      <c r="O104" s="3049">
        <v>30</v>
      </c>
      <c r="P104" s="3050">
        <v>1338420.1599999999</v>
      </c>
      <c r="Q104" s="3051">
        <v>1080782.56</v>
      </c>
      <c r="R104" s="3051">
        <v>257637.6</v>
      </c>
      <c r="S104" s="3034">
        <f t="shared" si="3"/>
        <v>49126.480699999993</v>
      </c>
    </row>
    <row r="105" spans="1:19" ht="14.25">
      <c r="A105" s="3037" t="s">
        <v>3352</v>
      </c>
      <c r="B105" s="3038">
        <v>8</v>
      </c>
      <c r="C105" s="3038">
        <v>9</v>
      </c>
      <c r="D105" s="3039" t="s">
        <v>3530</v>
      </c>
      <c r="E105" s="3040" t="s">
        <v>3531</v>
      </c>
      <c r="F105" s="3041">
        <v>1126.57</v>
      </c>
      <c r="G105" s="3042">
        <v>1126.57</v>
      </c>
      <c r="H105" s="3043">
        <v>43054</v>
      </c>
      <c r="I105" s="3043">
        <v>44149</v>
      </c>
      <c r="J105" s="3044">
        <v>36</v>
      </c>
      <c r="K105" s="3045">
        <v>124.04</v>
      </c>
      <c r="L105" s="3046">
        <f t="shared" si="2"/>
        <v>4.1346666666666669</v>
      </c>
      <c r="M105" s="3053"/>
      <c r="N105" s="3054"/>
      <c r="O105" s="3049">
        <v>25</v>
      </c>
      <c r="P105" s="3050">
        <v>5765064.1600000001</v>
      </c>
      <c r="Q105" s="3051">
        <v>4751151.16</v>
      </c>
      <c r="R105" s="3051">
        <v>1013913</v>
      </c>
      <c r="S105" s="3034">
        <f t="shared" si="3"/>
        <v>139739.74280000001</v>
      </c>
    </row>
    <row r="106" spans="1:19">
      <c r="A106" s="3037" t="s">
        <v>3352</v>
      </c>
      <c r="B106" s="3038">
        <v>8</v>
      </c>
      <c r="C106" s="3038">
        <v>9</v>
      </c>
      <c r="D106" s="3039" t="s">
        <v>3382</v>
      </c>
      <c r="E106" s="3040" t="s">
        <v>3532</v>
      </c>
      <c r="F106" s="3041">
        <v>1126.57</v>
      </c>
      <c r="G106" s="3042">
        <v>1126.57</v>
      </c>
      <c r="H106" s="3043">
        <v>42870</v>
      </c>
      <c r="I106" s="3043">
        <v>43965</v>
      </c>
      <c r="J106" s="3044">
        <v>36</v>
      </c>
      <c r="K106" s="3045">
        <v>133.16999999999999</v>
      </c>
      <c r="L106" s="3046">
        <f t="shared" si="2"/>
        <v>4.4389999999999992</v>
      </c>
      <c r="M106" s="3047"/>
      <c r="N106" s="3048"/>
      <c r="O106" s="3049">
        <v>25</v>
      </c>
      <c r="P106" s="3050">
        <v>6414824.8799999999</v>
      </c>
      <c r="Q106" s="3051">
        <v>5400911.8799999999</v>
      </c>
      <c r="R106" s="3051">
        <v>1013913</v>
      </c>
      <c r="S106" s="3034">
        <f t="shared" si="3"/>
        <v>150025.32689999999</v>
      </c>
    </row>
    <row r="107" spans="1:19">
      <c r="A107" s="3037" t="s">
        <v>3352</v>
      </c>
      <c r="B107" s="3038">
        <v>9</v>
      </c>
      <c r="C107" s="3038" t="s">
        <v>3365</v>
      </c>
      <c r="D107" s="3077" t="s">
        <v>3415</v>
      </c>
      <c r="E107" s="3040" t="s">
        <v>3533</v>
      </c>
      <c r="F107" s="3041">
        <v>1756.58</v>
      </c>
      <c r="G107" s="3042">
        <v>1772.1320025533801</v>
      </c>
      <c r="H107" s="3043">
        <v>41944</v>
      </c>
      <c r="I107" s="3043">
        <v>43769</v>
      </c>
      <c r="J107" s="3044">
        <v>60</v>
      </c>
      <c r="K107" s="3045">
        <v>79.06</v>
      </c>
      <c r="L107" s="3046">
        <f t="shared" si="2"/>
        <v>2.6353333333333335</v>
      </c>
      <c r="M107" s="3047">
        <v>25</v>
      </c>
      <c r="N107" s="3048"/>
      <c r="O107" s="3049"/>
      <c r="P107" s="3050">
        <v>8332512.5999999996</v>
      </c>
      <c r="Q107" s="3051">
        <v>5697642.5999999996</v>
      </c>
      <c r="R107" s="3051">
        <v>2634870</v>
      </c>
      <c r="S107" s="3034">
        <f t="shared" si="3"/>
        <v>138875.21479999999</v>
      </c>
    </row>
    <row r="108" spans="1:19" ht="38.25">
      <c r="A108" s="3037" t="s">
        <v>3352</v>
      </c>
      <c r="B108" s="3038">
        <v>9</v>
      </c>
      <c r="C108" s="3078" t="s">
        <v>3534</v>
      </c>
      <c r="D108" s="3039" t="s">
        <v>3535</v>
      </c>
      <c r="E108" s="3040" t="s">
        <v>3533</v>
      </c>
      <c r="F108" s="3041">
        <v>11285.12</v>
      </c>
      <c r="G108" s="3042">
        <v>11385.033590645</v>
      </c>
      <c r="H108" s="3043">
        <v>41944</v>
      </c>
      <c r="I108" s="3043">
        <v>43769</v>
      </c>
      <c r="J108" s="3044">
        <v>60</v>
      </c>
      <c r="K108" s="3045">
        <v>110</v>
      </c>
      <c r="L108" s="3046">
        <f t="shared" si="2"/>
        <v>3.6666666666666665</v>
      </c>
      <c r="M108" s="3047">
        <v>25</v>
      </c>
      <c r="N108" s="3048"/>
      <c r="O108" s="3049"/>
      <c r="P108" s="3050">
        <v>64889440</v>
      </c>
      <c r="Q108" s="3051">
        <v>47961760</v>
      </c>
      <c r="R108" s="3051">
        <v>16927680</v>
      </c>
      <c r="S108" s="3034">
        <f t="shared" si="3"/>
        <v>1241363.2000000002</v>
      </c>
    </row>
    <row r="109" spans="1:19" ht="63">
      <c r="A109" s="3037" t="s">
        <v>3352</v>
      </c>
      <c r="B109" s="3038">
        <v>9</v>
      </c>
      <c r="C109" s="3078" t="s">
        <v>3534</v>
      </c>
      <c r="D109" s="3039" t="s">
        <v>3536</v>
      </c>
      <c r="E109" s="3040" t="s">
        <v>3537</v>
      </c>
      <c r="F109" s="3041">
        <v>4514.05</v>
      </c>
      <c r="G109" s="3042">
        <v>4554.0154539651403</v>
      </c>
      <c r="H109" s="3043">
        <v>41944</v>
      </c>
      <c r="I109" s="3043">
        <v>43769</v>
      </c>
      <c r="J109" s="3044">
        <v>60</v>
      </c>
      <c r="K109" s="3045">
        <v>110</v>
      </c>
      <c r="L109" s="3046">
        <f t="shared" si="2"/>
        <v>3.6666666666666665</v>
      </c>
      <c r="M109" s="3047">
        <v>25</v>
      </c>
      <c r="N109" s="3048"/>
      <c r="O109" s="3049"/>
      <c r="P109" s="3050">
        <v>25955787.5</v>
      </c>
      <c r="Q109" s="3051">
        <v>19184712.5</v>
      </c>
      <c r="R109" s="3051">
        <v>6771075</v>
      </c>
      <c r="S109" s="3034">
        <f t="shared" si="3"/>
        <v>496545.5</v>
      </c>
    </row>
    <row r="110" spans="1:19" ht="38.25">
      <c r="A110" s="3037" t="s">
        <v>3352</v>
      </c>
      <c r="B110" s="3038">
        <v>9</v>
      </c>
      <c r="C110" s="3078" t="s">
        <v>3534</v>
      </c>
      <c r="D110" s="3039" t="s">
        <v>3538</v>
      </c>
      <c r="E110" s="3040" t="s">
        <v>3539</v>
      </c>
      <c r="F110" s="3041">
        <v>4062.65</v>
      </c>
      <c r="G110" s="3042">
        <v>4098.6189528364703</v>
      </c>
      <c r="H110" s="3043">
        <v>41944</v>
      </c>
      <c r="I110" s="3043">
        <v>43769</v>
      </c>
      <c r="J110" s="3044">
        <v>60</v>
      </c>
      <c r="K110" s="3045">
        <v>110</v>
      </c>
      <c r="L110" s="3046">
        <f t="shared" si="2"/>
        <v>3.6666666666666665</v>
      </c>
      <c r="M110" s="3047">
        <v>25</v>
      </c>
      <c r="N110" s="3048"/>
      <c r="O110" s="3049"/>
      <c r="P110" s="3050">
        <v>23360237.5</v>
      </c>
      <c r="Q110" s="3051">
        <v>17266262.5</v>
      </c>
      <c r="R110" s="3051">
        <v>6093975</v>
      </c>
      <c r="S110" s="3034">
        <f t="shared" si="3"/>
        <v>446891.5</v>
      </c>
    </row>
    <row r="111" spans="1:19">
      <c r="A111" s="3037" t="s">
        <v>3352</v>
      </c>
      <c r="B111" s="3038">
        <v>5</v>
      </c>
      <c r="C111" s="3038">
        <v>7</v>
      </c>
      <c r="D111" s="3039" t="s">
        <v>3459</v>
      </c>
      <c r="E111" s="3056" t="s">
        <v>3540</v>
      </c>
      <c r="F111" s="3041">
        <v>326.67</v>
      </c>
      <c r="G111" s="3042">
        <v>326.67</v>
      </c>
      <c r="H111" s="3043">
        <v>43371</v>
      </c>
      <c r="I111" s="3043">
        <v>44588</v>
      </c>
      <c r="J111" s="3044">
        <v>40</v>
      </c>
      <c r="K111" s="3055">
        <v>137.29</v>
      </c>
      <c r="L111" s="3046">
        <f t="shared" si="2"/>
        <v>4.5763333333333334</v>
      </c>
      <c r="M111" s="3047"/>
      <c r="N111" s="3048"/>
      <c r="O111" s="3049">
        <v>30</v>
      </c>
      <c r="P111" s="3045">
        <v>2175923.1122942502</v>
      </c>
      <c r="Q111" s="3051">
        <v>1783865.4131161601</v>
      </c>
      <c r="R111" s="3051">
        <v>392057.699178082</v>
      </c>
      <c r="S111" s="3034">
        <f t="shared" si="3"/>
        <v>44848.524299999997</v>
      </c>
    </row>
    <row r="112" spans="1:19">
      <c r="A112" s="3037" t="s">
        <v>3352</v>
      </c>
      <c r="B112" s="3038">
        <v>6</v>
      </c>
      <c r="C112" s="3038">
        <v>6</v>
      </c>
      <c r="D112" s="3039" t="s">
        <v>3541</v>
      </c>
      <c r="E112" s="3056" t="s">
        <v>3542</v>
      </c>
      <c r="F112" s="3041">
        <v>326.67</v>
      </c>
      <c r="G112" s="3042">
        <v>326.67</v>
      </c>
      <c r="H112" s="3043">
        <v>43396</v>
      </c>
      <c r="I112" s="3043">
        <v>44491</v>
      </c>
      <c r="J112" s="3044">
        <v>36</v>
      </c>
      <c r="K112" s="3055">
        <v>134.25</v>
      </c>
      <c r="L112" s="3046">
        <f t="shared" si="2"/>
        <v>4.4749999999999996</v>
      </c>
      <c r="M112" s="3047"/>
      <c r="N112" s="3048"/>
      <c r="O112" s="3049">
        <v>30</v>
      </c>
      <c r="P112" s="3045">
        <v>1910266.3690273999</v>
      </c>
      <c r="Q112" s="3051">
        <v>1557409.06984932</v>
      </c>
      <c r="R112" s="3051">
        <v>352857.29917808197</v>
      </c>
      <c r="S112" s="3034">
        <f t="shared" si="3"/>
        <v>43855.447500000002</v>
      </c>
    </row>
    <row r="113" spans="1:19">
      <c r="A113" s="3037" t="s">
        <v>3352</v>
      </c>
      <c r="B113" s="3038">
        <v>5</v>
      </c>
      <c r="C113" s="3038">
        <v>8</v>
      </c>
      <c r="D113" s="3039" t="s">
        <v>3543</v>
      </c>
      <c r="E113" s="3056" t="s">
        <v>3544</v>
      </c>
      <c r="F113" s="3041">
        <v>556.76</v>
      </c>
      <c r="G113" s="3042">
        <v>556.76</v>
      </c>
      <c r="H113" s="3043">
        <v>43397</v>
      </c>
      <c r="I113" s="3043">
        <v>44553</v>
      </c>
      <c r="J113" s="3044">
        <v>38</v>
      </c>
      <c r="K113" s="3055">
        <v>140.33000000000001</v>
      </c>
      <c r="L113" s="3046">
        <f t="shared" si="2"/>
        <v>4.6776666666666671</v>
      </c>
      <c r="M113" s="3047"/>
      <c r="N113" s="3048"/>
      <c r="O113" s="3049">
        <v>30</v>
      </c>
      <c r="P113" s="3045">
        <v>3605470.0841413699</v>
      </c>
      <c r="Q113" s="3051">
        <v>2970443.3564701402</v>
      </c>
      <c r="R113" s="3051">
        <v>635026.72767123301</v>
      </c>
      <c r="S113" s="3034">
        <f t="shared" si="3"/>
        <v>78130.130799999999</v>
      </c>
    </row>
    <row r="114" spans="1:19">
      <c r="A114" s="3037" t="s">
        <v>3352</v>
      </c>
      <c r="B114" s="3038">
        <v>4</v>
      </c>
      <c r="C114" s="3038">
        <v>7</v>
      </c>
      <c r="D114" s="3039" t="s">
        <v>3545</v>
      </c>
      <c r="E114" s="3056" t="s">
        <v>3546</v>
      </c>
      <c r="F114" s="3041">
        <v>301.37</v>
      </c>
      <c r="G114" s="3042">
        <v>301.37</v>
      </c>
      <c r="H114" s="3043">
        <v>43405</v>
      </c>
      <c r="I114" s="3043">
        <v>44135</v>
      </c>
      <c r="J114" s="3044">
        <v>24</v>
      </c>
      <c r="K114" s="3055">
        <v>137.29</v>
      </c>
      <c r="L114" s="3046">
        <f t="shared" si="2"/>
        <v>4.5763333333333334</v>
      </c>
      <c r="M114" s="3047"/>
      <c r="N114" s="3048"/>
      <c r="O114" s="3049">
        <v>30</v>
      </c>
      <c r="P114" s="3045">
        <v>1209988.4952</v>
      </c>
      <c r="Q114" s="3051">
        <v>993002.09519999998</v>
      </c>
      <c r="R114" s="3051">
        <v>216986.4</v>
      </c>
      <c r="S114" s="3034">
        <f t="shared" si="3"/>
        <v>41375.087299999999</v>
      </c>
    </row>
    <row r="115" spans="1:19">
      <c r="A115" s="3037" t="s">
        <v>3352</v>
      </c>
      <c r="B115" s="3038">
        <v>6</v>
      </c>
      <c r="C115" s="3038">
        <v>6</v>
      </c>
      <c r="D115" s="3039" t="s">
        <v>3439</v>
      </c>
      <c r="E115" s="3056" t="s">
        <v>3547</v>
      </c>
      <c r="F115" s="3041">
        <v>201.05</v>
      </c>
      <c r="G115" s="3042">
        <v>201.05</v>
      </c>
      <c r="H115" s="3043">
        <v>43464</v>
      </c>
      <c r="I115" s="3043">
        <v>44559</v>
      </c>
      <c r="J115" s="3044">
        <v>36</v>
      </c>
      <c r="K115" s="3055">
        <v>137.29</v>
      </c>
      <c r="L115" s="3046">
        <f t="shared" si="2"/>
        <v>4.5763333333333334</v>
      </c>
      <c r="M115" s="3047"/>
      <c r="N115" s="3048"/>
      <c r="O115" s="3049">
        <v>30</v>
      </c>
      <c r="P115" s="3045">
        <v>1211456.59099041</v>
      </c>
      <c r="Q115" s="3051">
        <v>994206.918387671</v>
      </c>
      <c r="R115" s="3051">
        <v>217249.67260274</v>
      </c>
      <c r="S115" s="3034">
        <f t="shared" si="3"/>
        <v>27602.154500000001</v>
      </c>
    </row>
    <row r="116" spans="1:19">
      <c r="A116" s="3037" t="s">
        <v>3352</v>
      </c>
      <c r="B116" s="3038">
        <v>4</v>
      </c>
      <c r="C116" s="3038">
        <v>8</v>
      </c>
      <c r="D116" s="3039" t="s">
        <v>3548</v>
      </c>
      <c r="E116" s="3056" t="s">
        <v>3549</v>
      </c>
      <c r="F116" s="3041">
        <v>78.19</v>
      </c>
      <c r="G116" s="3042">
        <v>78.19</v>
      </c>
      <c r="H116" s="3043">
        <v>43424</v>
      </c>
      <c r="I116" s="3043">
        <v>44154</v>
      </c>
      <c r="J116" s="3044">
        <v>24</v>
      </c>
      <c r="K116" s="3055">
        <v>152.5</v>
      </c>
      <c r="L116" s="3046">
        <f t="shared" si="2"/>
        <v>5.083333333333333</v>
      </c>
      <c r="M116" s="3047"/>
      <c r="N116" s="3048"/>
      <c r="O116" s="3049">
        <v>30</v>
      </c>
      <c r="P116" s="3045">
        <v>336670.07356164401</v>
      </c>
      <c r="Q116" s="3051">
        <v>280360.42041095899</v>
      </c>
      <c r="R116" s="3051">
        <v>56309.653150684899</v>
      </c>
      <c r="S116" s="3034">
        <f t="shared" si="3"/>
        <v>11923.975</v>
      </c>
    </row>
    <row r="117" spans="1:19" ht="25.5">
      <c r="A117" s="3037" t="s">
        <v>3352</v>
      </c>
      <c r="B117" s="3038">
        <v>8</v>
      </c>
      <c r="C117" s="3038" t="s">
        <v>3550</v>
      </c>
      <c r="D117" s="3039" t="s">
        <v>3551</v>
      </c>
      <c r="E117" s="3056" t="s">
        <v>3552</v>
      </c>
      <c r="F117" s="3041">
        <v>3379.71</v>
      </c>
      <c r="G117" s="3042">
        <v>3379.71</v>
      </c>
      <c r="H117" s="3043">
        <v>43464</v>
      </c>
      <c r="I117" s="3043">
        <v>45289</v>
      </c>
      <c r="J117" s="3044">
        <v>60</v>
      </c>
      <c r="K117" s="3055">
        <v>122.08</v>
      </c>
      <c r="L117" s="3046">
        <f t="shared" si="2"/>
        <v>4.0693333333333337</v>
      </c>
      <c r="M117" s="3047"/>
      <c r="N117" s="3048">
        <v>144.88999999999999</v>
      </c>
      <c r="O117" s="3049">
        <v>30</v>
      </c>
      <c r="P117" s="3045">
        <v>31478607.736029901</v>
      </c>
      <c r="Q117" s="3051">
        <v>25385407.282605201</v>
      </c>
      <c r="R117" s="3051">
        <v>6093200.4534246596</v>
      </c>
      <c r="S117" s="3034">
        <f t="shared" si="3"/>
        <v>412594.99680000002</v>
      </c>
    </row>
    <row r="118" spans="1:19">
      <c r="A118" s="3037" t="s">
        <v>3352</v>
      </c>
      <c r="B118" s="3038">
        <v>4</v>
      </c>
      <c r="C118" s="3038" t="s">
        <v>3365</v>
      </c>
      <c r="D118" s="3039" t="s">
        <v>3553</v>
      </c>
      <c r="E118" s="3056" t="s">
        <v>3554</v>
      </c>
      <c r="F118" s="3041">
        <v>627.75</v>
      </c>
      <c r="G118" s="3042">
        <v>627.75</v>
      </c>
      <c r="H118" s="3043">
        <v>43405</v>
      </c>
      <c r="I118" s="3043">
        <v>44500</v>
      </c>
      <c r="J118" s="3044">
        <v>36</v>
      </c>
      <c r="K118" s="3055">
        <v>109.92</v>
      </c>
      <c r="L118" s="3046">
        <f t="shared" si="2"/>
        <v>3.6640000000000001</v>
      </c>
      <c r="M118" s="3047"/>
      <c r="N118" s="3048"/>
      <c r="O118" s="3049">
        <v>30</v>
      </c>
      <c r="P118" s="3045">
        <v>3162052.08</v>
      </c>
      <c r="Q118" s="3051">
        <v>2484082.08</v>
      </c>
      <c r="R118" s="3051">
        <v>677970</v>
      </c>
      <c r="S118" s="3034">
        <f t="shared" si="3"/>
        <v>69002.28</v>
      </c>
    </row>
    <row r="119" spans="1:19">
      <c r="A119" s="3037" t="s">
        <v>3352</v>
      </c>
      <c r="B119" s="3038">
        <v>4</v>
      </c>
      <c r="C119" s="3038" t="s">
        <v>3365</v>
      </c>
      <c r="D119" s="3039" t="s">
        <v>3555</v>
      </c>
      <c r="E119" s="3056" t="s">
        <v>3556</v>
      </c>
      <c r="F119" s="3041">
        <v>209.25</v>
      </c>
      <c r="G119" s="3042">
        <v>209.25</v>
      </c>
      <c r="H119" s="3043">
        <v>43405</v>
      </c>
      <c r="I119" s="3043">
        <v>44500</v>
      </c>
      <c r="J119" s="3044">
        <v>36</v>
      </c>
      <c r="K119" s="3055">
        <v>109.92</v>
      </c>
      <c r="L119" s="3046">
        <f t="shared" si="2"/>
        <v>3.6640000000000001</v>
      </c>
      <c r="M119" s="3047"/>
      <c r="N119" s="3048"/>
      <c r="O119" s="3049">
        <v>30</v>
      </c>
      <c r="P119" s="3045">
        <v>1054017.3600000001</v>
      </c>
      <c r="Q119" s="3051">
        <v>828027.36</v>
      </c>
      <c r="R119" s="3051">
        <v>225990</v>
      </c>
      <c r="S119" s="3034">
        <f t="shared" si="3"/>
        <v>23000.760000000002</v>
      </c>
    </row>
    <row r="120" spans="1:19">
      <c r="A120" s="3037" t="s">
        <v>3352</v>
      </c>
      <c r="B120" s="3038">
        <v>3</v>
      </c>
      <c r="C120" s="3038">
        <v>3</v>
      </c>
      <c r="D120" s="3039" t="s">
        <v>3419</v>
      </c>
      <c r="E120" s="3056" t="s">
        <v>3557</v>
      </c>
      <c r="F120" s="3041">
        <v>223.18</v>
      </c>
      <c r="G120" s="3042">
        <v>223.18</v>
      </c>
      <c r="H120" s="3043">
        <v>43405</v>
      </c>
      <c r="I120" s="3043">
        <v>50709</v>
      </c>
      <c r="J120" s="3044">
        <v>240</v>
      </c>
      <c r="K120" s="3055">
        <v>60</v>
      </c>
      <c r="L120" s="3046">
        <f t="shared" si="2"/>
        <v>2</v>
      </c>
      <c r="M120" s="3047"/>
      <c r="N120" s="3048"/>
      <c r="O120" s="3049">
        <v>30</v>
      </c>
      <c r="P120" s="3045">
        <v>4579653.5999999996</v>
      </c>
      <c r="Q120" s="3051">
        <v>3213792</v>
      </c>
      <c r="R120" s="3051">
        <v>1365861.6</v>
      </c>
      <c r="S120" s="3034">
        <f t="shared" si="3"/>
        <v>13390.800000000001</v>
      </c>
    </row>
    <row r="121" spans="1:19">
      <c r="A121" s="3037" t="s">
        <v>3352</v>
      </c>
      <c r="B121" s="3038">
        <v>3</v>
      </c>
      <c r="C121" s="3038">
        <v>3</v>
      </c>
      <c r="D121" s="3039" t="s">
        <v>3427</v>
      </c>
      <c r="E121" s="3040" t="s">
        <v>3558</v>
      </c>
      <c r="F121" s="3041">
        <v>78.19</v>
      </c>
      <c r="G121" s="3042">
        <v>78.19</v>
      </c>
      <c r="H121" s="3043">
        <v>43405</v>
      </c>
      <c r="I121" s="3043">
        <v>50709</v>
      </c>
      <c r="J121" s="3044">
        <v>240</v>
      </c>
      <c r="K121" s="3055">
        <v>60</v>
      </c>
      <c r="L121" s="3046">
        <f t="shared" si="2"/>
        <v>2</v>
      </c>
      <c r="M121" s="3047"/>
      <c r="N121" s="3048"/>
      <c r="O121" s="3049">
        <v>30</v>
      </c>
      <c r="P121" s="3045">
        <v>1604458.8</v>
      </c>
      <c r="Q121" s="3051">
        <v>1125936</v>
      </c>
      <c r="R121" s="3051">
        <v>478522.8</v>
      </c>
      <c r="S121" s="3034">
        <f t="shared" si="3"/>
        <v>4691.3999999999996</v>
      </c>
    </row>
    <row r="122" spans="1:19">
      <c r="A122" s="3037" t="s">
        <v>3352</v>
      </c>
      <c r="B122" s="3038">
        <v>12</v>
      </c>
      <c r="C122" s="3078" t="s">
        <v>3534</v>
      </c>
      <c r="D122" s="3039" t="s">
        <v>3559</v>
      </c>
      <c r="E122" s="3040" t="s">
        <v>3560</v>
      </c>
      <c r="F122" s="3041">
        <v>7197.96</v>
      </c>
      <c r="G122" s="3042">
        <v>10904.9</v>
      </c>
      <c r="H122" s="3043">
        <v>43459</v>
      </c>
      <c r="I122" s="3043">
        <v>44554</v>
      </c>
      <c r="J122" s="3044">
        <v>36</v>
      </c>
      <c r="K122" s="3055"/>
      <c r="L122" s="3046">
        <f t="shared" si="2"/>
        <v>0</v>
      </c>
      <c r="M122" s="3047"/>
      <c r="N122" s="3048"/>
      <c r="O122" s="3049"/>
      <c r="P122" s="3045">
        <v>57391355.25</v>
      </c>
      <c r="Q122" s="3051">
        <v>45717419.25</v>
      </c>
      <c r="R122" s="3051">
        <v>11673936</v>
      </c>
      <c r="S122" s="3034">
        <f t="shared" si="3"/>
        <v>0</v>
      </c>
    </row>
    <row r="123" spans="1:19">
      <c r="A123" s="3037" t="s">
        <v>3352</v>
      </c>
      <c r="B123" s="3038">
        <v>3</v>
      </c>
      <c r="C123" s="3038">
        <v>5</v>
      </c>
      <c r="D123" s="3039" t="s">
        <v>3410</v>
      </c>
      <c r="E123" s="3056" t="s">
        <v>3561</v>
      </c>
      <c r="F123" s="3041">
        <v>379.56</v>
      </c>
      <c r="G123" s="3042">
        <v>379.56</v>
      </c>
      <c r="H123" s="3043">
        <v>43435</v>
      </c>
      <c r="I123" s="3043">
        <v>44530</v>
      </c>
      <c r="J123" s="3044">
        <v>36</v>
      </c>
      <c r="K123" s="3055">
        <v>131.21</v>
      </c>
      <c r="L123" s="3046">
        <f t="shared" si="2"/>
        <v>4.3736666666666668</v>
      </c>
      <c r="M123" s="3047"/>
      <c r="N123" s="3048"/>
      <c r="O123" s="3049">
        <v>30</v>
      </c>
      <c r="P123" s="3045">
        <v>2202799.2335999999</v>
      </c>
      <c r="Q123" s="3051">
        <v>1792874.4336000001</v>
      </c>
      <c r="R123" s="3051">
        <v>409924.8</v>
      </c>
      <c r="S123" s="3034">
        <f t="shared" si="3"/>
        <v>49802.067600000002</v>
      </c>
    </row>
    <row r="124" spans="1:19">
      <c r="A124" s="3037" t="s">
        <v>3352</v>
      </c>
      <c r="B124" s="3038">
        <v>8</v>
      </c>
      <c r="C124" s="3038">
        <v>7</v>
      </c>
      <c r="D124" s="3039" t="s">
        <v>3359</v>
      </c>
      <c r="E124" s="3056" t="s">
        <v>3562</v>
      </c>
      <c r="F124" s="3041">
        <v>213.93</v>
      </c>
      <c r="G124" s="3042">
        <v>213.93</v>
      </c>
      <c r="H124" s="3043">
        <v>43425</v>
      </c>
      <c r="I124" s="3043">
        <v>44155</v>
      </c>
      <c r="J124" s="3044">
        <v>24</v>
      </c>
      <c r="K124" s="3055">
        <v>146.41999999999999</v>
      </c>
      <c r="L124" s="3046">
        <f t="shared" si="2"/>
        <v>4.8806666666666665</v>
      </c>
      <c r="M124" s="3047"/>
      <c r="N124" s="3048"/>
      <c r="O124" s="3049">
        <v>30</v>
      </c>
      <c r="P124" s="3045">
        <v>905279.72713150701</v>
      </c>
      <c r="Q124" s="3051">
        <v>751338.04356986296</v>
      </c>
      <c r="R124" s="3051">
        <v>153941.68356164399</v>
      </c>
      <c r="S124" s="3034">
        <f t="shared" si="3"/>
        <v>31323.630599999997</v>
      </c>
    </row>
    <row r="125" spans="1:19">
      <c r="A125" s="3037" t="s">
        <v>3352</v>
      </c>
      <c r="B125" s="3038">
        <v>4</v>
      </c>
      <c r="C125" s="3038">
        <v>9</v>
      </c>
      <c r="D125" s="3039" t="s">
        <v>3563</v>
      </c>
      <c r="E125" s="3056" t="s">
        <v>3564</v>
      </c>
      <c r="F125" s="3041">
        <v>156.38</v>
      </c>
      <c r="G125" s="3042">
        <v>156.38</v>
      </c>
      <c r="H125" s="3043">
        <v>43435</v>
      </c>
      <c r="I125" s="3043">
        <v>44165</v>
      </c>
      <c r="J125" s="3044">
        <v>24</v>
      </c>
      <c r="K125" s="3055">
        <v>152.5</v>
      </c>
      <c r="L125" s="3046">
        <f t="shared" si="2"/>
        <v>5.083333333333333</v>
      </c>
      <c r="M125" s="3047"/>
      <c r="N125" s="3048"/>
      <c r="O125" s="3049">
        <v>30</v>
      </c>
      <c r="P125" s="3045">
        <v>673731.09712328797</v>
      </c>
      <c r="Q125" s="3051">
        <v>561047.52506849298</v>
      </c>
      <c r="R125" s="3051">
        <v>112683.572054795</v>
      </c>
      <c r="S125" s="3034">
        <f t="shared" si="3"/>
        <v>23847.95</v>
      </c>
    </row>
    <row r="126" spans="1:19">
      <c r="A126" s="3037" t="s">
        <v>3352</v>
      </c>
      <c r="B126" s="3038">
        <v>1</v>
      </c>
      <c r="C126" s="3038">
        <v>5</v>
      </c>
      <c r="D126" s="3039" t="s">
        <v>3455</v>
      </c>
      <c r="E126" s="3056" t="s">
        <v>3565</v>
      </c>
      <c r="F126" s="3041">
        <v>1364.76</v>
      </c>
      <c r="G126" s="3042">
        <v>1364.76</v>
      </c>
      <c r="H126" s="3043">
        <v>43435</v>
      </c>
      <c r="I126" s="3043">
        <v>44165</v>
      </c>
      <c r="J126" s="3044">
        <v>24</v>
      </c>
      <c r="K126" s="3055">
        <v>122.08</v>
      </c>
      <c r="L126" s="3046">
        <f t="shared" si="2"/>
        <v>4.0693333333333337</v>
      </c>
      <c r="M126" s="3047"/>
      <c r="N126" s="3048"/>
      <c r="O126" s="3049">
        <v>30</v>
      </c>
      <c r="P126" s="3045">
        <v>4815440.1227835603</v>
      </c>
      <c r="Q126" s="3051">
        <v>3832027.7184000001</v>
      </c>
      <c r="R126" s="3051">
        <v>983412.40438356204</v>
      </c>
      <c r="S126" s="3034">
        <f t="shared" si="3"/>
        <v>166609.9008</v>
      </c>
    </row>
    <row r="127" spans="1:19">
      <c r="A127" s="3037" t="s">
        <v>3352</v>
      </c>
      <c r="B127" s="3038">
        <v>6</v>
      </c>
      <c r="C127" s="3038">
        <v>8</v>
      </c>
      <c r="D127" s="3039" t="s">
        <v>3384</v>
      </c>
      <c r="E127" s="3056" t="s">
        <v>3566</v>
      </c>
      <c r="F127" s="3041">
        <v>2729.52</v>
      </c>
      <c r="G127" s="3042">
        <v>2729.52</v>
      </c>
      <c r="H127" s="3043">
        <v>43464</v>
      </c>
      <c r="I127" s="3043">
        <v>43828</v>
      </c>
      <c r="J127" s="3044">
        <v>12</v>
      </c>
      <c r="K127" s="3055">
        <v>137.29</v>
      </c>
      <c r="L127" s="3046">
        <f t="shared" si="2"/>
        <v>4.5763333333333334</v>
      </c>
      <c r="M127" s="3047"/>
      <c r="N127" s="3048"/>
      <c r="O127" s="3049">
        <v>30</v>
      </c>
      <c r="P127" s="3045">
        <v>5479456.8096000003</v>
      </c>
      <c r="Q127" s="3051">
        <v>4496829.6096000001</v>
      </c>
      <c r="R127" s="3051">
        <v>982627.2</v>
      </c>
      <c r="S127" s="3034">
        <f t="shared" si="3"/>
        <v>374735.80079999997</v>
      </c>
    </row>
    <row r="128" spans="1:19">
      <c r="A128" s="3037" t="s">
        <v>3352</v>
      </c>
      <c r="B128" s="3038">
        <v>4</v>
      </c>
      <c r="C128" s="3038">
        <v>7</v>
      </c>
      <c r="D128" s="3039" t="s">
        <v>3567</v>
      </c>
      <c r="E128" s="3056" t="s">
        <v>3568</v>
      </c>
      <c r="F128" s="3041">
        <v>220.23</v>
      </c>
      <c r="G128" s="3042">
        <v>220.23</v>
      </c>
      <c r="H128" s="3043">
        <v>43458</v>
      </c>
      <c r="I128" s="3043">
        <v>44553</v>
      </c>
      <c r="J128" s="3044">
        <v>36</v>
      </c>
      <c r="K128" s="3055">
        <v>146.41999999999999</v>
      </c>
      <c r="L128" s="3046">
        <f t="shared" si="2"/>
        <v>4.8806666666666665</v>
      </c>
      <c r="M128" s="3047"/>
      <c r="N128" s="3048"/>
      <c r="O128" s="3049">
        <v>30</v>
      </c>
      <c r="P128" s="3045">
        <v>1384295.2339956199</v>
      </c>
      <c r="Q128" s="3051">
        <v>1146193.4186531501</v>
      </c>
      <c r="R128" s="3051">
        <v>238101.815342466</v>
      </c>
      <c r="S128" s="3034">
        <f t="shared" si="3"/>
        <v>32246.076599999997</v>
      </c>
    </row>
    <row r="129" spans="1:19">
      <c r="A129" s="3037" t="s">
        <v>3352</v>
      </c>
      <c r="B129" s="3038">
        <v>4</v>
      </c>
      <c r="C129" s="3038">
        <v>9</v>
      </c>
      <c r="D129" s="3039" t="s">
        <v>3569</v>
      </c>
      <c r="E129" s="3056" t="s">
        <v>3570</v>
      </c>
      <c r="F129" s="3041">
        <v>78.19</v>
      </c>
      <c r="G129" s="3042">
        <v>78.19</v>
      </c>
      <c r="H129" s="3043">
        <v>43466</v>
      </c>
      <c r="I129" s="3043">
        <v>44196</v>
      </c>
      <c r="J129" s="3044">
        <v>24</v>
      </c>
      <c r="K129" s="3055">
        <v>152.5</v>
      </c>
      <c r="L129" s="3046">
        <f t="shared" si="2"/>
        <v>5.083333333333333</v>
      </c>
      <c r="M129" s="3047"/>
      <c r="N129" s="3048"/>
      <c r="O129" s="3049">
        <v>30</v>
      </c>
      <c r="P129" s="3045">
        <v>336865.54856164398</v>
      </c>
      <c r="Q129" s="3051">
        <v>280523.76253424701</v>
      </c>
      <c r="R129" s="3051">
        <v>56341.786027397298</v>
      </c>
      <c r="S129" s="3034">
        <f t="shared" si="3"/>
        <v>11923.975</v>
      </c>
    </row>
    <row r="130" spans="1:19">
      <c r="A130" s="3037" t="s">
        <v>3352</v>
      </c>
      <c r="B130" s="3038">
        <v>7</v>
      </c>
      <c r="C130" s="3038">
        <v>9</v>
      </c>
      <c r="D130" s="3039" t="s">
        <v>3571</v>
      </c>
      <c r="E130" s="3056" t="s">
        <v>3572</v>
      </c>
      <c r="F130" s="3041">
        <v>481.03</v>
      </c>
      <c r="G130" s="3042">
        <v>481.03</v>
      </c>
      <c r="H130" s="3043">
        <v>43466</v>
      </c>
      <c r="I130" s="3043">
        <v>44196</v>
      </c>
      <c r="J130" s="3044">
        <v>24</v>
      </c>
      <c r="K130" s="3055">
        <v>140.33000000000001</v>
      </c>
      <c r="L130" s="3046">
        <f t="shared" si="2"/>
        <v>4.6776666666666671</v>
      </c>
      <c r="M130" s="3047"/>
      <c r="N130" s="3048"/>
      <c r="O130" s="3049">
        <v>30</v>
      </c>
      <c r="P130" s="3045">
        <v>1899185.9746862999</v>
      </c>
      <c r="Q130" s="3051">
        <v>1552567.6177000001</v>
      </c>
      <c r="R130" s="3051">
        <v>346618.35698630102</v>
      </c>
      <c r="S130" s="3034">
        <f t="shared" si="3"/>
        <v>67502.939899999998</v>
      </c>
    </row>
    <row r="131" spans="1:19">
      <c r="A131" s="3037" t="s">
        <v>3352</v>
      </c>
      <c r="B131" s="3038">
        <v>4</v>
      </c>
      <c r="C131" s="3038">
        <v>8</v>
      </c>
      <c r="D131" s="3039" t="s">
        <v>3451</v>
      </c>
      <c r="E131" s="3056" t="s">
        <v>3573</v>
      </c>
      <c r="F131" s="3041">
        <v>118.53</v>
      </c>
      <c r="G131" s="3042">
        <v>118.53</v>
      </c>
      <c r="H131" s="3043">
        <v>43481</v>
      </c>
      <c r="I131" s="3043">
        <v>44211</v>
      </c>
      <c r="J131" s="3044">
        <v>24</v>
      </c>
      <c r="K131" s="3055">
        <v>143.38</v>
      </c>
      <c r="L131" s="3046">
        <f t="shared" ref="L131:L194" si="4">K131/30</f>
        <v>4.7793333333333328</v>
      </c>
      <c r="M131" s="3047"/>
      <c r="N131" s="3048"/>
      <c r="O131" s="3049">
        <v>30</v>
      </c>
      <c r="P131" s="3045">
        <v>493611.67721589003</v>
      </c>
      <c r="Q131" s="3051">
        <v>408201.88187342498</v>
      </c>
      <c r="R131" s="3051">
        <v>85409.795342465703</v>
      </c>
      <c r="S131" s="3034">
        <f t="shared" ref="S131:S173" si="5">K131*F131</f>
        <v>16994.831399999999</v>
      </c>
    </row>
    <row r="132" spans="1:19">
      <c r="A132" s="3037" t="s">
        <v>3352</v>
      </c>
      <c r="B132" s="3038">
        <v>4</v>
      </c>
      <c r="C132" s="3038">
        <v>8</v>
      </c>
      <c r="D132" s="3039" t="s">
        <v>3574</v>
      </c>
      <c r="E132" s="3056" t="s">
        <v>3575</v>
      </c>
      <c r="F132" s="3041">
        <v>234.57</v>
      </c>
      <c r="G132" s="3042">
        <v>234.57</v>
      </c>
      <c r="H132" s="3043">
        <v>43481</v>
      </c>
      <c r="I132" s="3043">
        <v>44211</v>
      </c>
      <c r="J132" s="3044">
        <v>24</v>
      </c>
      <c r="K132" s="3055">
        <v>143.38</v>
      </c>
      <c r="L132" s="3046">
        <f t="shared" si="4"/>
        <v>4.7793333333333328</v>
      </c>
      <c r="M132" s="3047"/>
      <c r="N132" s="3048"/>
      <c r="O132" s="3049">
        <v>30</v>
      </c>
      <c r="P132" s="3045">
        <v>976853.88614301395</v>
      </c>
      <c r="Q132" s="3051">
        <v>807828.52806082205</v>
      </c>
      <c r="R132" s="3051">
        <v>169025.35808219199</v>
      </c>
      <c r="S132" s="3034">
        <f t="shared" si="5"/>
        <v>33632.6466</v>
      </c>
    </row>
    <row r="133" spans="1:19">
      <c r="A133" s="3037" t="s">
        <v>3352</v>
      </c>
      <c r="B133" s="3038">
        <v>4</v>
      </c>
      <c r="C133" s="3038">
        <v>8</v>
      </c>
      <c r="D133" s="3039" t="s">
        <v>3576</v>
      </c>
      <c r="E133" s="3056" t="s">
        <v>3577</v>
      </c>
      <c r="F133" s="3041">
        <v>498.09</v>
      </c>
      <c r="G133" s="3042">
        <v>498.09</v>
      </c>
      <c r="H133" s="3043">
        <v>43481</v>
      </c>
      <c r="I133" s="3043">
        <v>44211</v>
      </c>
      <c r="J133" s="3044">
        <v>24</v>
      </c>
      <c r="K133" s="3055">
        <v>143.38</v>
      </c>
      <c r="L133" s="3046">
        <f t="shared" si="4"/>
        <v>4.7793333333333328</v>
      </c>
      <c r="M133" s="3047"/>
      <c r="N133" s="3048"/>
      <c r="O133" s="3049">
        <v>30</v>
      </c>
      <c r="P133" s="3045">
        <v>2074268.4578120499</v>
      </c>
      <c r="Q133" s="3051">
        <v>1715357.08548329</v>
      </c>
      <c r="R133" s="3051">
        <v>358911.37232876703</v>
      </c>
      <c r="S133" s="3034">
        <f t="shared" si="5"/>
        <v>71416.144199999995</v>
      </c>
    </row>
    <row r="134" spans="1:19">
      <c r="A134" s="3037" t="s">
        <v>3352</v>
      </c>
      <c r="B134" s="3038">
        <v>1</v>
      </c>
      <c r="C134" s="3038">
        <v>1</v>
      </c>
      <c r="D134" s="3039" t="s">
        <v>3578</v>
      </c>
      <c r="E134" s="3056" t="s">
        <v>3579</v>
      </c>
      <c r="F134" s="3041">
        <v>564.59</v>
      </c>
      <c r="G134" s="3042">
        <v>564.59</v>
      </c>
      <c r="H134" s="3043">
        <v>43466</v>
      </c>
      <c r="I134" s="3043">
        <v>44561</v>
      </c>
      <c r="J134" s="3044">
        <v>36</v>
      </c>
      <c r="K134" s="3055">
        <v>106.88</v>
      </c>
      <c r="L134" s="3046">
        <f t="shared" si="4"/>
        <v>3.5626666666666664</v>
      </c>
      <c r="M134" s="3047"/>
      <c r="N134" s="3048"/>
      <c r="O134" s="3049">
        <v>30</v>
      </c>
      <c r="P134" s="3045">
        <v>2753842.57530521</v>
      </c>
      <c r="Q134" s="3051">
        <v>2143760.54270247</v>
      </c>
      <c r="R134" s="3051">
        <v>610082.03260273999</v>
      </c>
      <c r="S134" s="3034">
        <f t="shared" si="5"/>
        <v>60343.379200000003</v>
      </c>
    </row>
    <row r="135" spans="1:19">
      <c r="A135" s="3037" t="s">
        <v>3352</v>
      </c>
      <c r="B135" s="3038">
        <v>6</v>
      </c>
      <c r="C135" s="3038">
        <v>6</v>
      </c>
      <c r="D135" s="3039" t="s">
        <v>3580</v>
      </c>
      <c r="E135" s="3056" t="s">
        <v>3581</v>
      </c>
      <c r="F135" s="3041">
        <v>481.33</v>
      </c>
      <c r="G135" s="3042">
        <v>481.33</v>
      </c>
      <c r="H135" s="3043">
        <v>43467</v>
      </c>
      <c r="I135" s="3043">
        <v>44562</v>
      </c>
      <c r="J135" s="3044">
        <v>36</v>
      </c>
      <c r="K135" s="3055">
        <v>137.29</v>
      </c>
      <c r="L135" s="3046">
        <f t="shared" si="4"/>
        <v>4.5763333333333334</v>
      </c>
      <c r="M135" s="3047"/>
      <c r="N135" s="3048"/>
      <c r="O135" s="3049">
        <v>30</v>
      </c>
      <c r="P135" s="3045">
        <v>2867737.0140873999</v>
      </c>
      <c r="Q135" s="3051">
        <v>2347623.6844983599</v>
      </c>
      <c r="R135" s="3051">
        <v>520113.32958904101</v>
      </c>
      <c r="S135" s="3034">
        <f t="shared" si="5"/>
        <v>66081.795699999988</v>
      </c>
    </row>
    <row r="136" spans="1:19">
      <c r="A136" s="3037" t="s">
        <v>3352</v>
      </c>
      <c r="B136" s="3038">
        <v>7</v>
      </c>
      <c r="C136" s="3038">
        <v>1</v>
      </c>
      <c r="D136" s="3039" t="s">
        <v>3419</v>
      </c>
      <c r="E136" s="3056" t="s">
        <v>3582</v>
      </c>
      <c r="F136" s="3041">
        <v>390.59</v>
      </c>
      <c r="G136" s="3042">
        <v>390.59</v>
      </c>
      <c r="H136" s="3043">
        <v>43344</v>
      </c>
      <c r="I136" s="3043">
        <v>45169</v>
      </c>
      <c r="J136" s="3044">
        <v>60</v>
      </c>
      <c r="K136" s="3055">
        <v>109.92</v>
      </c>
      <c r="L136" s="3046">
        <f t="shared" si="4"/>
        <v>3.6640000000000001</v>
      </c>
      <c r="M136" s="3047"/>
      <c r="N136" s="3048"/>
      <c r="O136" s="3049">
        <v>30</v>
      </c>
      <c r="P136" s="3045">
        <v>3279081.1680000001</v>
      </c>
      <c r="Q136" s="3051">
        <v>2576019.1680000001</v>
      </c>
      <c r="R136" s="3051">
        <v>703062</v>
      </c>
      <c r="S136" s="3034">
        <f t="shared" si="5"/>
        <v>42933.652799999996</v>
      </c>
    </row>
    <row r="137" spans="1:19">
      <c r="A137" s="3037" t="s">
        <v>3352</v>
      </c>
      <c r="B137" s="3038">
        <v>4</v>
      </c>
      <c r="C137" s="3038">
        <v>7</v>
      </c>
      <c r="D137" s="3039" t="s">
        <v>3359</v>
      </c>
      <c r="E137" s="3056" t="s">
        <v>3583</v>
      </c>
      <c r="F137" s="3041">
        <v>196.72</v>
      </c>
      <c r="G137" s="3042">
        <v>196.72</v>
      </c>
      <c r="H137" s="3043">
        <v>43475</v>
      </c>
      <c r="I137" s="3043">
        <v>44478</v>
      </c>
      <c r="J137" s="3044">
        <v>33</v>
      </c>
      <c r="K137" s="3055">
        <v>152.5</v>
      </c>
      <c r="L137" s="3046">
        <f t="shared" si="4"/>
        <v>5.083333333333333</v>
      </c>
      <c r="M137" s="3047"/>
      <c r="N137" s="3048"/>
      <c r="O137" s="3049">
        <v>30</v>
      </c>
      <c r="P137" s="3045">
        <v>1185434.72</v>
      </c>
      <c r="Q137" s="3051">
        <v>990568.73863013706</v>
      </c>
      <c r="R137" s="3051">
        <v>194865.981369863</v>
      </c>
      <c r="S137" s="3034">
        <f t="shared" si="5"/>
        <v>29999.8</v>
      </c>
    </row>
    <row r="138" spans="1:19">
      <c r="A138" s="3037" t="s">
        <v>3352</v>
      </c>
      <c r="B138" s="3038">
        <v>4</v>
      </c>
      <c r="C138" s="3038">
        <v>9</v>
      </c>
      <c r="D138" s="3039" t="s">
        <v>3541</v>
      </c>
      <c r="E138" s="3056" t="s">
        <v>3584</v>
      </c>
      <c r="F138" s="3041">
        <v>196.72</v>
      </c>
      <c r="G138" s="3042">
        <v>196.72</v>
      </c>
      <c r="H138" s="3043">
        <v>43475</v>
      </c>
      <c r="I138" s="3043">
        <v>44205</v>
      </c>
      <c r="J138" s="3044">
        <v>24</v>
      </c>
      <c r="K138" s="3055">
        <v>152.5</v>
      </c>
      <c r="L138" s="3046">
        <f t="shared" si="4"/>
        <v>5.083333333333333</v>
      </c>
      <c r="M138" s="3047"/>
      <c r="N138" s="3048"/>
      <c r="O138" s="3049">
        <v>30</v>
      </c>
      <c r="P138" s="3045">
        <v>847527.69808219199</v>
      </c>
      <c r="Q138" s="3051">
        <v>705776.11671232898</v>
      </c>
      <c r="R138" s="3051">
        <v>141751.58136986301</v>
      </c>
      <c r="S138" s="3034">
        <f t="shared" si="5"/>
        <v>29999.8</v>
      </c>
    </row>
    <row r="139" spans="1:19">
      <c r="A139" s="3037" t="s">
        <v>3352</v>
      </c>
      <c r="B139" s="3038">
        <v>8</v>
      </c>
      <c r="C139" s="3038">
        <v>6</v>
      </c>
      <c r="D139" s="3039" t="s">
        <v>3488</v>
      </c>
      <c r="E139" s="3056" t="s">
        <v>3585</v>
      </c>
      <c r="F139" s="3041">
        <v>118.85</v>
      </c>
      <c r="G139" s="3042">
        <v>118.85</v>
      </c>
      <c r="H139" s="3043">
        <v>43525</v>
      </c>
      <c r="I139" s="3043">
        <v>44620</v>
      </c>
      <c r="J139" s="3044">
        <v>36</v>
      </c>
      <c r="K139" s="3055">
        <v>131.21</v>
      </c>
      <c r="L139" s="3046">
        <f t="shared" si="4"/>
        <v>4.3736666666666668</v>
      </c>
      <c r="M139" s="3047"/>
      <c r="N139" s="3048">
        <v>137.29</v>
      </c>
      <c r="O139" s="3049">
        <v>30</v>
      </c>
      <c r="P139" s="3045">
        <v>707095.69799999997</v>
      </c>
      <c r="Q139" s="3051">
        <v>578737.69799999997</v>
      </c>
      <c r="R139" s="3051">
        <v>128358</v>
      </c>
      <c r="S139" s="3034">
        <f t="shared" si="5"/>
        <v>15594.308500000001</v>
      </c>
    </row>
    <row r="140" spans="1:19" ht="25.5">
      <c r="A140" s="3037" t="s">
        <v>3352</v>
      </c>
      <c r="B140" s="3079" t="s">
        <v>3586</v>
      </c>
      <c r="C140" s="3038">
        <v>6</v>
      </c>
      <c r="D140" s="3039" t="s">
        <v>3587</v>
      </c>
      <c r="E140" s="3056" t="s">
        <v>3588</v>
      </c>
      <c r="F140" s="3041">
        <v>1482.54</v>
      </c>
      <c r="G140" s="3042">
        <v>1482.54</v>
      </c>
      <c r="H140" s="3043">
        <v>43525</v>
      </c>
      <c r="I140" s="3043">
        <v>44620</v>
      </c>
      <c r="J140" s="3044">
        <v>36</v>
      </c>
      <c r="K140" s="3055">
        <v>131.21</v>
      </c>
      <c r="L140" s="3046">
        <f t="shared" si="4"/>
        <v>4.3736666666666668</v>
      </c>
      <c r="M140" s="3047"/>
      <c r="N140" s="3048">
        <v>137.29</v>
      </c>
      <c r="O140" s="3049">
        <v>30</v>
      </c>
      <c r="P140" s="3045">
        <v>8820342.0791999996</v>
      </c>
      <c r="Q140" s="3051">
        <v>7219198.8792000003</v>
      </c>
      <c r="R140" s="3051">
        <v>1601143.2</v>
      </c>
      <c r="S140" s="3034">
        <f t="shared" si="5"/>
        <v>194524.07339999999</v>
      </c>
    </row>
    <row r="141" spans="1:19">
      <c r="A141" s="3037" t="s">
        <v>3352</v>
      </c>
      <c r="B141" s="3038">
        <v>8</v>
      </c>
      <c r="C141" s="3038">
        <v>6</v>
      </c>
      <c r="D141" s="3039" t="s">
        <v>3501</v>
      </c>
      <c r="E141" s="3056" t="s">
        <v>3589</v>
      </c>
      <c r="F141" s="3041">
        <v>85.36</v>
      </c>
      <c r="G141" s="3042">
        <v>85.36</v>
      </c>
      <c r="H141" s="3043">
        <v>43525</v>
      </c>
      <c r="I141" s="3043">
        <v>44620</v>
      </c>
      <c r="J141" s="3044">
        <v>36</v>
      </c>
      <c r="K141" s="3055">
        <v>131.21</v>
      </c>
      <c r="L141" s="3046">
        <f t="shared" si="4"/>
        <v>4.3736666666666668</v>
      </c>
      <c r="M141" s="3047"/>
      <c r="N141" s="3048">
        <v>137.29</v>
      </c>
      <c r="O141" s="3049">
        <v>30</v>
      </c>
      <c r="P141" s="3045">
        <v>507847.6128</v>
      </c>
      <c r="Q141" s="3051">
        <v>415658.81280000001</v>
      </c>
      <c r="R141" s="3051">
        <v>92188.800000000003</v>
      </c>
      <c r="S141" s="3034">
        <f t="shared" si="5"/>
        <v>11200.0856</v>
      </c>
    </row>
    <row r="142" spans="1:19">
      <c r="A142" s="3037" t="s">
        <v>3352</v>
      </c>
      <c r="B142" s="3038">
        <v>5</v>
      </c>
      <c r="C142" s="3038">
        <v>9</v>
      </c>
      <c r="D142" s="3039" t="s">
        <v>3455</v>
      </c>
      <c r="E142" s="3056" t="s">
        <v>3590</v>
      </c>
      <c r="F142" s="3041">
        <v>1364.76</v>
      </c>
      <c r="G142" s="3042">
        <v>1364.76</v>
      </c>
      <c r="H142" s="3043">
        <v>43539</v>
      </c>
      <c r="I142" s="3043">
        <v>44634</v>
      </c>
      <c r="J142" s="3044">
        <v>36</v>
      </c>
      <c r="K142" s="3055">
        <v>143.38</v>
      </c>
      <c r="L142" s="3046">
        <f t="shared" si="4"/>
        <v>4.7793333333333328</v>
      </c>
      <c r="M142" s="3047"/>
      <c r="N142" s="3048"/>
      <c r="O142" s="3049">
        <v>30</v>
      </c>
      <c r="P142" s="3045">
        <v>8320259.7139068497</v>
      </c>
      <c r="Q142" s="3051">
        <v>6846094.5697972598</v>
      </c>
      <c r="R142" s="3051">
        <v>1474165.14410959</v>
      </c>
      <c r="S142" s="3034">
        <f t="shared" si="5"/>
        <v>195679.28879999998</v>
      </c>
    </row>
    <row r="143" spans="1:19">
      <c r="A143" s="3037" t="s">
        <v>3352</v>
      </c>
      <c r="B143" s="3038">
        <v>1</v>
      </c>
      <c r="C143" s="3038">
        <v>3</v>
      </c>
      <c r="D143" s="3039" t="s">
        <v>3591</v>
      </c>
      <c r="E143" s="3056" t="s">
        <v>3592</v>
      </c>
      <c r="F143" s="3041">
        <v>1284.76</v>
      </c>
      <c r="G143" s="3042">
        <v>1284.76</v>
      </c>
      <c r="H143" s="3043">
        <v>43525</v>
      </c>
      <c r="I143" s="3043">
        <v>44255</v>
      </c>
      <c r="J143" s="3044">
        <v>24</v>
      </c>
      <c r="K143" s="3055">
        <v>137.29</v>
      </c>
      <c r="L143" s="3046">
        <f t="shared" si="4"/>
        <v>4.5763333333333334</v>
      </c>
      <c r="M143" s="3047"/>
      <c r="N143" s="3048"/>
      <c r="O143" s="3049">
        <v>30</v>
      </c>
      <c r="P143" s="3045">
        <v>5158260.0096000005</v>
      </c>
      <c r="Q143" s="3051">
        <v>4233232.8096000003</v>
      </c>
      <c r="R143" s="3051">
        <v>925027.2</v>
      </c>
      <c r="S143" s="3034">
        <f t="shared" si="5"/>
        <v>176384.7004</v>
      </c>
    </row>
    <row r="144" spans="1:19">
      <c r="A144" s="3037" t="s">
        <v>3352</v>
      </c>
      <c r="B144" s="3038">
        <v>1</v>
      </c>
      <c r="C144" s="3038">
        <v>3</v>
      </c>
      <c r="D144" s="3039" t="s">
        <v>3363</v>
      </c>
      <c r="E144" s="3056" t="s">
        <v>3593</v>
      </c>
      <c r="F144" s="3041">
        <v>80</v>
      </c>
      <c r="G144" s="3042">
        <v>80</v>
      </c>
      <c r="H144" s="3043">
        <v>43525</v>
      </c>
      <c r="I144" s="3043">
        <v>44255</v>
      </c>
      <c r="J144" s="3044">
        <v>24</v>
      </c>
      <c r="K144" s="3055">
        <v>137.29</v>
      </c>
      <c r="L144" s="3046">
        <f t="shared" si="4"/>
        <v>4.5763333333333334</v>
      </c>
      <c r="M144" s="3047"/>
      <c r="N144" s="3048"/>
      <c r="O144" s="3049">
        <v>30</v>
      </c>
      <c r="P144" s="3045">
        <v>321196.79999999999</v>
      </c>
      <c r="Q144" s="3051">
        <v>263596.79999999999</v>
      </c>
      <c r="R144" s="3051">
        <v>57600</v>
      </c>
      <c r="S144" s="3034">
        <f t="shared" si="5"/>
        <v>10983.199999999999</v>
      </c>
    </row>
    <row r="145" spans="1:19">
      <c r="A145" s="3037" t="s">
        <v>3352</v>
      </c>
      <c r="B145" s="3038">
        <v>2</v>
      </c>
      <c r="C145" s="3038">
        <v>8</v>
      </c>
      <c r="D145" s="3039" t="s">
        <v>3353</v>
      </c>
      <c r="E145" s="3056" t="s">
        <v>3594</v>
      </c>
      <c r="F145" s="3041">
        <v>196.72</v>
      </c>
      <c r="G145" s="3042">
        <v>196.72</v>
      </c>
      <c r="H145" s="3043">
        <v>43525</v>
      </c>
      <c r="I145" s="3043">
        <v>44043</v>
      </c>
      <c r="J145" s="3044">
        <v>17</v>
      </c>
      <c r="K145" s="3055">
        <v>137.29</v>
      </c>
      <c r="L145" s="3046">
        <f t="shared" si="4"/>
        <v>4.5763333333333334</v>
      </c>
      <c r="M145" s="3047"/>
      <c r="N145" s="3048"/>
      <c r="O145" s="3049">
        <v>30</v>
      </c>
      <c r="P145" s="3045">
        <v>559457.90960000001</v>
      </c>
      <c r="Q145" s="3051">
        <v>459130.7096</v>
      </c>
      <c r="R145" s="3051">
        <v>100327.2</v>
      </c>
      <c r="S145" s="3034">
        <f t="shared" si="5"/>
        <v>27007.6888</v>
      </c>
    </row>
    <row r="146" spans="1:19">
      <c r="A146" s="3037" t="s">
        <v>3352</v>
      </c>
      <c r="B146" s="3038">
        <v>5</v>
      </c>
      <c r="C146" s="3038">
        <v>9</v>
      </c>
      <c r="D146" s="3039" t="s">
        <v>3490</v>
      </c>
      <c r="E146" s="3056" t="s">
        <v>3595</v>
      </c>
      <c r="F146" s="3041">
        <v>1364.76</v>
      </c>
      <c r="G146" s="3042">
        <v>1364.76</v>
      </c>
      <c r="H146" s="3043">
        <v>43536</v>
      </c>
      <c r="I146" s="3043">
        <v>44266</v>
      </c>
      <c r="J146" s="3044">
        <v>24</v>
      </c>
      <c r="K146" s="3055">
        <v>126.21</v>
      </c>
      <c r="L146" s="3046">
        <f t="shared" si="4"/>
        <v>4.2069999999999999</v>
      </c>
      <c r="M146" s="3047"/>
      <c r="N146" s="3048"/>
      <c r="O146" s="3049">
        <v>35</v>
      </c>
      <c r="P146" s="3045">
        <v>5111629.7604361596</v>
      </c>
      <c r="Q146" s="3051">
        <v>3964969.6256416398</v>
      </c>
      <c r="R146" s="3051">
        <v>1146660.13479452</v>
      </c>
      <c r="S146" s="3034">
        <f t="shared" si="5"/>
        <v>172246.3596</v>
      </c>
    </row>
    <row r="147" spans="1:19">
      <c r="A147" s="3037" t="s">
        <v>3352</v>
      </c>
      <c r="B147" s="3038">
        <v>7</v>
      </c>
      <c r="C147" s="3038">
        <v>2</v>
      </c>
      <c r="D147" s="3039" t="s">
        <v>3596</v>
      </c>
      <c r="E147" s="3056" t="s">
        <v>3597</v>
      </c>
      <c r="F147" s="3041">
        <v>566.39</v>
      </c>
      <c r="G147" s="3042">
        <v>566.39</v>
      </c>
      <c r="H147" s="3043">
        <v>43525</v>
      </c>
      <c r="I147" s="3043">
        <v>44620</v>
      </c>
      <c r="J147" s="3044">
        <v>36</v>
      </c>
      <c r="K147" s="3055">
        <v>137.29</v>
      </c>
      <c r="L147" s="3046">
        <f t="shared" si="4"/>
        <v>4.5763333333333334</v>
      </c>
      <c r="M147" s="3047"/>
      <c r="N147" s="3048"/>
      <c r="O147" s="3049">
        <v>30</v>
      </c>
      <c r="P147" s="3045">
        <v>3411049.7916000001</v>
      </c>
      <c r="Q147" s="3051">
        <v>2799348.5915999999</v>
      </c>
      <c r="R147" s="3051">
        <v>611701.19999999995</v>
      </c>
      <c r="S147" s="3034">
        <f t="shared" si="5"/>
        <v>77759.683099999995</v>
      </c>
    </row>
    <row r="148" spans="1:19" ht="14.25">
      <c r="A148" s="3037" t="s">
        <v>3352</v>
      </c>
      <c r="B148" s="3038">
        <v>5</v>
      </c>
      <c r="C148" s="3038">
        <v>7</v>
      </c>
      <c r="D148" s="3039" t="s">
        <v>3598</v>
      </c>
      <c r="E148" s="3056" t="s">
        <v>3599</v>
      </c>
      <c r="F148" s="3041">
        <v>481.33</v>
      </c>
      <c r="G148" s="3042">
        <v>481.33</v>
      </c>
      <c r="H148" s="3043">
        <v>43540</v>
      </c>
      <c r="I148" s="3043">
        <v>44635</v>
      </c>
      <c r="J148" s="3044">
        <v>36</v>
      </c>
      <c r="K148" s="3055">
        <v>123.17</v>
      </c>
      <c r="L148" s="3046">
        <f t="shared" si="4"/>
        <v>4.105666666666667</v>
      </c>
      <c r="M148" s="3047"/>
      <c r="N148" s="3048"/>
      <c r="O148" s="3049">
        <v>35</v>
      </c>
      <c r="P148" s="3045">
        <v>2680745.54437534</v>
      </c>
      <c r="Q148" s="3051">
        <v>2074177.43451233</v>
      </c>
      <c r="R148" s="3051">
        <v>606568.10986301396</v>
      </c>
      <c r="S148" s="3034">
        <f t="shared" si="5"/>
        <v>59285.416100000002</v>
      </c>
    </row>
    <row r="149" spans="1:19">
      <c r="A149" s="3037" t="s">
        <v>3352</v>
      </c>
      <c r="B149" s="3038">
        <v>5</v>
      </c>
      <c r="C149" s="3038">
        <v>5</v>
      </c>
      <c r="D149" s="3039" t="s">
        <v>3419</v>
      </c>
      <c r="E149" s="3056" t="s">
        <v>3600</v>
      </c>
      <c r="F149" s="3041">
        <v>326.67</v>
      </c>
      <c r="G149" s="3042">
        <v>326.67</v>
      </c>
      <c r="H149" s="3043">
        <v>43556</v>
      </c>
      <c r="I149" s="3043">
        <v>44286</v>
      </c>
      <c r="J149" s="3044">
        <v>24</v>
      </c>
      <c r="K149" s="3055">
        <v>123.17</v>
      </c>
      <c r="L149" s="3046">
        <f t="shared" si="4"/>
        <v>4.105666666666667</v>
      </c>
      <c r="M149" s="3047"/>
      <c r="N149" s="3048"/>
      <c r="O149" s="3049">
        <v>35</v>
      </c>
      <c r="P149" s="3045">
        <v>1199672.88709726</v>
      </c>
      <c r="Q149" s="3051">
        <v>925426.70970000001</v>
      </c>
      <c r="R149" s="3051">
        <v>274246.17739725998</v>
      </c>
      <c r="S149" s="3034">
        <f t="shared" si="5"/>
        <v>40235.943900000006</v>
      </c>
    </row>
    <row r="150" spans="1:19">
      <c r="A150" s="3037" t="s">
        <v>3352</v>
      </c>
      <c r="B150" s="3038">
        <v>4</v>
      </c>
      <c r="C150" s="3038">
        <v>9</v>
      </c>
      <c r="D150" s="3039" t="s">
        <v>3601</v>
      </c>
      <c r="E150" s="3056" t="s">
        <v>3602</v>
      </c>
      <c r="F150" s="3041">
        <v>457.75</v>
      </c>
      <c r="G150" s="3042">
        <v>457.75</v>
      </c>
      <c r="H150" s="3043">
        <v>43553</v>
      </c>
      <c r="I150" s="3043">
        <v>44648</v>
      </c>
      <c r="J150" s="3044">
        <v>36</v>
      </c>
      <c r="K150" s="3055">
        <v>123.17</v>
      </c>
      <c r="L150" s="3046">
        <f t="shared" si="4"/>
        <v>4.105666666666667</v>
      </c>
      <c r="M150" s="3047"/>
      <c r="N150" s="3048"/>
      <c r="O150" s="3049">
        <v>35</v>
      </c>
      <c r="P150" s="3045">
        <v>2551271.4309178102</v>
      </c>
      <c r="Q150" s="3051">
        <v>1974418.6432465799</v>
      </c>
      <c r="R150" s="3051">
        <v>576852.78767123295</v>
      </c>
      <c r="S150" s="3034">
        <f t="shared" si="5"/>
        <v>56381.067499999997</v>
      </c>
    </row>
    <row r="151" spans="1:19">
      <c r="A151" s="3037" t="s">
        <v>3352</v>
      </c>
      <c r="B151" s="3038">
        <v>8</v>
      </c>
      <c r="C151" s="3038">
        <v>7</v>
      </c>
      <c r="D151" s="3039" t="s">
        <v>3408</v>
      </c>
      <c r="E151" s="3056" t="s">
        <v>3603</v>
      </c>
      <c r="F151" s="3041">
        <v>566.39</v>
      </c>
      <c r="G151" s="3042">
        <v>566.39</v>
      </c>
      <c r="H151" s="3043">
        <v>43554</v>
      </c>
      <c r="I151" s="3043">
        <v>45289</v>
      </c>
      <c r="J151" s="3044">
        <v>57</v>
      </c>
      <c r="K151" s="3055">
        <v>122.08</v>
      </c>
      <c r="L151" s="3046">
        <f t="shared" si="4"/>
        <v>4.0693333333333337</v>
      </c>
      <c r="M151" s="3047"/>
      <c r="N151" s="3048">
        <v>153.53</v>
      </c>
      <c r="O151" s="3049">
        <v>30</v>
      </c>
      <c r="P151" s="3045">
        <v>5467998.5320008202</v>
      </c>
      <c r="Q151" s="3051">
        <v>4506640.75584877</v>
      </c>
      <c r="R151" s="3051">
        <v>961357.77945205499</v>
      </c>
      <c r="S151" s="3034">
        <f t="shared" si="5"/>
        <v>69144.891199999998</v>
      </c>
    </row>
    <row r="152" spans="1:19">
      <c r="A152" s="3037" t="s">
        <v>3352</v>
      </c>
      <c r="B152" s="3038">
        <v>3</v>
      </c>
      <c r="C152" s="3038">
        <v>2</v>
      </c>
      <c r="D152" s="3039" t="s">
        <v>3604</v>
      </c>
      <c r="E152" s="3056" t="s">
        <v>3605</v>
      </c>
      <c r="F152" s="3041">
        <v>419.9</v>
      </c>
      <c r="G152" s="3042">
        <v>419.9</v>
      </c>
      <c r="H152" s="3043">
        <v>43570</v>
      </c>
      <c r="I152" s="3043">
        <v>44665</v>
      </c>
      <c r="J152" s="3044">
        <v>36</v>
      </c>
      <c r="K152" s="3055">
        <v>120.13</v>
      </c>
      <c r="L152" s="3046">
        <f t="shared" si="4"/>
        <v>4.0043333333333333</v>
      </c>
      <c r="M152" s="3047"/>
      <c r="N152" s="3048"/>
      <c r="O152" s="3049">
        <v>35</v>
      </c>
      <c r="P152" s="3045">
        <v>2267419.8966739699</v>
      </c>
      <c r="Q152" s="3051">
        <v>1738265.3679068501</v>
      </c>
      <c r="R152" s="3051">
        <v>529154.528767123</v>
      </c>
      <c r="S152" s="3034">
        <f t="shared" si="5"/>
        <v>50442.586999999992</v>
      </c>
    </row>
    <row r="153" spans="1:19">
      <c r="A153" s="3037" t="s">
        <v>3352</v>
      </c>
      <c r="B153" s="3038">
        <v>3</v>
      </c>
      <c r="C153" s="3038">
        <v>2</v>
      </c>
      <c r="D153" s="3039" t="s">
        <v>3606</v>
      </c>
      <c r="E153" s="3056" t="s">
        <v>3607</v>
      </c>
      <c r="F153" s="3041">
        <v>732.66</v>
      </c>
      <c r="G153" s="3042">
        <v>732.66</v>
      </c>
      <c r="H153" s="3043">
        <v>43570</v>
      </c>
      <c r="I153" s="3043">
        <v>44665</v>
      </c>
      <c r="J153" s="3044">
        <v>36</v>
      </c>
      <c r="K153" s="3055">
        <v>120.13</v>
      </c>
      <c r="L153" s="3046">
        <f t="shared" si="4"/>
        <v>4.0043333333333333</v>
      </c>
      <c r="M153" s="3047"/>
      <c r="N153" s="3048"/>
      <c r="O153" s="3049">
        <v>35</v>
      </c>
      <c r="P153" s="3045">
        <v>3956294.0259517799</v>
      </c>
      <c r="Q153" s="3051">
        <v>3033001.9158147899</v>
      </c>
      <c r="R153" s="3051">
        <v>923292.11013698601</v>
      </c>
      <c r="S153" s="3034">
        <f t="shared" si="5"/>
        <v>88014.445799999987</v>
      </c>
    </row>
    <row r="154" spans="1:19">
      <c r="A154" s="3037" t="s">
        <v>3352</v>
      </c>
      <c r="B154" s="3038">
        <v>2</v>
      </c>
      <c r="C154" s="3038">
        <v>8</v>
      </c>
      <c r="D154" s="3039" t="s">
        <v>3608</v>
      </c>
      <c r="E154" s="3056" t="s">
        <v>3609</v>
      </c>
      <c r="F154" s="3041">
        <v>680.93</v>
      </c>
      <c r="G154" s="3042">
        <v>680.93</v>
      </c>
      <c r="H154" s="3043">
        <v>43572</v>
      </c>
      <c r="I154" s="3043">
        <v>44667</v>
      </c>
      <c r="J154" s="3044">
        <v>36</v>
      </c>
      <c r="K154" s="3055">
        <v>117.08</v>
      </c>
      <c r="L154" s="3046">
        <f t="shared" si="4"/>
        <v>3.9026666666666667</v>
      </c>
      <c r="M154" s="3047"/>
      <c r="N154" s="3048"/>
      <c r="O154" s="3049">
        <v>35</v>
      </c>
      <c r="P154" s="3045">
        <v>3610630.69070904</v>
      </c>
      <c r="Q154" s="3051">
        <v>2752528.3013939699</v>
      </c>
      <c r="R154" s="3051">
        <v>858102.38931506802</v>
      </c>
      <c r="S154" s="3034">
        <f t="shared" si="5"/>
        <v>79723.28439999999</v>
      </c>
    </row>
    <row r="155" spans="1:19">
      <c r="A155" s="3037" t="s">
        <v>3352</v>
      </c>
      <c r="B155" s="3038">
        <v>6</v>
      </c>
      <c r="C155" s="3038">
        <v>6</v>
      </c>
      <c r="D155" s="3039" t="s">
        <v>3490</v>
      </c>
      <c r="E155" s="3056" t="s">
        <v>3610</v>
      </c>
      <c r="F155" s="3041">
        <v>1364.76</v>
      </c>
      <c r="G155" s="3042">
        <v>1364.76</v>
      </c>
      <c r="H155" s="3043">
        <v>43577</v>
      </c>
      <c r="I155" s="3043">
        <v>44672</v>
      </c>
      <c r="J155" s="3044">
        <v>36</v>
      </c>
      <c r="K155" s="3055">
        <v>132.29</v>
      </c>
      <c r="L155" s="3046">
        <f t="shared" si="4"/>
        <v>4.4096666666666664</v>
      </c>
      <c r="M155" s="3047"/>
      <c r="N155" s="3048"/>
      <c r="O155" s="3049">
        <v>35</v>
      </c>
      <c r="P155" s="3045">
        <v>8042365.3383912304</v>
      </c>
      <c r="Q155" s="3051">
        <v>6322506.00359671</v>
      </c>
      <c r="R155" s="3051">
        <v>1719859.3347945199</v>
      </c>
      <c r="S155" s="3034">
        <f t="shared" si="5"/>
        <v>180544.1004</v>
      </c>
    </row>
    <row r="156" spans="1:19">
      <c r="A156" s="3037" t="s">
        <v>3352</v>
      </c>
      <c r="B156" s="3038">
        <v>4</v>
      </c>
      <c r="C156" s="3038">
        <v>8</v>
      </c>
      <c r="D156" s="3039" t="s">
        <v>3611</v>
      </c>
      <c r="E156" s="3056" t="s">
        <v>3612</v>
      </c>
      <c r="F156" s="3041">
        <v>223.18</v>
      </c>
      <c r="G156" s="3042">
        <v>223.18</v>
      </c>
      <c r="H156" s="3080">
        <v>43580</v>
      </c>
      <c r="I156" s="3043">
        <v>44675</v>
      </c>
      <c r="J156" s="3044">
        <v>36</v>
      </c>
      <c r="K156" s="3055">
        <v>132.29</v>
      </c>
      <c r="L156" s="3046">
        <f t="shared" si="4"/>
        <v>4.4096666666666664</v>
      </c>
      <c r="M156" s="3047"/>
      <c r="N156" s="3048"/>
      <c r="O156" s="3049">
        <v>35</v>
      </c>
      <c r="P156" s="3045">
        <v>1315172.7015901399</v>
      </c>
      <c r="Q156" s="3051">
        <v>1033923.0999463</v>
      </c>
      <c r="R156" s="3051">
        <v>281249.60164383601</v>
      </c>
      <c r="S156" s="3034">
        <f t="shared" si="5"/>
        <v>29524.482199999999</v>
      </c>
    </row>
    <row r="157" spans="1:19">
      <c r="A157" s="3037" t="s">
        <v>3352</v>
      </c>
      <c r="B157" s="3038">
        <v>4</v>
      </c>
      <c r="C157" s="3038">
        <v>7</v>
      </c>
      <c r="D157" s="3039" t="s">
        <v>3451</v>
      </c>
      <c r="E157" s="3056" t="s">
        <v>3613</v>
      </c>
      <c r="F157" s="3041">
        <v>118.53</v>
      </c>
      <c r="G157" s="3042">
        <v>118.53</v>
      </c>
      <c r="H157" s="3080">
        <v>43617</v>
      </c>
      <c r="I157" s="3043">
        <v>44347</v>
      </c>
      <c r="J157" s="3044">
        <v>24</v>
      </c>
      <c r="K157" s="3055">
        <v>131.21</v>
      </c>
      <c r="L157" s="3046">
        <f t="shared" si="4"/>
        <v>4.3736666666666668</v>
      </c>
      <c r="M157" s="3047"/>
      <c r="N157" s="3048"/>
      <c r="O157" s="3049">
        <v>30</v>
      </c>
      <c r="P157" s="3045">
        <v>458597.3112</v>
      </c>
      <c r="Q157" s="3051">
        <v>373255.71120000002</v>
      </c>
      <c r="R157" s="3051">
        <v>85341.6</v>
      </c>
      <c r="S157" s="3034">
        <f t="shared" si="5"/>
        <v>15552.321300000001</v>
      </c>
    </row>
    <row r="158" spans="1:19">
      <c r="A158" s="3037" t="s">
        <v>3352</v>
      </c>
      <c r="B158" s="3038">
        <v>4</v>
      </c>
      <c r="C158" s="3038">
        <v>7</v>
      </c>
      <c r="D158" s="3039" t="s">
        <v>3614</v>
      </c>
      <c r="E158" s="3056" t="s">
        <v>3615</v>
      </c>
      <c r="F158" s="3041">
        <v>877.65</v>
      </c>
      <c r="G158" s="3042">
        <v>877.65</v>
      </c>
      <c r="H158" s="3080">
        <v>43617</v>
      </c>
      <c r="I158" s="3043">
        <v>44347</v>
      </c>
      <c r="J158" s="3044">
        <v>24</v>
      </c>
      <c r="K158" s="3055">
        <v>131.21</v>
      </c>
      <c r="L158" s="3046">
        <f t="shared" si="4"/>
        <v>4.3736666666666668</v>
      </c>
      <c r="M158" s="3047"/>
      <c r="N158" s="3048"/>
      <c r="O158" s="3049">
        <v>30</v>
      </c>
      <c r="P158" s="3045">
        <v>3395662.9559999998</v>
      </c>
      <c r="Q158" s="3051">
        <v>2763754.9559999998</v>
      </c>
      <c r="R158" s="3051">
        <v>631908</v>
      </c>
      <c r="S158" s="3034">
        <f t="shared" si="5"/>
        <v>115156.4565</v>
      </c>
    </row>
    <row r="159" spans="1:19">
      <c r="A159" s="3037" t="s">
        <v>3352</v>
      </c>
      <c r="B159" s="3038">
        <v>4</v>
      </c>
      <c r="C159" s="3038">
        <v>7</v>
      </c>
      <c r="D159" s="3039" t="s">
        <v>3616</v>
      </c>
      <c r="E159" s="3056" t="s">
        <v>3617</v>
      </c>
      <c r="F159" s="3041">
        <v>78.19</v>
      </c>
      <c r="G159" s="3042">
        <v>78.19</v>
      </c>
      <c r="H159" s="3080">
        <v>43617</v>
      </c>
      <c r="I159" s="3043">
        <v>44347</v>
      </c>
      <c r="J159" s="3044">
        <v>24</v>
      </c>
      <c r="K159" s="3055">
        <v>131.21</v>
      </c>
      <c r="L159" s="3046">
        <f t="shared" si="4"/>
        <v>4.3736666666666668</v>
      </c>
      <c r="M159" s="3047"/>
      <c r="N159" s="3048"/>
      <c r="O159" s="3049">
        <v>30</v>
      </c>
      <c r="P159" s="3045">
        <v>302520.23759999999</v>
      </c>
      <c r="Q159" s="3051">
        <v>246223.4376</v>
      </c>
      <c r="R159" s="3051">
        <v>56296.800000000003</v>
      </c>
      <c r="S159" s="3034">
        <f t="shared" si="5"/>
        <v>10259.3099</v>
      </c>
    </row>
    <row r="160" spans="1:19">
      <c r="A160" s="3037" t="s">
        <v>3352</v>
      </c>
      <c r="B160" s="3038">
        <v>4</v>
      </c>
      <c r="C160" s="3038">
        <v>7</v>
      </c>
      <c r="D160" s="3039" t="s">
        <v>3569</v>
      </c>
      <c r="E160" s="3056" t="s">
        <v>3618</v>
      </c>
      <c r="F160" s="3041">
        <v>78.19</v>
      </c>
      <c r="G160" s="3042">
        <v>78.19</v>
      </c>
      <c r="H160" s="3080">
        <v>43617</v>
      </c>
      <c r="I160" s="3043">
        <v>44347</v>
      </c>
      <c r="J160" s="3044">
        <v>24</v>
      </c>
      <c r="K160" s="3055">
        <v>131.21</v>
      </c>
      <c r="L160" s="3046">
        <f t="shared" si="4"/>
        <v>4.3736666666666668</v>
      </c>
      <c r="M160" s="3047"/>
      <c r="N160" s="3048"/>
      <c r="O160" s="3049">
        <v>30</v>
      </c>
      <c r="P160" s="3045">
        <v>302520.23759999999</v>
      </c>
      <c r="Q160" s="3051">
        <v>246223.4376</v>
      </c>
      <c r="R160" s="3051">
        <v>56296.800000000003</v>
      </c>
      <c r="S160" s="3034">
        <f t="shared" si="5"/>
        <v>10259.3099</v>
      </c>
    </row>
    <row r="161" spans="1:19">
      <c r="A161" s="3037" t="s">
        <v>3352</v>
      </c>
      <c r="B161" s="3038">
        <v>7</v>
      </c>
      <c r="C161" s="3038">
        <v>7</v>
      </c>
      <c r="D161" s="3039" t="s">
        <v>3515</v>
      </c>
      <c r="E161" s="3056" t="s">
        <v>3619</v>
      </c>
      <c r="F161" s="3041">
        <v>573.55999999999995</v>
      </c>
      <c r="G161" s="3042">
        <v>573.55999999999995</v>
      </c>
      <c r="H161" s="3080">
        <v>43578</v>
      </c>
      <c r="I161" s="3043">
        <v>44308</v>
      </c>
      <c r="J161" s="3044">
        <v>24</v>
      </c>
      <c r="K161" s="3055">
        <v>144.46</v>
      </c>
      <c r="L161" s="3046">
        <f t="shared" si="4"/>
        <v>4.8153333333333332</v>
      </c>
      <c r="M161" s="3047"/>
      <c r="N161" s="3048"/>
      <c r="O161" s="3049">
        <v>35</v>
      </c>
      <c r="P161" s="3045">
        <v>2389188.4109457498</v>
      </c>
      <c r="Q161" s="3051">
        <v>1907288.0131375301</v>
      </c>
      <c r="R161" s="3051">
        <v>481900.39780821902</v>
      </c>
      <c r="S161" s="3034">
        <f t="shared" si="5"/>
        <v>82856.477599999998</v>
      </c>
    </row>
    <row r="162" spans="1:19">
      <c r="A162" s="3037" t="s">
        <v>3352</v>
      </c>
      <c r="B162" s="3038">
        <v>5</v>
      </c>
      <c r="C162" s="3038">
        <v>1</v>
      </c>
      <c r="D162" s="3039" t="s">
        <v>3620</v>
      </c>
      <c r="E162" s="3056" t="s">
        <v>3621</v>
      </c>
      <c r="F162" s="3041">
        <v>1081.28</v>
      </c>
      <c r="G162" s="3042">
        <v>1081.28</v>
      </c>
      <c r="H162" s="3080">
        <v>43607</v>
      </c>
      <c r="I162" s="3043">
        <v>44337</v>
      </c>
      <c r="J162" s="3044">
        <v>24</v>
      </c>
      <c r="K162" s="3055">
        <v>117.08</v>
      </c>
      <c r="L162" s="3046">
        <f t="shared" si="4"/>
        <v>3.9026666666666667</v>
      </c>
      <c r="M162" s="3047"/>
      <c r="N162" s="3048"/>
      <c r="O162" s="3049">
        <v>35</v>
      </c>
      <c r="P162" s="3045">
        <v>3822624.4774926002</v>
      </c>
      <c r="Q162" s="3051">
        <v>2914141.9087254801</v>
      </c>
      <c r="R162" s="3051">
        <v>908482.56876712304</v>
      </c>
      <c r="S162" s="3034">
        <f t="shared" si="5"/>
        <v>126596.26239999999</v>
      </c>
    </row>
    <row r="163" spans="1:19">
      <c r="A163" s="3037" t="s">
        <v>3352</v>
      </c>
      <c r="B163" s="3038">
        <v>5</v>
      </c>
      <c r="C163" s="3038">
        <v>5</v>
      </c>
      <c r="D163" s="3039" t="s">
        <v>3421</v>
      </c>
      <c r="E163" s="3056" t="s">
        <v>3622</v>
      </c>
      <c r="F163" s="3041">
        <v>481.33</v>
      </c>
      <c r="G163" s="3042">
        <v>481.33</v>
      </c>
      <c r="H163" s="3080">
        <v>43617</v>
      </c>
      <c r="I163" s="3043">
        <v>44712</v>
      </c>
      <c r="J163" s="3044">
        <v>36</v>
      </c>
      <c r="K163" s="3055">
        <v>120.13</v>
      </c>
      <c r="L163" s="3046">
        <f t="shared" si="4"/>
        <v>4.0043333333333333</v>
      </c>
      <c r="M163" s="3047"/>
      <c r="N163" s="3048"/>
      <c r="O163" s="3049">
        <v>35</v>
      </c>
      <c r="P163" s="3045">
        <v>2658536.1210123301</v>
      </c>
      <c r="Q163" s="3051">
        <v>2052291.09566986</v>
      </c>
      <c r="R163" s="3051">
        <v>606245.02534246596</v>
      </c>
      <c r="S163" s="3034">
        <f t="shared" si="5"/>
        <v>57822.172899999998</v>
      </c>
    </row>
    <row r="164" spans="1:19">
      <c r="A164" s="3037" t="s">
        <v>3352</v>
      </c>
      <c r="B164" s="3038">
        <v>2</v>
      </c>
      <c r="C164" s="3038">
        <v>6</v>
      </c>
      <c r="D164" s="3039" t="s">
        <v>3623</v>
      </c>
      <c r="E164" s="3056" t="s">
        <v>3624</v>
      </c>
      <c r="F164" s="3041">
        <v>929.38</v>
      </c>
      <c r="G164" s="3042">
        <v>929.38</v>
      </c>
      <c r="H164" s="3080">
        <v>43617</v>
      </c>
      <c r="I164" s="3043">
        <v>44712</v>
      </c>
      <c r="J164" s="3044">
        <v>36</v>
      </c>
      <c r="K164" s="3055">
        <v>117.08</v>
      </c>
      <c r="L164" s="3046">
        <f t="shared" si="4"/>
        <v>3.9026666666666667</v>
      </c>
      <c r="M164" s="3047"/>
      <c r="N164" s="3048"/>
      <c r="O164" s="3049">
        <v>35</v>
      </c>
      <c r="P164" s="3045">
        <v>4870798.59086027</v>
      </c>
      <c r="Q164" s="3051">
        <v>3699601.5536000002</v>
      </c>
      <c r="R164" s="3051">
        <v>1171197.03726027</v>
      </c>
      <c r="S164" s="3034">
        <f t="shared" si="5"/>
        <v>108811.8104</v>
      </c>
    </row>
    <row r="165" spans="1:19">
      <c r="A165" s="3037" t="s">
        <v>3352</v>
      </c>
      <c r="B165" s="3038">
        <v>2</v>
      </c>
      <c r="C165" s="3038">
        <v>6</v>
      </c>
      <c r="D165" s="3039" t="s">
        <v>3611</v>
      </c>
      <c r="E165" s="3056" t="s">
        <v>3625</v>
      </c>
      <c r="F165" s="3041">
        <v>223.18</v>
      </c>
      <c r="G165" s="3042">
        <v>223.18</v>
      </c>
      <c r="H165" s="3080">
        <v>43617</v>
      </c>
      <c r="I165" s="3043">
        <v>44712</v>
      </c>
      <c r="J165" s="3044">
        <v>36</v>
      </c>
      <c r="K165" s="3055">
        <v>117.08</v>
      </c>
      <c r="L165" s="3046">
        <f t="shared" si="4"/>
        <v>3.9026666666666667</v>
      </c>
      <c r="M165" s="3047"/>
      <c r="N165" s="3048"/>
      <c r="O165" s="3049">
        <v>35</v>
      </c>
      <c r="P165" s="3045">
        <v>1169666.6912438399</v>
      </c>
      <c r="Q165" s="3051">
        <v>888417.08959999995</v>
      </c>
      <c r="R165" s="3051">
        <v>281249.60164383601</v>
      </c>
      <c r="S165" s="3034">
        <f t="shared" si="5"/>
        <v>26129.914400000001</v>
      </c>
    </row>
    <row r="166" spans="1:19">
      <c r="A166" s="3037" t="s">
        <v>3352</v>
      </c>
      <c r="B166" s="3038">
        <v>1</v>
      </c>
      <c r="C166" s="3038" t="s">
        <v>3626</v>
      </c>
      <c r="D166" s="3039" t="s">
        <v>3501</v>
      </c>
      <c r="E166" s="3056" t="s">
        <v>3565</v>
      </c>
      <c r="F166" s="3041">
        <v>180.51</v>
      </c>
      <c r="G166" s="3042">
        <v>180.51</v>
      </c>
      <c r="H166" s="3080">
        <v>43617</v>
      </c>
      <c r="I166" s="3043">
        <v>44165</v>
      </c>
      <c r="J166" s="3044">
        <v>18</v>
      </c>
      <c r="K166" s="3055">
        <v>95.79</v>
      </c>
      <c r="L166" s="3046">
        <f t="shared" si="4"/>
        <v>3.1930000000000001</v>
      </c>
      <c r="M166" s="3047"/>
      <c r="N166" s="3048"/>
      <c r="O166" s="3049">
        <v>35</v>
      </c>
      <c r="P166" s="3045">
        <v>416109.74799041101</v>
      </c>
      <c r="Q166" s="3051">
        <v>302474.99388082197</v>
      </c>
      <c r="R166" s="3051">
        <v>113634.754109589</v>
      </c>
      <c r="S166" s="3034">
        <f t="shared" si="5"/>
        <v>17291.052899999999</v>
      </c>
    </row>
    <row r="167" spans="1:19">
      <c r="A167" s="3037" t="s">
        <v>3352</v>
      </c>
      <c r="B167" s="3038">
        <v>5</v>
      </c>
      <c r="C167" s="3038">
        <v>1</v>
      </c>
      <c r="D167" s="3039" t="s">
        <v>3627</v>
      </c>
      <c r="E167" s="3056" t="s">
        <v>3628</v>
      </c>
      <c r="F167" s="3041">
        <v>697.14</v>
      </c>
      <c r="G167" s="3042">
        <v>697.14</v>
      </c>
      <c r="H167" s="3080">
        <v>43609</v>
      </c>
      <c r="I167" s="3043">
        <v>44704</v>
      </c>
      <c r="J167" s="3044">
        <v>36</v>
      </c>
      <c r="K167" s="3055">
        <v>117.08</v>
      </c>
      <c r="L167" s="3046">
        <f t="shared" si="4"/>
        <v>3.9026666666666667</v>
      </c>
      <c r="M167" s="3047"/>
      <c r="N167" s="3048"/>
      <c r="O167" s="3049">
        <v>35</v>
      </c>
      <c r="P167" s="3045">
        <v>3818791.12363397</v>
      </c>
      <c r="Q167" s="3051">
        <v>2939926.7803463</v>
      </c>
      <c r="R167" s="3051">
        <v>878864.34328767098</v>
      </c>
      <c r="S167" s="3034">
        <f t="shared" si="5"/>
        <v>81621.151199999993</v>
      </c>
    </row>
    <row r="168" spans="1:19">
      <c r="A168" s="3037" t="s">
        <v>3352</v>
      </c>
      <c r="B168" s="3038">
        <v>4</v>
      </c>
      <c r="C168" s="3038">
        <v>9</v>
      </c>
      <c r="D168" s="3039" t="s">
        <v>3629</v>
      </c>
      <c r="E168" s="3056" t="s">
        <v>3630</v>
      </c>
      <c r="F168" s="3041">
        <v>379.56</v>
      </c>
      <c r="G168" s="3042">
        <v>379.56</v>
      </c>
      <c r="H168" s="3080">
        <v>43617</v>
      </c>
      <c r="I168" s="3043">
        <v>44712</v>
      </c>
      <c r="J168" s="3044">
        <v>36</v>
      </c>
      <c r="K168" s="3055">
        <v>120.13</v>
      </c>
      <c r="L168" s="3046">
        <f t="shared" si="4"/>
        <v>4.0043333333333333</v>
      </c>
      <c r="M168" s="3047"/>
      <c r="N168" s="3048"/>
      <c r="O168" s="3049">
        <v>35</v>
      </c>
      <c r="P168" s="3045">
        <v>2052585.8782619201</v>
      </c>
      <c r="Q168" s="3051">
        <v>1574267.4859331499</v>
      </c>
      <c r="R168" s="3051">
        <v>478318.39232876699</v>
      </c>
      <c r="S168" s="3034">
        <f t="shared" si="5"/>
        <v>45596.542799999996</v>
      </c>
    </row>
    <row r="169" spans="1:19">
      <c r="A169" s="3037" t="s">
        <v>3352</v>
      </c>
      <c r="B169" s="3038">
        <v>3</v>
      </c>
      <c r="C169" s="3038">
        <v>3</v>
      </c>
      <c r="D169" s="3039" t="s">
        <v>3363</v>
      </c>
      <c r="E169" s="3056" t="s">
        <v>3631</v>
      </c>
      <c r="F169" s="3041">
        <v>78.19</v>
      </c>
      <c r="G169" s="3042">
        <v>78.19</v>
      </c>
      <c r="H169" s="3080">
        <v>43661</v>
      </c>
      <c r="I169" s="3043">
        <v>44391</v>
      </c>
      <c r="J169" s="3044">
        <v>24</v>
      </c>
      <c r="K169" s="3055">
        <v>147.5</v>
      </c>
      <c r="L169" s="3046">
        <f t="shared" si="4"/>
        <v>4.916666666666667</v>
      </c>
      <c r="M169" s="3047"/>
      <c r="N169" s="3048"/>
      <c r="O169" s="3049">
        <v>35</v>
      </c>
      <c r="P169" s="3045">
        <v>342745.86499999999</v>
      </c>
      <c r="Q169" s="3051">
        <v>277013.78130137001</v>
      </c>
      <c r="R169" s="3051">
        <v>65732.0836986301</v>
      </c>
      <c r="S169" s="3034">
        <f t="shared" si="5"/>
        <v>11533.025</v>
      </c>
    </row>
    <row r="170" spans="1:19">
      <c r="A170" s="3037" t="s">
        <v>3352</v>
      </c>
      <c r="B170" s="3038">
        <v>2</v>
      </c>
      <c r="C170" s="3038">
        <v>3</v>
      </c>
      <c r="D170" s="3039" t="s">
        <v>3382</v>
      </c>
      <c r="E170" s="3056" t="s">
        <v>3632</v>
      </c>
      <c r="F170" s="3041">
        <v>1152.56</v>
      </c>
      <c r="G170" s="3042">
        <v>1152.56</v>
      </c>
      <c r="H170" s="3080">
        <v>43654</v>
      </c>
      <c r="I170" s="3043">
        <v>44019</v>
      </c>
      <c r="J170" s="3044">
        <v>12</v>
      </c>
      <c r="K170" s="3055">
        <v>123.17</v>
      </c>
      <c r="L170" s="3046">
        <f t="shared" si="4"/>
        <v>4.105666666666667</v>
      </c>
      <c r="M170" s="3047"/>
      <c r="N170" s="3048"/>
      <c r="O170" s="3049">
        <v>35</v>
      </c>
      <c r="P170" s="3045">
        <v>1972586.2307287699</v>
      </c>
      <c r="Q170" s="3051">
        <v>1489616.22524932</v>
      </c>
      <c r="R170" s="3051">
        <v>482970.00547945203</v>
      </c>
      <c r="S170" s="3034">
        <f t="shared" si="5"/>
        <v>141960.81519999998</v>
      </c>
    </row>
    <row r="171" spans="1:19">
      <c r="A171" s="3037" t="s">
        <v>3352</v>
      </c>
      <c r="B171" s="3038">
        <v>7</v>
      </c>
      <c r="C171" s="3038">
        <v>9</v>
      </c>
      <c r="D171" s="3039" t="s">
        <v>3511</v>
      </c>
      <c r="E171" s="3056" t="s">
        <v>3633</v>
      </c>
      <c r="F171" s="3041">
        <v>573.55999999999995</v>
      </c>
      <c r="G171" s="3042">
        <v>573.55999999999995</v>
      </c>
      <c r="H171" s="3080">
        <v>43656</v>
      </c>
      <c r="I171" s="3043">
        <v>44386</v>
      </c>
      <c r="J171" s="3044">
        <v>24</v>
      </c>
      <c r="K171" s="3055">
        <v>126.21</v>
      </c>
      <c r="L171" s="3046">
        <f t="shared" si="4"/>
        <v>4.2069999999999999</v>
      </c>
      <c r="M171" s="3047"/>
      <c r="N171" s="3048"/>
      <c r="O171" s="3049">
        <v>35</v>
      </c>
      <c r="P171" s="3045">
        <v>2148895.8417950701</v>
      </c>
      <c r="Q171" s="3051">
        <v>1666335.45713753</v>
      </c>
      <c r="R171" s="3051">
        <v>482560.38465753401</v>
      </c>
      <c r="S171" s="3034">
        <f t="shared" si="5"/>
        <v>72389.007599999983</v>
      </c>
    </row>
    <row r="172" spans="1:19">
      <c r="A172" s="3037" t="s">
        <v>3352</v>
      </c>
      <c r="B172" s="3038">
        <v>2</v>
      </c>
      <c r="C172" s="3038">
        <v>9</v>
      </c>
      <c r="D172" s="3039" t="s">
        <v>3634</v>
      </c>
      <c r="E172" s="3056" t="s">
        <v>3635</v>
      </c>
      <c r="F172" s="3041">
        <v>419.9</v>
      </c>
      <c r="G172" s="3042">
        <v>419.9</v>
      </c>
      <c r="H172" s="3080">
        <v>43647</v>
      </c>
      <c r="I172" s="3043">
        <v>44742</v>
      </c>
      <c r="J172" s="3044">
        <v>36</v>
      </c>
      <c r="K172" s="3055">
        <v>126.21</v>
      </c>
      <c r="L172" s="3046">
        <f t="shared" si="4"/>
        <v>4.2069999999999999</v>
      </c>
      <c r="M172" s="3047"/>
      <c r="N172" s="3048"/>
      <c r="O172" s="3049">
        <v>35</v>
      </c>
      <c r="P172" s="3045">
        <v>2385943.4360904102</v>
      </c>
      <c r="Q172" s="3051">
        <v>1856587.5854054799</v>
      </c>
      <c r="R172" s="3051">
        <v>529355.85068493104</v>
      </c>
      <c r="S172" s="3034">
        <f t="shared" si="5"/>
        <v>52995.578999999998</v>
      </c>
    </row>
    <row r="173" spans="1:19" s="3072" customFormat="1">
      <c r="A173" s="3057" t="s">
        <v>3352</v>
      </c>
      <c r="B173" s="3058">
        <v>7</v>
      </c>
      <c r="C173" s="3058">
        <v>9</v>
      </c>
      <c r="D173" s="3081" t="s">
        <v>3636</v>
      </c>
      <c r="E173" s="3082" t="s">
        <v>3637</v>
      </c>
      <c r="F173" s="3061">
        <v>287.70999999999998</v>
      </c>
      <c r="G173" s="3062">
        <v>287.70999999999998</v>
      </c>
      <c r="H173" s="3083">
        <v>43668</v>
      </c>
      <c r="I173" s="3063">
        <v>44763</v>
      </c>
      <c r="J173" s="3064">
        <v>36</v>
      </c>
      <c r="K173" s="3084">
        <v>132.29</v>
      </c>
      <c r="L173" s="3065">
        <f t="shared" si="4"/>
        <v>4.4096666666666664</v>
      </c>
      <c r="M173" s="3066"/>
      <c r="N173" s="3067"/>
      <c r="O173" s="3068">
        <v>35</v>
      </c>
      <c r="P173" s="3065">
        <v>1695771.23729808</v>
      </c>
      <c r="Q173" s="3070">
        <v>1332870.39647616</v>
      </c>
      <c r="R173" s="3070">
        <v>362900.84082191798</v>
      </c>
      <c r="S173" s="3071">
        <f t="shared" si="5"/>
        <v>38061.155899999998</v>
      </c>
    </row>
    <row r="174" spans="1:19">
      <c r="A174" s="3037" t="s">
        <v>3638</v>
      </c>
      <c r="B174" s="3038">
        <v>6</v>
      </c>
      <c r="C174" s="3038">
        <v>1</v>
      </c>
      <c r="D174" s="3039"/>
      <c r="E174" s="3040" t="s">
        <v>3639</v>
      </c>
      <c r="F174" s="3041">
        <v>741</v>
      </c>
      <c r="G174" s="3042">
        <v>741</v>
      </c>
      <c r="H174" s="3043">
        <v>41864</v>
      </c>
      <c r="I174" s="3043">
        <v>45516</v>
      </c>
      <c r="J174" s="3044">
        <v>120</v>
      </c>
      <c r="K174" s="3045">
        <v>502</v>
      </c>
      <c r="L174" s="3046">
        <f t="shared" si="4"/>
        <v>16.733333333333334</v>
      </c>
      <c r="M174" s="3047">
        <v>50</v>
      </c>
      <c r="N174" s="3048"/>
      <c r="O174" s="3049"/>
      <c r="P174" s="3050">
        <v>46993775.399999999</v>
      </c>
      <c r="Q174" s="3051">
        <v>42458855.399999999</v>
      </c>
      <c r="R174" s="3051">
        <v>4534920</v>
      </c>
    </row>
    <row r="175" spans="1:19">
      <c r="A175" s="3037" t="s">
        <v>3638</v>
      </c>
      <c r="B175" s="3038">
        <v>9</v>
      </c>
      <c r="C175" s="3038">
        <v>1</v>
      </c>
      <c r="D175" s="3039"/>
      <c r="E175" s="3040" t="s">
        <v>3640</v>
      </c>
      <c r="F175" s="3041">
        <v>298</v>
      </c>
      <c r="G175" s="3042">
        <v>298</v>
      </c>
      <c r="H175" s="3043">
        <v>42675</v>
      </c>
      <c r="I175" s="3043">
        <v>45596</v>
      </c>
      <c r="J175" s="3044">
        <v>96</v>
      </c>
      <c r="K175" s="3045">
        <v>240</v>
      </c>
      <c r="L175" s="3046">
        <f t="shared" si="4"/>
        <v>8</v>
      </c>
      <c r="M175" s="3047">
        <v>50</v>
      </c>
      <c r="N175" s="3048"/>
      <c r="O175" s="3049"/>
      <c r="P175" s="3050">
        <v>8197980</v>
      </c>
      <c r="Q175" s="3051">
        <v>8153280</v>
      </c>
      <c r="R175" s="3051">
        <v>44700</v>
      </c>
    </row>
    <row r="176" spans="1:19">
      <c r="A176" s="3037" t="s">
        <v>3638</v>
      </c>
      <c r="B176" s="3038">
        <v>6</v>
      </c>
      <c r="C176" s="3038" t="s">
        <v>3365</v>
      </c>
      <c r="D176" s="3039"/>
      <c r="E176" s="3040" t="s">
        <v>3641</v>
      </c>
      <c r="F176" s="3041">
        <v>1545</v>
      </c>
      <c r="G176" s="3042">
        <v>1545</v>
      </c>
      <c r="H176" s="3043">
        <v>42659</v>
      </c>
      <c r="I176" s="3043">
        <v>44727</v>
      </c>
      <c r="J176" s="3044">
        <v>68</v>
      </c>
      <c r="K176" s="3045">
        <v>226.54</v>
      </c>
      <c r="L176" s="3046">
        <f t="shared" si="4"/>
        <v>7.551333333333333</v>
      </c>
      <c r="M176" s="3047"/>
      <c r="N176" s="3048"/>
      <c r="O176" s="3049"/>
      <c r="P176" s="3050">
        <v>4190000</v>
      </c>
      <c r="Q176" s="3051">
        <v>4190000</v>
      </c>
      <c r="R176" s="3051">
        <v>0</v>
      </c>
    </row>
    <row r="177" spans="1:18">
      <c r="A177" s="3037" t="s">
        <v>3638</v>
      </c>
      <c r="B177" s="3038">
        <v>13</v>
      </c>
      <c r="C177" s="3038" t="s">
        <v>3642</v>
      </c>
      <c r="D177" s="3039"/>
      <c r="E177" s="3040" t="s">
        <v>3643</v>
      </c>
      <c r="F177" s="3041">
        <v>46</v>
      </c>
      <c r="G177" s="3042">
        <v>46</v>
      </c>
      <c r="H177" s="3043">
        <v>42795</v>
      </c>
      <c r="I177" s="3043">
        <v>43890</v>
      </c>
      <c r="J177" s="3044">
        <v>36</v>
      </c>
      <c r="K177" s="3045">
        <v>120</v>
      </c>
      <c r="L177" s="3046">
        <f t="shared" si="4"/>
        <v>4</v>
      </c>
      <c r="M177" s="3047"/>
      <c r="N177" s="3048"/>
      <c r="O177" s="3049"/>
      <c r="P177" s="3050">
        <v>204240</v>
      </c>
      <c r="Q177" s="3051">
        <v>204240</v>
      </c>
      <c r="R177" s="3051">
        <v>0</v>
      </c>
    </row>
    <row r="178" spans="1:18">
      <c r="A178" s="3037" t="s">
        <v>3638</v>
      </c>
      <c r="B178" s="3038">
        <v>13</v>
      </c>
      <c r="C178" s="3038" t="s">
        <v>3642</v>
      </c>
      <c r="D178" s="3039"/>
      <c r="E178" s="3040" t="s">
        <v>3644</v>
      </c>
      <c r="F178" s="3041">
        <v>142</v>
      </c>
      <c r="G178" s="3042">
        <v>142</v>
      </c>
      <c r="H178" s="3043">
        <v>43297</v>
      </c>
      <c r="I178" s="3043">
        <v>44408</v>
      </c>
      <c r="J178" s="3044">
        <v>36</v>
      </c>
      <c r="K178" s="3045">
        <v>110</v>
      </c>
      <c r="L178" s="3046">
        <f t="shared" si="4"/>
        <v>3.6666666666666665</v>
      </c>
      <c r="M178" s="3047"/>
      <c r="N178" s="3048"/>
      <c r="O178" s="3049"/>
      <c r="P178" s="3050">
        <v>872590</v>
      </c>
      <c r="Q178" s="3051">
        <v>613440</v>
      </c>
      <c r="R178" s="3051">
        <v>259150</v>
      </c>
    </row>
    <row r="179" spans="1:18">
      <c r="A179" s="3037" t="s">
        <v>3638</v>
      </c>
      <c r="B179" s="3038">
        <v>13</v>
      </c>
      <c r="C179" s="3038" t="s">
        <v>3642</v>
      </c>
      <c r="D179" s="3039"/>
      <c r="E179" s="3040" t="s">
        <v>3645</v>
      </c>
      <c r="F179" s="3041">
        <v>28</v>
      </c>
      <c r="G179" s="3042">
        <v>28</v>
      </c>
      <c r="H179" s="3043">
        <v>43466</v>
      </c>
      <c r="I179" s="3043">
        <v>43830</v>
      </c>
      <c r="J179" s="3044">
        <v>12</v>
      </c>
      <c r="K179" s="3045"/>
      <c r="L179" s="3046">
        <f t="shared" si="4"/>
        <v>0</v>
      </c>
      <c r="M179" s="3047"/>
      <c r="N179" s="3048"/>
      <c r="O179" s="3049"/>
      <c r="P179" s="3050">
        <v>60000</v>
      </c>
      <c r="Q179" s="3051">
        <v>60000</v>
      </c>
      <c r="R179" s="3051"/>
    </row>
    <row r="180" spans="1:18">
      <c r="A180" s="3037" t="s">
        <v>3638</v>
      </c>
      <c r="B180" s="3038">
        <v>13</v>
      </c>
      <c r="C180" s="3038" t="s">
        <v>3642</v>
      </c>
      <c r="D180" s="3039"/>
      <c r="E180" s="3040" t="s">
        <v>3646</v>
      </c>
      <c r="F180" s="3041">
        <v>262</v>
      </c>
      <c r="G180" s="3042">
        <v>262</v>
      </c>
      <c r="H180" s="3043">
        <v>41974</v>
      </c>
      <c r="I180" s="3043">
        <v>43799</v>
      </c>
      <c r="J180" s="3044">
        <v>60</v>
      </c>
      <c r="K180" s="3045"/>
      <c r="L180" s="3046">
        <f t="shared" si="4"/>
        <v>0</v>
      </c>
      <c r="M180" s="3047"/>
      <c r="N180" s="3048"/>
      <c r="O180" s="3049"/>
      <c r="P180" s="3050">
        <v>0</v>
      </c>
      <c r="Q180" s="3051">
        <v>0</v>
      </c>
      <c r="R180" s="3051">
        <v>0</v>
      </c>
    </row>
    <row r="181" spans="1:18">
      <c r="A181" s="3037" t="s">
        <v>3638</v>
      </c>
      <c r="B181" s="3038">
        <v>13</v>
      </c>
      <c r="C181" s="3038" t="s">
        <v>3642</v>
      </c>
      <c r="D181" s="3039"/>
      <c r="E181" s="3040" t="s">
        <v>3647</v>
      </c>
      <c r="F181" s="3041">
        <v>75</v>
      </c>
      <c r="G181" s="3042">
        <v>75</v>
      </c>
      <c r="H181" s="3043">
        <v>43101</v>
      </c>
      <c r="I181" s="3043">
        <v>43890</v>
      </c>
      <c r="J181" s="3044">
        <v>26</v>
      </c>
      <c r="K181" s="3045">
        <v>105</v>
      </c>
      <c r="L181" s="3046">
        <f t="shared" si="4"/>
        <v>3.5</v>
      </c>
      <c r="M181" s="3047">
        <v>50</v>
      </c>
      <c r="N181" s="3048"/>
      <c r="O181" s="3049"/>
      <c r="P181" s="3050">
        <v>196500</v>
      </c>
      <c r="Q181" s="3051">
        <v>189000</v>
      </c>
      <c r="R181" s="3051">
        <v>7500</v>
      </c>
    </row>
    <row r="182" spans="1:18">
      <c r="A182" s="3037" t="s">
        <v>3638</v>
      </c>
      <c r="B182" s="3038">
        <v>13</v>
      </c>
      <c r="C182" s="3038" t="s">
        <v>3642</v>
      </c>
      <c r="D182" s="3039"/>
      <c r="E182" s="3040" t="s">
        <v>3648</v>
      </c>
      <c r="F182" s="3041">
        <v>161</v>
      </c>
      <c r="G182" s="3042">
        <v>161</v>
      </c>
      <c r="H182" s="3043">
        <v>41883</v>
      </c>
      <c r="I182" s="3043">
        <v>43708</v>
      </c>
      <c r="J182" s="3044">
        <v>60</v>
      </c>
      <c r="K182" s="3045">
        <v>248</v>
      </c>
      <c r="L182" s="3046">
        <f t="shared" si="4"/>
        <v>8.2666666666666675</v>
      </c>
      <c r="M182" s="3047">
        <v>50</v>
      </c>
      <c r="N182" s="3048"/>
      <c r="O182" s="3049"/>
      <c r="P182" s="3050">
        <v>2332117.2000000002</v>
      </c>
      <c r="Q182" s="3051">
        <v>1849117.2</v>
      </c>
      <c r="R182" s="3051">
        <v>483000</v>
      </c>
    </row>
    <row r="183" spans="1:18">
      <c r="A183" s="3037" t="s">
        <v>3638</v>
      </c>
      <c r="B183" s="3038">
        <v>13</v>
      </c>
      <c r="C183" s="3038" t="s">
        <v>3642</v>
      </c>
      <c r="D183" s="3039"/>
      <c r="E183" s="3040" t="s">
        <v>3649</v>
      </c>
      <c r="F183" s="3041">
        <v>36</v>
      </c>
      <c r="G183" s="3042">
        <v>36</v>
      </c>
      <c r="H183" s="3043">
        <v>42681</v>
      </c>
      <c r="I183" s="3043">
        <v>43775</v>
      </c>
      <c r="J183" s="3044">
        <v>36</v>
      </c>
      <c r="K183" s="3045">
        <v>243</v>
      </c>
      <c r="L183" s="3046">
        <f t="shared" si="4"/>
        <v>8.1</v>
      </c>
      <c r="M183" s="3047">
        <v>50</v>
      </c>
      <c r="N183" s="3048"/>
      <c r="O183" s="3049"/>
      <c r="P183" s="3050">
        <v>310500</v>
      </c>
      <c r="Q183" s="3051">
        <v>305100</v>
      </c>
      <c r="R183" s="3051">
        <v>5400</v>
      </c>
    </row>
    <row r="184" spans="1:18">
      <c r="A184" s="3037" t="s">
        <v>3638</v>
      </c>
      <c r="B184" s="3038">
        <v>13</v>
      </c>
      <c r="C184" s="3038" t="s">
        <v>3642</v>
      </c>
      <c r="D184" s="3039"/>
      <c r="E184" s="3040" t="s">
        <v>3650</v>
      </c>
      <c r="F184" s="3041">
        <v>145</v>
      </c>
      <c r="G184" s="3042">
        <v>145</v>
      </c>
      <c r="H184" s="3043">
        <v>41866</v>
      </c>
      <c r="I184" s="3043">
        <v>44787</v>
      </c>
      <c r="J184" s="3044">
        <v>96</v>
      </c>
      <c r="K184" s="3045">
        <v>240</v>
      </c>
      <c r="L184" s="3046">
        <f t="shared" si="4"/>
        <v>8</v>
      </c>
      <c r="M184" s="3047">
        <v>50</v>
      </c>
      <c r="N184" s="3048"/>
      <c r="O184" s="3049"/>
      <c r="P184" s="3050">
        <v>3644720</v>
      </c>
      <c r="Q184" s="3051">
        <v>2948720</v>
      </c>
      <c r="R184" s="3051">
        <v>696000</v>
      </c>
    </row>
    <row r="185" spans="1:18">
      <c r="A185" s="3037" t="s">
        <v>3638</v>
      </c>
      <c r="B185" s="3038">
        <v>13</v>
      </c>
      <c r="C185" s="3038" t="s">
        <v>3642</v>
      </c>
      <c r="D185" s="3039"/>
      <c r="E185" s="3056" t="s">
        <v>3651</v>
      </c>
      <c r="F185" s="3041">
        <v>21</v>
      </c>
      <c r="G185" s="3042">
        <v>21</v>
      </c>
      <c r="H185" s="3043">
        <v>43449</v>
      </c>
      <c r="I185" s="3043">
        <v>43813</v>
      </c>
      <c r="J185" s="3044">
        <v>12</v>
      </c>
      <c r="K185" s="3045"/>
      <c r="L185" s="3046">
        <f t="shared" si="4"/>
        <v>0</v>
      </c>
      <c r="M185" s="3047"/>
      <c r="N185" s="3048"/>
      <c r="O185" s="3049"/>
      <c r="P185" s="3050">
        <v>18000</v>
      </c>
      <c r="Q185" s="3051">
        <v>18000</v>
      </c>
      <c r="R185" s="3051">
        <v>0</v>
      </c>
    </row>
    <row r="186" spans="1:18">
      <c r="A186" s="3037" t="s">
        <v>3638</v>
      </c>
      <c r="B186" s="3038">
        <v>13</v>
      </c>
      <c r="C186" s="3038" t="s">
        <v>3642</v>
      </c>
      <c r="D186" s="3039"/>
      <c r="E186" s="3040" t="s">
        <v>3652</v>
      </c>
      <c r="F186" s="3041">
        <v>275</v>
      </c>
      <c r="G186" s="3042">
        <v>275</v>
      </c>
      <c r="H186" s="3043">
        <v>41365</v>
      </c>
      <c r="I186" s="3043">
        <v>45016</v>
      </c>
      <c r="J186" s="3044">
        <v>120</v>
      </c>
      <c r="K186" s="3085">
        <v>60</v>
      </c>
      <c r="L186" s="3046">
        <f t="shared" si="4"/>
        <v>2</v>
      </c>
      <c r="M186" s="3086">
        <v>50</v>
      </c>
      <c r="N186" s="3087"/>
      <c r="O186" s="3088"/>
      <c r="P186" s="3050">
        <v>4298250</v>
      </c>
      <c r="Q186" s="3051">
        <v>2648250</v>
      </c>
      <c r="R186" s="3051">
        <v>1650000</v>
      </c>
    </row>
    <row r="187" spans="1:18">
      <c r="A187" s="3089" t="s">
        <v>3638</v>
      </c>
      <c r="B187" s="3075">
        <v>13</v>
      </c>
      <c r="C187" s="3075" t="s">
        <v>3642</v>
      </c>
      <c r="D187" s="3076"/>
      <c r="E187" s="3040" t="s">
        <v>3652</v>
      </c>
      <c r="F187" s="3090">
        <v>2172</v>
      </c>
      <c r="G187" s="3042">
        <v>2172</v>
      </c>
      <c r="H187" s="3075"/>
      <c r="I187" s="3075"/>
      <c r="J187" s="3091"/>
      <c r="K187" s="3092">
        <v>60</v>
      </c>
      <c r="L187" s="3046">
        <f t="shared" si="4"/>
        <v>2</v>
      </c>
      <c r="M187" s="3093">
        <v>50</v>
      </c>
      <c r="N187" s="3094"/>
      <c r="O187" s="3095"/>
      <c r="P187" s="3096">
        <v>32290026</v>
      </c>
      <c r="Q187" s="3097">
        <v>19258026</v>
      </c>
      <c r="R187" s="3097">
        <v>13032000</v>
      </c>
    </row>
    <row r="188" spans="1:18">
      <c r="A188" s="3037" t="s">
        <v>3638</v>
      </c>
      <c r="B188" s="3038">
        <v>13</v>
      </c>
      <c r="C188" s="3038" t="s">
        <v>3642</v>
      </c>
      <c r="D188" s="3039"/>
      <c r="E188" s="3040" t="s">
        <v>3653</v>
      </c>
      <c r="F188" s="3041">
        <v>142</v>
      </c>
      <c r="G188" s="3042">
        <v>142</v>
      </c>
      <c r="H188" s="3043">
        <v>41958</v>
      </c>
      <c r="I188" s="3043">
        <v>43783</v>
      </c>
      <c r="J188" s="3044">
        <v>60</v>
      </c>
      <c r="K188" s="3045">
        <v>195</v>
      </c>
      <c r="L188" s="3046">
        <f t="shared" si="4"/>
        <v>6.5</v>
      </c>
      <c r="M188" s="3047">
        <v>50</v>
      </c>
      <c r="N188" s="3048"/>
      <c r="O188" s="3049"/>
      <c r="P188" s="3050">
        <v>1776783.7534246601</v>
      </c>
      <c r="Q188" s="3051">
        <v>1350881.01369863</v>
      </c>
      <c r="R188" s="3051">
        <v>425902.73972602701</v>
      </c>
    </row>
    <row r="189" spans="1:18">
      <c r="A189" s="3037" t="s">
        <v>3638</v>
      </c>
      <c r="B189" s="3038">
        <v>13</v>
      </c>
      <c r="C189" s="3038" t="s">
        <v>3642</v>
      </c>
      <c r="D189" s="3039"/>
      <c r="E189" s="3040" t="s">
        <v>3654</v>
      </c>
      <c r="F189" s="3041">
        <v>96</v>
      </c>
      <c r="G189" s="3042">
        <v>96</v>
      </c>
      <c r="H189" s="3043">
        <v>43221</v>
      </c>
      <c r="I189" s="3043">
        <v>43404</v>
      </c>
      <c r="J189" s="3044">
        <v>6</v>
      </c>
      <c r="K189" s="3045"/>
      <c r="L189" s="3046">
        <f t="shared" si="4"/>
        <v>0</v>
      </c>
      <c r="M189" s="3047"/>
      <c r="N189" s="3048"/>
      <c r="O189" s="3049"/>
      <c r="P189" s="3050">
        <v>30000</v>
      </c>
      <c r="Q189" s="3051">
        <v>30000</v>
      </c>
      <c r="R189" s="3051">
        <v>0</v>
      </c>
    </row>
    <row r="190" spans="1:18">
      <c r="A190" s="3037" t="s">
        <v>3638</v>
      </c>
      <c r="B190" s="3038">
        <v>13</v>
      </c>
      <c r="C190" s="3038" t="s">
        <v>3642</v>
      </c>
      <c r="D190" s="3039"/>
      <c r="E190" s="3040" t="s">
        <v>3362</v>
      </c>
      <c r="F190" s="3041">
        <v>18</v>
      </c>
      <c r="G190" s="3042">
        <v>18</v>
      </c>
      <c r="H190" s="3043">
        <v>43540</v>
      </c>
      <c r="I190" s="3043">
        <v>43905</v>
      </c>
      <c r="J190" s="3044">
        <v>12</v>
      </c>
      <c r="K190" s="3045"/>
      <c r="L190" s="3046">
        <f t="shared" si="4"/>
        <v>0</v>
      </c>
      <c r="M190" s="3047"/>
      <c r="N190" s="3048"/>
      <c r="O190" s="3049"/>
      <c r="P190" s="3050">
        <v>19710</v>
      </c>
      <c r="Q190" s="3051">
        <v>19710</v>
      </c>
      <c r="R190" s="3051"/>
    </row>
    <row r="191" spans="1:18">
      <c r="A191" s="3037" t="s">
        <v>3638</v>
      </c>
      <c r="B191" s="3038">
        <v>13</v>
      </c>
      <c r="C191" s="3038" t="s">
        <v>3642</v>
      </c>
      <c r="D191" s="3039"/>
      <c r="E191" s="3040" t="s">
        <v>3655</v>
      </c>
      <c r="F191" s="3041">
        <v>1.5</v>
      </c>
      <c r="G191" s="3042">
        <v>1.5</v>
      </c>
      <c r="H191" s="3043">
        <v>42705</v>
      </c>
      <c r="I191" s="3043">
        <v>43069</v>
      </c>
      <c r="J191" s="3044">
        <v>12</v>
      </c>
      <c r="K191" s="3045"/>
      <c r="L191" s="3046">
        <f t="shared" si="4"/>
        <v>0</v>
      </c>
      <c r="M191" s="3047"/>
      <c r="N191" s="3048"/>
      <c r="O191" s="3049"/>
      <c r="P191" s="3050">
        <v>15000</v>
      </c>
      <c r="Q191" s="3051">
        <v>15000</v>
      </c>
      <c r="R191" s="3051">
        <v>0</v>
      </c>
    </row>
    <row r="192" spans="1:18">
      <c r="A192" s="3037" t="s">
        <v>3638</v>
      </c>
      <c r="B192" s="3038">
        <v>13</v>
      </c>
      <c r="C192" s="3038" t="s">
        <v>3642</v>
      </c>
      <c r="D192" s="3039"/>
      <c r="E192" s="3040" t="s">
        <v>3656</v>
      </c>
      <c r="F192" s="3041">
        <v>1.5</v>
      </c>
      <c r="G192" s="3042">
        <v>1.5</v>
      </c>
      <c r="H192" s="3043">
        <v>42623</v>
      </c>
      <c r="I192" s="3043">
        <v>42987</v>
      </c>
      <c r="J192" s="3044">
        <v>12</v>
      </c>
      <c r="K192" s="3045"/>
      <c r="L192" s="3046">
        <f t="shared" si="4"/>
        <v>0</v>
      </c>
      <c r="M192" s="3047"/>
      <c r="N192" s="3048"/>
      <c r="O192" s="3049"/>
      <c r="P192" s="3050"/>
      <c r="Q192" s="3051">
        <v>0</v>
      </c>
      <c r="R192" s="3051">
        <v>0</v>
      </c>
    </row>
    <row r="193" spans="1:18">
      <c r="A193" s="3037" t="s">
        <v>3638</v>
      </c>
      <c r="B193" s="3038">
        <v>13</v>
      </c>
      <c r="C193" s="3038" t="s">
        <v>3642</v>
      </c>
      <c r="D193" s="3039"/>
      <c r="E193" s="3056" t="s">
        <v>3657</v>
      </c>
      <c r="F193" s="3041">
        <v>1.5</v>
      </c>
      <c r="G193" s="3042">
        <v>1.5</v>
      </c>
      <c r="H193" s="3043">
        <v>43420</v>
      </c>
      <c r="I193" s="3043">
        <v>44515</v>
      </c>
      <c r="J193" s="3044">
        <v>36</v>
      </c>
      <c r="K193" s="3045"/>
      <c r="L193" s="3046">
        <f t="shared" si="4"/>
        <v>0</v>
      </c>
      <c r="M193" s="3047"/>
      <c r="N193" s="3048"/>
      <c r="O193" s="3049"/>
      <c r="P193" s="3050">
        <v>60000</v>
      </c>
      <c r="Q193" s="3051">
        <v>60000</v>
      </c>
      <c r="R193" s="3051">
        <v>0</v>
      </c>
    </row>
    <row r="194" spans="1:18">
      <c r="A194" s="3037" t="s">
        <v>3638</v>
      </c>
      <c r="B194" s="3038">
        <v>13</v>
      </c>
      <c r="C194" s="3038" t="s">
        <v>3642</v>
      </c>
      <c r="D194" s="3039"/>
      <c r="E194" s="3040" t="s">
        <v>3356</v>
      </c>
      <c r="F194" s="3041">
        <v>37</v>
      </c>
      <c r="G194" s="3042">
        <v>37</v>
      </c>
      <c r="H194" s="3043">
        <v>43540</v>
      </c>
      <c r="I194" s="3043">
        <v>43905</v>
      </c>
      <c r="J194" s="3044">
        <v>12</v>
      </c>
      <c r="K194" s="3045"/>
      <c r="L194" s="3046">
        <f t="shared" si="4"/>
        <v>0</v>
      </c>
      <c r="M194" s="3047"/>
      <c r="N194" s="3048"/>
      <c r="O194" s="3049"/>
      <c r="P194" s="3050">
        <v>40515</v>
      </c>
      <c r="Q194" s="3051">
        <v>40515</v>
      </c>
      <c r="R194" s="3051"/>
    </row>
    <row r="195" spans="1:18">
      <c r="A195" s="3037" t="s">
        <v>3638</v>
      </c>
      <c r="B195" s="3038">
        <v>13</v>
      </c>
      <c r="C195" s="3038" t="s">
        <v>3642</v>
      </c>
      <c r="D195" s="3039"/>
      <c r="E195" s="3056" t="s">
        <v>3658</v>
      </c>
      <c r="F195" s="3041">
        <v>9</v>
      </c>
      <c r="G195" s="3042">
        <v>9</v>
      </c>
      <c r="H195" s="3043">
        <v>43466</v>
      </c>
      <c r="I195" s="3043">
        <v>43830</v>
      </c>
      <c r="J195" s="3044">
        <v>12</v>
      </c>
      <c r="K195" s="3045"/>
      <c r="L195" s="3046">
        <f t="shared" ref="L195:L229" si="6">K195/30</f>
        <v>0</v>
      </c>
      <c r="M195" s="3047"/>
      <c r="N195" s="3048"/>
      <c r="O195" s="3049"/>
      <c r="P195" s="3050">
        <v>8400</v>
      </c>
      <c r="Q195" s="3051">
        <v>8400</v>
      </c>
      <c r="R195" s="3051">
        <v>0</v>
      </c>
    </row>
    <row r="196" spans="1:18">
      <c r="A196" s="3037" t="s">
        <v>3638</v>
      </c>
      <c r="B196" s="3038">
        <v>13</v>
      </c>
      <c r="C196" s="3038" t="s">
        <v>3642</v>
      </c>
      <c r="D196" s="3039"/>
      <c r="E196" s="3040" t="s">
        <v>3659</v>
      </c>
      <c r="F196" s="3041">
        <v>186</v>
      </c>
      <c r="G196" s="3042">
        <v>186</v>
      </c>
      <c r="H196" s="3043">
        <v>42156</v>
      </c>
      <c r="I196" s="3043">
        <v>43982</v>
      </c>
      <c r="J196" s="3044">
        <v>60</v>
      </c>
      <c r="K196" s="3045">
        <v>60</v>
      </c>
      <c r="L196" s="3046">
        <f t="shared" si="6"/>
        <v>2</v>
      </c>
      <c r="M196" s="3047">
        <v>50</v>
      </c>
      <c r="N196" s="3048"/>
      <c r="O196" s="3049"/>
      <c r="P196" s="3050">
        <v>721352.64</v>
      </c>
      <c r="Q196" s="3051">
        <v>178232.64</v>
      </c>
      <c r="R196" s="3051">
        <v>543120</v>
      </c>
    </row>
    <row r="197" spans="1:18">
      <c r="A197" s="3037" t="s">
        <v>3638</v>
      </c>
      <c r="B197" s="3038"/>
      <c r="C197" s="3038" t="s">
        <v>3642</v>
      </c>
      <c r="D197" s="3039" t="s">
        <v>3660</v>
      </c>
      <c r="E197" s="3056" t="s">
        <v>3661</v>
      </c>
      <c r="F197" s="3041">
        <v>15</v>
      </c>
      <c r="G197" s="3042">
        <v>15</v>
      </c>
      <c r="H197" s="3043">
        <v>43466</v>
      </c>
      <c r="I197" s="3043">
        <v>43830</v>
      </c>
      <c r="J197" s="3044">
        <v>12</v>
      </c>
      <c r="K197" s="3045"/>
      <c r="L197" s="3046">
        <f t="shared" si="6"/>
        <v>0</v>
      </c>
      <c r="M197" s="3047"/>
      <c r="N197" s="3048"/>
      <c r="O197" s="3049"/>
      <c r="P197" s="3050">
        <v>14400</v>
      </c>
      <c r="Q197" s="3051">
        <v>14400</v>
      </c>
      <c r="R197" s="3051"/>
    </row>
    <row r="198" spans="1:18">
      <c r="A198" s="3037" t="s">
        <v>3638</v>
      </c>
      <c r="B198" s="3038"/>
      <c r="C198" s="3038" t="s">
        <v>3642</v>
      </c>
      <c r="D198" s="3039" t="s">
        <v>3662</v>
      </c>
      <c r="E198" s="3056" t="s">
        <v>3663</v>
      </c>
      <c r="F198" s="3041">
        <v>138</v>
      </c>
      <c r="G198" s="3042">
        <v>138</v>
      </c>
      <c r="H198" s="3043">
        <v>43516</v>
      </c>
      <c r="I198" s="3043">
        <v>44246</v>
      </c>
      <c r="J198" s="3044">
        <v>24</v>
      </c>
      <c r="K198" s="3045"/>
      <c r="L198" s="3046">
        <f t="shared" si="6"/>
        <v>0</v>
      </c>
      <c r="M198" s="3047"/>
      <c r="N198" s="3048"/>
      <c r="O198" s="3049"/>
      <c r="P198" s="3050">
        <v>563040</v>
      </c>
      <c r="Q198" s="3051">
        <v>397440</v>
      </c>
      <c r="R198" s="3051">
        <v>165600</v>
      </c>
    </row>
    <row r="199" spans="1:18">
      <c r="A199" s="3037" t="s">
        <v>3638</v>
      </c>
      <c r="B199" s="3038"/>
      <c r="C199" s="3038" t="s">
        <v>3642</v>
      </c>
      <c r="D199" s="3039" t="s">
        <v>3664</v>
      </c>
      <c r="E199" s="3056" t="s">
        <v>3665</v>
      </c>
      <c r="F199" s="3041">
        <v>2</v>
      </c>
      <c r="G199" s="3042">
        <v>2</v>
      </c>
      <c r="H199" s="3043">
        <v>43469</v>
      </c>
      <c r="I199" s="3043">
        <v>43833</v>
      </c>
      <c r="J199" s="3044">
        <v>12</v>
      </c>
      <c r="K199" s="3045"/>
      <c r="L199" s="3046">
        <f t="shared" si="6"/>
        <v>0</v>
      </c>
      <c r="M199" s="3047"/>
      <c r="N199" s="3048"/>
      <c r="O199" s="3049"/>
      <c r="P199" s="3050">
        <v>6000</v>
      </c>
      <c r="Q199" s="3051">
        <v>6000</v>
      </c>
      <c r="R199" s="3051"/>
    </row>
    <row r="200" spans="1:18">
      <c r="A200" s="3037" t="s">
        <v>3638</v>
      </c>
      <c r="B200" s="3038"/>
      <c r="C200" s="3038" t="s">
        <v>3642</v>
      </c>
      <c r="D200" s="3039" t="s">
        <v>3666</v>
      </c>
      <c r="E200" s="3056" t="s">
        <v>3667</v>
      </c>
      <c r="F200" s="3041">
        <v>114</v>
      </c>
      <c r="G200" s="3042">
        <v>114</v>
      </c>
      <c r="H200" s="3043">
        <v>43466</v>
      </c>
      <c r="I200" s="3043">
        <v>43830</v>
      </c>
      <c r="J200" s="3044">
        <v>12</v>
      </c>
      <c r="K200" s="3045"/>
      <c r="L200" s="3046">
        <f t="shared" si="6"/>
        <v>0</v>
      </c>
      <c r="M200" s="3047"/>
      <c r="N200" s="3048"/>
      <c r="O200" s="3049"/>
      <c r="P200" s="3050">
        <v>120000</v>
      </c>
      <c r="Q200" s="3051">
        <v>120000</v>
      </c>
      <c r="R200" s="3051"/>
    </row>
    <row r="201" spans="1:18" ht="14.25">
      <c r="A201" s="3037" t="s">
        <v>3638</v>
      </c>
      <c r="B201" s="3038"/>
      <c r="C201" s="3038" t="s">
        <v>3642</v>
      </c>
      <c r="D201" s="3039" t="s">
        <v>3668</v>
      </c>
      <c r="E201" s="3056" t="s">
        <v>3669</v>
      </c>
      <c r="F201" s="3041">
        <v>805</v>
      </c>
      <c r="G201" s="3098">
        <v>805</v>
      </c>
      <c r="H201" s="3043">
        <v>43405</v>
      </c>
      <c r="I201" s="3043">
        <v>43510</v>
      </c>
      <c r="J201" s="3044">
        <v>3</v>
      </c>
      <c r="K201" s="3045"/>
      <c r="L201" s="3046">
        <f t="shared" si="6"/>
        <v>0</v>
      </c>
      <c r="M201" s="3047"/>
      <c r="N201" s="3048"/>
      <c r="O201" s="3049"/>
      <c r="P201" s="3050"/>
      <c r="Q201" s="3051"/>
      <c r="R201" s="3051"/>
    </row>
    <row r="202" spans="1:18">
      <c r="A202" s="3037" t="s">
        <v>3638</v>
      </c>
      <c r="B202" s="3038"/>
      <c r="C202" s="3038" t="s">
        <v>3670</v>
      </c>
      <c r="D202" s="3039" t="s">
        <v>3671</v>
      </c>
      <c r="E202" s="3056" t="s">
        <v>3672</v>
      </c>
      <c r="F202" s="3041">
        <v>45</v>
      </c>
      <c r="G202" s="3042">
        <v>45</v>
      </c>
      <c r="H202" s="3043">
        <v>43435</v>
      </c>
      <c r="I202" s="3043">
        <v>43799</v>
      </c>
      <c r="J202" s="3044">
        <v>12</v>
      </c>
      <c r="K202" s="3045"/>
      <c r="L202" s="3046">
        <f t="shared" si="6"/>
        <v>0</v>
      </c>
      <c r="M202" s="3047"/>
      <c r="N202" s="3048"/>
      <c r="O202" s="3049"/>
      <c r="P202" s="3050"/>
      <c r="Q202" s="3051"/>
      <c r="R202" s="3051"/>
    </row>
    <row r="203" spans="1:18">
      <c r="A203" s="3037" t="s">
        <v>3638</v>
      </c>
      <c r="B203" s="3038"/>
      <c r="C203" s="3038" t="s">
        <v>3642</v>
      </c>
      <c r="D203" s="3039" t="s">
        <v>3673</v>
      </c>
      <c r="E203" s="3056" t="s">
        <v>3674</v>
      </c>
      <c r="F203" s="3041">
        <v>25</v>
      </c>
      <c r="G203" s="3042">
        <v>25</v>
      </c>
      <c r="H203" s="3043">
        <v>43511</v>
      </c>
      <c r="I203" s="3043">
        <v>44241</v>
      </c>
      <c r="J203" s="3044">
        <v>24</v>
      </c>
      <c r="K203" s="3045"/>
      <c r="L203" s="3046">
        <f t="shared" si="6"/>
        <v>0</v>
      </c>
      <c r="M203" s="3047"/>
      <c r="N203" s="3048"/>
      <c r="O203" s="3049"/>
      <c r="P203" s="3050">
        <v>176880</v>
      </c>
      <c r="Q203" s="3051">
        <v>146880</v>
      </c>
      <c r="R203" s="3051">
        <v>30000</v>
      </c>
    </row>
    <row r="204" spans="1:18">
      <c r="A204" s="3037" t="s">
        <v>3638</v>
      </c>
      <c r="B204" s="3038"/>
      <c r="C204" s="3038" t="s">
        <v>3642</v>
      </c>
      <c r="D204" s="3039" t="s">
        <v>3675</v>
      </c>
      <c r="E204" s="3056" t="s">
        <v>3661</v>
      </c>
      <c r="F204" s="3041">
        <v>16</v>
      </c>
      <c r="G204" s="3042">
        <v>16</v>
      </c>
      <c r="H204" s="3043">
        <v>43586</v>
      </c>
      <c r="I204" s="3043">
        <v>43951</v>
      </c>
      <c r="J204" s="3044">
        <v>12</v>
      </c>
      <c r="K204" s="3045"/>
      <c r="L204" s="3046">
        <f t="shared" si="6"/>
        <v>0</v>
      </c>
      <c r="M204" s="3047"/>
      <c r="N204" s="3048"/>
      <c r="O204" s="3049"/>
      <c r="P204" s="3050">
        <v>17520</v>
      </c>
      <c r="Q204" s="3051">
        <v>17520</v>
      </c>
      <c r="R204" s="3051"/>
    </row>
    <row r="205" spans="1:18">
      <c r="A205" s="3037" t="s">
        <v>3638</v>
      </c>
      <c r="B205" s="3038"/>
      <c r="C205" s="3038" t="s">
        <v>3642</v>
      </c>
      <c r="D205" s="3039" t="s">
        <v>3676</v>
      </c>
      <c r="E205" s="3056" t="s">
        <v>3677</v>
      </c>
      <c r="F205" s="3041">
        <v>50</v>
      </c>
      <c r="G205" s="3042">
        <v>50</v>
      </c>
      <c r="H205" s="3043">
        <v>43617</v>
      </c>
      <c r="I205" s="3043">
        <v>43982</v>
      </c>
      <c r="J205" s="3044">
        <v>12</v>
      </c>
      <c r="K205" s="3045"/>
      <c r="L205" s="3046">
        <f t="shared" si="6"/>
        <v>0</v>
      </c>
      <c r="M205" s="3047"/>
      <c r="N205" s="3048"/>
      <c r="O205" s="3049"/>
      <c r="P205" s="3050">
        <v>60000</v>
      </c>
      <c r="Q205" s="3051">
        <v>60000</v>
      </c>
      <c r="R205" s="3051"/>
    </row>
    <row r="206" spans="1:18">
      <c r="A206" s="3037" t="s">
        <v>3638</v>
      </c>
      <c r="B206" s="3038"/>
      <c r="C206" s="3038">
        <v>1</v>
      </c>
      <c r="D206" s="3039" t="s">
        <v>3678</v>
      </c>
      <c r="E206" s="3056" t="s">
        <v>3679</v>
      </c>
      <c r="F206" s="3041">
        <v>30</v>
      </c>
      <c r="G206" s="3042">
        <v>30</v>
      </c>
      <c r="H206" s="3043">
        <v>43678</v>
      </c>
      <c r="I206" s="3043">
        <v>44666</v>
      </c>
      <c r="J206" s="3044">
        <v>32</v>
      </c>
      <c r="K206" s="3045"/>
      <c r="L206" s="3046">
        <f t="shared" si="6"/>
        <v>0</v>
      </c>
      <c r="M206" s="3047"/>
      <c r="N206" s="3048"/>
      <c r="O206" s="3049"/>
      <c r="P206" s="3050">
        <v>87731.506849315105</v>
      </c>
      <c r="Q206" s="3051">
        <v>38991.780821917797</v>
      </c>
      <c r="R206" s="3051">
        <v>48739.726027397301</v>
      </c>
    </row>
    <row r="207" spans="1:18">
      <c r="A207" s="3037" t="s">
        <v>3638</v>
      </c>
      <c r="B207" s="3038"/>
      <c r="C207" s="3038">
        <v>3</v>
      </c>
      <c r="D207" s="3039" t="s">
        <v>3680</v>
      </c>
      <c r="E207" s="3056" t="s">
        <v>3565</v>
      </c>
      <c r="F207" s="3041">
        <v>41.54</v>
      </c>
      <c r="G207" s="3042">
        <v>41.54</v>
      </c>
      <c r="H207" s="3043">
        <v>43637</v>
      </c>
      <c r="I207" s="3043">
        <v>44002</v>
      </c>
      <c r="J207" s="3044">
        <v>12</v>
      </c>
      <c r="K207" s="3045"/>
      <c r="L207" s="3046">
        <f t="shared" si="6"/>
        <v>0</v>
      </c>
      <c r="M207" s="3047"/>
      <c r="N207" s="3048"/>
      <c r="O207" s="3049"/>
      <c r="P207" s="3050">
        <v>45486.36</v>
      </c>
      <c r="Q207" s="3051">
        <v>45486.36</v>
      </c>
      <c r="R207" s="3051"/>
    </row>
    <row r="208" spans="1:18">
      <c r="A208" s="3037" t="s">
        <v>3638</v>
      </c>
      <c r="B208" s="3038"/>
      <c r="C208" s="3038" t="s">
        <v>3642</v>
      </c>
      <c r="D208" s="3039" t="s">
        <v>3681</v>
      </c>
      <c r="E208" s="3056" t="s">
        <v>3682</v>
      </c>
      <c r="F208" s="3041">
        <v>16</v>
      </c>
      <c r="G208" s="3042">
        <v>16</v>
      </c>
      <c r="H208" s="3043">
        <v>43662</v>
      </c>
      <c r="I208" s="3043">
        <v>44027</v>
      </c>
      <c r="J208" s="3044">
        <v>12</v>
      </c>
      <c r="K208" s="3045"/>
      <c r="L208" s="3046">
        <f t="shared" si="6"/>
        <v>0</v>
      </c>
      <c r="M208" s="3047"/>
      <c r="N208" s="3048"/>
      <c r="O208" s="3049"/>
      <c r="P208" s="3050">
        <v>10800</v>
      </c>
      <c r="Q208" s="3051">
        <v>10800</v>
      </c>
      <c r="R208" s="3051"/>
    </row>
    <row r="209" spans="1:18">
      <c r="A209" s="3037" t="s">
        <v>3683</v>
      </c>
      <c r="B209" s="3038">
        <v>2</v>
      </c>
      <c r="C209" s="3078" t="s">
        <v>3684</v>
      </c>
      <c r="D209" s="3039"/>
      <c r="E209" s="3040" t="s">
        <v>3685</v>
      </c>
      <c r="F209" s="3090">
        <v>536.44000000000005</v>
      </c>
      <c r="G209" s="3042">
        <v>536.44000000000005</v>
      </c>
      <c r="H209" s="3043">
        <v>43282</v>
      </c>
      <c r="I209" s="3043">
        <v>44377</v>
      </c>
      <c r="J209" s="3044">
        <v>36</v>
      </c>
      <c r="K209" s="3045">
        <v>182.92</v>
      </c>
      <c r="L209" s="3046">
        <f t="shared" si="6"/>
        <v>6.0973333333333333</v>
      </c>
      <c r="M209" s="3047"/>
      <c r="N209" s="3048"/>
      <c r="O209" s="3049">
        <v>30</v>
      </c>
      <c r="P209" s="3050">
        <v>4065368</v>
      </c>
      <c r="Q209" s="3051">
        <v>3486012.8</v>
      </c>
      <c r="R209" s="3051">
        <v>579355.19999999995</v>
      </c>
    </row>
    <row r="210" spans="1:18">
      <c r="A210" s="3037" t="s">
        <v>3683</v>
      </c>
      <c r="B210" s="3038">
        <v>2</v>
      </c>
      <c r="C210" s="3078" t="s">
        <v>3684</v>
      </c>
      <c r="D210" s="3039"/>
      <c r="E210" s="3040" t="s">
        <v>3686</v>
      </c>
      <c r="F210" s="3090">
        <v>616.12</v>
      </c>
      <c r="G210" s="3042">
        <v>616.12</v>
      </c>
      <c r="H210" s="3043">
        <v>43271</v>
      </c>
      <c r="I210" s="3043">
        <v>44366</v>
      </c>
      <c r="J210" s="3044">
        <v>36</v>
      </c>
      <c r="K210" s="3045">
        <v>182.92</v>
      </c>
      <c r="L210" s="3046">
        <f t="shared" si="6"/>
        <v>6.0973333333333333</v>
      </c>
      <c r="M210" s="3047"/>
      <c r="N210" s="3048"/>
      <c r="O210" s="3049">
        <v>30</v>
      </c>
      <c r="P210" s="3050">
        <v>4667821.34</v>
      </c>
      <c r="Q210" s="3051">
        <v>4002263.36</v>
      </c>
      <c r="R210" s="3051">
        <v>665557.98</v>
      </c>
    </row>
    <row r="211" spans="1:18">
      <c r="A211" s="3037" t="s">
        <v>3683</v>
      </c>
      <c r="B211" s="3038">
        <v>4</v>
      </c>
      <c r="C211" s="3078" t="s">
        <v>3684</v>
      </c>
      <c r="D211" s="3039"/>
      <c r="E211" s="3040" t="s">
        <v>3687</v>
      </c>
      <c r="F211" s="3041">
        <v>536.44000000000005</v>
      </c>
      <c r="G211" s="3042">
        <v>536.44000000000005</v>
      </c>
      <c r="H211" s="3043">
        <v>43049</v>
      </c>
      <c r="I211" s="3043">
        <v>43778</v>
      </c>
      <c r="J211" s="3044">
        <v>24</v>
      </c>
      <c r="K211" s="3045">
        <v>203.13</v>
      </c>
      <c r="L211" s="3046">
        <f t="shared" si="6"/>
        <v>6.7709999999999999</v>
      </c>
      <c r="M211" s="3047"/>
      <c r="N211" s="3048"/>
      <c r="O211" s="3049">
        <v>25</v>
      </c>
      <c r="P211" s="3050">
        <v>2828106.38</v>
      </c>
      <c r="Q211" s="3051">
        <v>2506242.38</v>
      </c>
      <c r="R211" s="3051">
        <v>321864</v>
      </c>
    </row>
    <row r="212" spans="1:18">
      <c r="A212" s="3037" t="s">
        <v>3683</v>
      </c>
      <c r="B212" s="3038">
        <v>4</v>
      </c>
      <c r="C212" s="3078" t="s">
        <v>3684</v>
      </c>
      <c r="D212" s="3039"/>
      <c r="E212" s="3040" t="s">
        <v>3688</v>
      </c>
      <c r="F212" s="3041">
        <v>616.12</v>
      </c>
      <c r="G212" s="3042">
        <v>616.12</v>
      </c>
      <c r="H212" s="3043">
        <v>43282</v>
      </c>
      <c r="I212" s="3043">
        <v>44377</v>
      </c>
      <c r="J212" s="3044">
        <v>36</v>
      </c>
      <c r="K212" s="3045">
        <v>182.92</v>
      </c>
      <c r="L212" s="3046">
        <f t="shared" si="6"/>
        <v>6.0973333333333333</v>
      </c>
      <c r="M212" s="3047"/>
      <c r="N212" s="3048"/>
      <c r="O212" s="3049">
        <v>30</v>
      </c>
      <c r="P212" s="3050">
        <v>4460265.18</v>
      </c>
      <c r="Q212" s="3051">
        <v>3831822.78</v>
      </c>
      <c r="R212" s="3051">
        <v>628442.4</v>
      </c>
    </row>
    <row r="213" spans="1:18">
      <c r="A213" s="3037" t="s">
        <v>3683</v>
      </c>
      <c r="B213" s="3038">
        <v>6</v>
      </c>
      <c r="C213" s="3078" t="s">
        <v>3684</v>
      </c>
      <c r="D213" s="3039"/>
      <c r="E213" s="3040" t="s">
        <v>3477</v>
      </c>
      <c r="F213" s="3041">
        <v>637.98</v>
      </c>
      <c r="G213" s="3042">
        <v>637.98</v>
      </c>
      <c r="H213" s="3043">
        <v>43070</v>
      </c>
      <c r="I213" s="3043">
        <v>44165</v>
      </c>
      <c r="J213" s="3044">
        <v>36</v>
      </c>
      <c r="K213" s="3045">
        <v>187.92</v>
      </c>
      <c r="L213" s="3046">
        <f t="shared" si="6"/>
        <v>6.2639999999999993</v>
      </c>
      <c r="M213" s="3047"/>
      <c r="N213" s="3048"/>
      <c r="O213" s="3049">
        <v>25</v>
      </c>
      <c r="P213" s="3050">
        <v>4890193.2</v>
      </c>
      <c r="Q213" s="3051">
        <v>4316011.2</v>
      </c>
      <c r="R213" s="3051">
        <v>574182</v>
      </c>
    </row>
    <row r="214" spans="1:18">
      <c r="A214" s="3037" t="s">
        <v>3683</v>
      </c>
      <c r="B214" s="3038">
        <v>6</v>
      </c>
      <c r="C214" s="3078" t="s">
        <v>3684</v>
      </c>
      <c r="D214" s="3039"/>
      <c r="E214" s="3040" t="s">
        <v>3689</v>
      </c>
      <c r="F214" s="3041">
        <v>726.78</v>
      </c>
      <c r="G214" s="3042">
        <v>726.78</v>
      </c>
      <c r="H214" s="3052">
        <v>42705</v>
      </c>
      <c r="I214" s="3043">
        <v>43799</v>
      </c>
      <c r="J214" s="3044">
        <v>36</v>
      </c>
      <c r="K214" s="3045">
        <v>206.83</v>
      </c>
      <c r="L214" s="3046">
        <f t="shared" si="6"/>
        <v>6.8943333333333339</v>
      </c>
      <c r="M214" s="3047"/>
      <c r="N214" s="3048"/>
      <c r="O214" s="3049"/>
      <c r="P214" s="3050">
        <v>5411516.7599999998</v>
      </c>
      <c r="Q214" s="3051">
        <v>5411516.7599999998</v>
      </c>
      <c r="R214" s="3051">
        <v>0</v>
      </c>
    </row>
    <row r="215" spans="1:18">
      <c r="A215" s="3037" t="s">
        <v>3683</v>
      </c>
      <c r="B215" s="3038">
        <v>8</v>
      </c>
      <c r="C215" s="3078" t="s">
        <v>3684</v>
      </c>
      <c r="D215" s="3039"/>
      <c r="E215" s="3040" t="s">
        <v>3690</v>
      </c>
      <c r="F215" s="3041">
        <v>531.79999999999995</v>
      </c>
      <c r="G215" s="3042">
        <v>531.79999999999995</v>
      </c>
      <c r="H215" s="3043">
        <v>42909</v>
      </c>
      <c r="I215" s="3043">
        <v>44004</v>
      </c>
      <c r="J215" s="3044">
        <v>36</v>
      </c>
      <c r="K215" s="3045">
        <v>203.13</v>
      </c>
      <c r="L215" s="3046">
        <f t="shared" si="6"/>
        <v>6.7709999999999999</v>
      </c>
      <c r="M215" s="3047"/>
      <c r="N215" s="3048"/>
      <c r="O215" s="3049">
        <v>25</v>
      </c>
      <c r="P215" s="3050">
        <v>4339091.16</v>
      </c>
      <c r="Q215" s="3051">
        <v>3860471.16</v>
      </c>
      <c r="R215" s="3051">
        <v>478620</v>
      </c>
    </row>
    <row r="216" spans="1:18">
      <c r="A216" s="3037" t="s">
        <v>3683</v>
      </c>
      <c r="B216" s="3038">
        <v>9</v>
      </c>
      <c r="C216" s="3078" t="s">
        <v>3684</v>
      </c>
      <c r="D216" s="3039"/>
      <c r="E216" s="3040" t="s">
        <v>3691</v>
      </c>
      <c r="F216" s="3090">
        <v>455.76</v>
      </c>
      <c r="G216" s="3042">
        <v>455.76</v>
      </c>
      <c r="H216" s="3043">
        <v>43389</v>
      </c>
      <c r="I216" s="3043">
        <v>44119</v>
      </c>
      <c r="J216" s="3044">
        <v>24</v>
      </c>
      <c r="K216" s="3045">
        <v>182.92</v>
      </c>
      <c r="L216" s="3046">
        <f t="shared" si="6"/>
        <v>6.0973333333333333</v>
      </c>
      <c r="M216" s="3047"/>
      <c r="N216" s="3048"/>
      <c r="O216" s="3049">
        <v>30</v>
      </c>
      <c r="P216" s="3099">
        <v>2330831.13</v>
      </c>
      <c r="Q216" s="3051">
        <v>2002421.61</v>
      </c>
      <c r="R216" s="3051">
        <v>328409.52</v>
      </c>
    </row>
    <row r="217" spans="1:18">
      <c r="A217" s="3037" t="s">
        <v>3683</v>
      </c>
      <c r="B217" s="3038">
        <v>7</v>
      </c>
      <c r="C217" s="3038">
        <v>9</v>
      </c>
      <c r="D217" s="3039" t="s">
        <v>3692</v>
      </c>
      <c r="E217" s="3056" t="s">
        <v>3693</v>
      </c>
      <c r="F217" s="3041">
        <v>198.06</v>
      </c>
      <c r="G217" s="3042">
        <v>198.06</v>
      </c>
      <c r="H217" s="3043">
        <v>43367</v>
      </c>
      <c r="I217" s="3043">
        <v>44462</v>
      </c>
      <c r="J217" s="3044">
        <v>36</v>
      </c>
      <c r="K217" s="3055">
        <v>182.92</v>
      </c>
      <c r="L217" s="3046">
        <f t="shared" si="6"/>
        <v>6.0973333333333333</v>
      </c>
      <c r="M217" s="3047"/>
      <c r="N217" s="3048"/>
      <c r="O217" s="3049">
        <v>30</v>
      </c>
      <c r="P217" s="3045">
        <v>1517575.98315616</v>
      </c>
      <c r="Q217" s="3051">
        <v>1303752.57767671</v>
      </c>
      <c r="R217" s="3051">
        <v>213823.40547945199</v>
      </c>
    </row>
    <row r="218" spans="1:18">
      <c r="A218" s="3037" t="s">
        <v>3683</v>
      </c>
      <c r="B218" s="3038">
        <v>7</v>
      </c>
      <c r="C218" s="3038">
        <v>9</v>
      </c>
      <c r="D218" s="3039" t="s">
        <v>3694</v>
      </c>
      <c r="E218" s="3056" t="s">
        <v>3695</v>
      </c>
      <c r="F218" s="3041">
        <v>296.70999999999998</v>
      </c>
      <c r="G218" s="3042">
        <v>296.70999999999998</v>
      </c>
      <c r="H218" s="3043">
        <v>43367</v>
      </c>
      <c r="I218" s="3043">
        <v>44462</v>
      </c>
      <c r="J218" s="3044">
        <v>36</v>
      </c>
      <c r="K218" s="3055">
        <v>182.92</v>
      </c>
      <c r="L218" s="3046">
        <f t="shared" si="6"/>
        <v>6.0973333333333333</v>
      </c>
      <c r="M218" s="3047"/>
      <c r="N218" s="3048"/>
      <c r="O218" s="3049">
        <v>30</v>
      </c>
      <c r="P218" s="3045">
        <v>2273452.3374849302</v>
      </c>
      <c r="Q218" s="3051">
        <v>1953127.47310137</v>
      </c>
      <c r="R218" s="3051">
        <v>320324.864383562</v>
      </c>
    </row>
    <row r="219" spans="1:18">
      <c r="A219" s="3037" t="s">
        <v>3683</v>
      </c>
      <c r="B219" s="3038">
        <v>7</v>
      </c>
      <c r="C219" s="3038">
        <v>9</v>
      </c>
      <c r="D219" s="3039" t="s">
        <v>3696</v>
      </c>
      <c r="E219" s="3056" t="s">
        <v>3697</v>
      </c>
      <c r="F219" s="3041">
        <v>100</v>
      </c>
      <c r="G219" s="3042">
        <v>100</v>
      </c>
      <c r="H219" s="3043">
        <v>43367</v>
      </c>
      <c r="I219" s="3043">
        <v>44462</v>
      </c>
      <c r="J219" s="3044">
        <v>36</v>
      </c>
      <c r="K219" s="3055">
        <v>182.92</v>
      </c>
      <c r="L219" s="3046">
        <f t="shared" si="6"/>
        <v>6.0973333333333333</v>
      </c>
      <c r="M219" s="3047"/>
      <c r="N219" s="3048"/>
      <c r="O219" s="3049">
        <v>30</v>
      </c>
      <c r="P219" s="3045">
        <v>766220.32876712305</v>
      </c>
      <c r="Q219" s="3051">
        <v>658261.42465753399</v>
      </c>
      <c r="R219" s="3051">
        <v>107958.904109589</v>
      </c>
    </row>
    <row r="220" spans="1:18">
      <c r="A220" s="3037" t="s">
        <v>3683</v>
      </c>
      <c r="B220" s="3100">
        <v>1</v>
      </c>
      <c r="C220" s="3101">
        <v>9</v>
      </c>
      <c r="D220" s="3102" t="s">
        <v>3698</v>
      </c>
      <c r="E220" s="3103" t="s">
        <v>3672</v>
      </c>
      <c r="F220" s="3041">
        <v>637.98</v>
      </c>
      <c r="G220" s="3042">
        <v>637.98</v>
      </c>
      <c r="H220" s="3043">
        <v>43405</v>
      </c>
      <c r="I220" s="3043">
        <v>50709</v>
      </c>
      <c r="J220" s="3044">
        <v>240</v>
      </c>
      <c r="K220" s="3045">
        <v>60</v>
      </c>
      <c r="L220" s="3046">
        <f t="shared" si="6"/>
        <v>2</v>
      </c>
      <c r="M220" s="3047"/>
      <c r="N220" s="3048"/>
      <c r="O220" s="3049">
        <v>30</v>
      </c>
      <c r="P220" s="3045">
        <v>13091349.6</v>
      </c>
      <c r="Q220" s="3051">
        <v>9186912</v>
      </c>
      <c r="R220" s="3051">
        <v>3904437.6</v>
      </c>
    </row>
    <row r="221" spans="1:18">
      <c r="A221" s="3037" t="s">
        <v>3683</v>
      </c>
      <c r="B221" s="3100">
        <v>12</v>
      </c>
      <c r="C221" s="3101" t="s">
        <v>3684</v>
      </c>
      <c r="D221" s="3102"/>
      <c r="E221" s="3103" t="s">
        <v>3699</v>
      </c>
      <c r="F221" s="3041">
        <v>837.62</v>
      </c>
      <c r="G221" s="3042">
        <v>911.52</v>
      </c>
      <c r="H221" s="3043">
        <v>43459</v>
      </c>
      <c r="I221" s="3043">
        <v>44554</v>
      </c>
      <c r="J221" s="3044">
        <v>36</v>
      </c>
      <c r="K221" s="3045"/>
      <c r="L221" s="3046">
        <f t="shared" si="6"/>
        <v>0</v>
      </c>
      <c r="M221" s="3047"/>
      <c r="N221" s="3048"/>
      <c r="O221" s="3049"/>
      <c r="P221" s="3050">
        <v>4447435.53</v>
      </c>
      <c r="Q221" s="3051">
        <v>3542805.93</v>
      </c>
      <c r="R221" s="3051">
        <v>904629.6</v>
      </c>
    </row>
    <row r="222" spans="1:18">
      <c r="A222" s="3104" t="s">
        <v>3700</v>
      </c>
      <c r="B222" s="3038">
        <v>3</v>
      </c>
      <c r="C222" s="3038">
        <v>9</v>
      </c>
      <c r="D222" s="3039" t="s">
        <v>3701</v>
      </c>
      <c r="E222" s="3056" t="s">
        <v>3702</v>
      </c>
      <c r="F222" s="3041">
        <v>616.12</v>
      </c>
      <c r="G222" s="3042">
        <v>616.12</v>
      </c>
      <c r="H222" s="3043">
        <v>43541</v>
      </c>
      <c r="I222" s="3043">
        <v>44271</v>
      </c>
      <c r="J222" s="3044">
        <v>24</v>
      </c>
      <c r="K222" s="3055">
        <v>189</v>
      </c>
      <c r="L222" s="3046">
        <f t="shared" si="6"/>
        <v>6.3</v>
      </c>
      <c r="M222" s="3047"/>
      <c r="N222" s="3048"/>
      <c r="O222" s="3049">
        <v>30</v>
      </c>
      <c r="P222" s="3045">
        <v>3183488.6639999999</v>
      </c>
      <c r="Q222" s="3051">
        <v>2739527.784</v>
      </c>
      <c r="R222" s="3051">
        <v>443960.88</v>
      </c>
    </row>
    <row r="223" spans="1:18">
      <c r="A223" s="3104" t="s">
        <v>3700</v>
      </c>
      <c r="B223" s="3100">
        <v>5</v>
      </c>
      <c r="C223" s="3100">
        <v>9</v>
      </c>
      <c r="D223" s="3102" t="s">
        <v>3698</v>
      </c>
      <c r="E223" s="3103" t="s">
        <v>3703</v>
      </c>
      <c r="F223" s="3041">
        <v>637.98</v>
      </c>
      <c r="G223" s="3042">
        <v>637.98</v>
      </c>
      <c r="H223" s="3043">
        <v>43617</v>
      </c>
      <c r="I223" s="3043">
        <v>44712</v>
      </c>
      <c r="J223" s="3044">
        <v>36</v>
      </c>
      <c r="K223" s="3055">
        <v>177.92</v>
      </c>
      <c r="L223" s="3046">
        <f t="shared" si="6"/>
        <v>5.9306666666666663</v>
      </c>
      <c r="M223" s="3047"/>
      <c r="N223" s="3048"/>
      <c r="O223" s="3049">
        <v>35</v>
      </c>
      <c r="P223" s="3045">
        <v>4776377.9751780797</v>
      </c>
      <c r="Q223" s="3051">
        <v>3972829.0559999999</v>
      </c>
      <c r="R223" s="3051">
        <v>803548.91917808203</v>
      </c>
    </row>
    <row r="224" spans="1:18">
      <c r="A224" s="3104" t="s">
        <v>3700</v>
      </c>
      <c r="B224" s="3100">
        <v>10</v>
      </c>
      <c r="C224" s="3100">
        <v>9</v>
      </c>
      <c r="D224" s="3102" t="s">
        <v>3704</v>
      </c>
      <c r="E224" s="3103" t="s">
        <v>3705</v>
      </c>
      <c r="F224" s="3041">
        <v>455.76</v>
      </c>
      <c r="G224" s="3042">
        <v>455.76</v>
      </c>
      <c r="H224" s="3043">
        <v>43617</v>
      </c>
      <c r="I224" s="3043">
        <v>44347</v>
      </c>
      <c r="J224" s="3044">
        <v>24</v>
      </c>
      <c r="K224" s="3055">
        <v>177.92</v>
      </c>
      <c r="L224" s="3046">
        <f t="shared" si="6"/>
        <v>5.9306666666666663</v>
      </c>
      <c r="M224" s="3047"/>
      <c r="N224" s="3048"/>
      <c r="O224" s="3049">
        <v>35</v>
      </c>
      <c r="P224" s="3045">
        <v>2247662.7265315098</v>
      </c>
      <c r="Q224" s="3051">
        <v>1865042.8415999999</v>
      </c>
      <c r="R224" s="3051">
        <v>382619.884931507</v>
      </c>
    </row>
    <row r="225" spans="1:18">
      <c r="A225" s="3104" t="s">
        <v>3700</v>
      </c>
      <c r="B225" s="3100">
        <v>5</v>
      </c>
      <c r="C225" s="3100">
        <v>9</v>
      </c>
      <c r="D225" s="3102" t="s">
        <v>3704</v>
      </c>
      <c r="E225" s="3103" t="s">
        <v>3706</v>
      </c>
      <c r="F225" s="3041">
        <v>726.78</v>
      </c>
      <c r="G225" s="3042">
        <v>726.78</v>
      </c>
      <c r="H225" s="3043">
        <v>43678</v>
      </c>
      <c r="I225" s="3043">
        <v>44043</v>
      </c>
      <c r="J225" s="3044">
        <v>12</v>
      </c>
      <c r="K225" s="3055">
        <v>184</v>
      </c>
      <c r="L225" s="3046">
        <f t="shared" si="6"/>
        <v>6.1333333333333337</v>
      </c>
      <c r="M225" s="3047"/>
      <c r="N225" s="3048"/>
      <c r="O225" s="3049">
        <v>35</v>
      </c>
      <c r="P225" s="3045">
        <v>1909977.84</v>
      </c>
      <c r="Q225" s="3051">
        <v>1604730.24</v>
      </c>
      <c r="R225" s="3051">
        <v>305247.59999999998</v>
      </c>
    </row>
    <row r="226" spans="1:18">
      <c r="A226" s="3037" t="s">
        <v>3638</v>
      </c>
      <c r="B226" s="3038" t="s">
        <v>3707</v>
      </c>
      <c r="C226" s="3038">
        <v>1</v>
      </c>
      <c r="D226" s="3039"/>
      <c r="E226" s="3105" t="s">
        <v>3708</v>
      </c>
      <c r="F226" s="3041">
        <v>808</v>
      </c>
      <c r="G226" s="3042"/>
      <c r="H226" s="3043">
        <v>42095</v>
      </c>
      <c r="I226" s="3043">
        <v>45747</v>
      </c>
      <c r="J226" s="3044">
        <v>120</v>
      </c>
      <c r="K226" s="3045">
        <v>150</v>
      </c>
      <c r="L226" s="3046">
        <f t="shared" si="6"/>
        <v>5</v>
      </c>
      <c r="M226" s="3047">
        <v>50</v>
      </c>
      <c r="N226" s="3048"/>
      <c r="O226" s="3049"/>
      <c r="P226" s="3050">
        <v>13816800</v>
      </c>
      <c r="Q226" s="3051">
        <v>9211200</v>
      </c>
      <c r="R226" s="3051">
        <v>4605600</v>
      </c>
    </row>
    <row r="227" spans="1:18">
      <c r="A227" s="3037" t="s">
        <v>3638</v>
      </c>
      <c r="B227" s="3038" t="s">
        <v>3709</v>
      </c>
      <c r="C227" s="3038" t="s">
        <v>3710</v>
      </c>
      <c r="D227" s="3039"/>
      <c r="E227" s="3105" t="s">
        <v>3711</v>
      </c>
      <c r="F227" s="3041">
        <v>4176</v>
      </c>
      <c r="G227" s="3042"/>
      <c r="H227" s="3043">
        <v>42522</v>
      </c>
      <c r="I227" s="3043">
        <v>49826</v>
      </c>
      <c r="J227" s="3044">
        <v>240</v>
      </c>
      <c r="K227" s="3045">
        <v>48.67</v>
      </c>
      <c r="L227" s="3046">
        <f t="shared" si="6"/>
        <v>1.6223333333333334</v>
      </c>
      <c r="M227" s="3047"/>
      <c r="N227" s="3048"/>
      <c r="O227" s="3049"/>
      <c r="P227" s="3050">
        <v>48530645.718000002</v>
      </c>
      <c r="Q227" s="3051">
        <v>22292010</v>
      </c>
      <c r="R227" s="3051">
        <v>0</v>
      </c>
    </row>
    <row r="228" spans="1:18">
      <c r="A228" s="3037" t="s">
        <v>3638</v>
      </c>
      <c r="B228" s="3038" t="s">
        <v>3709</v>
      </c>
      <c r="C228" s="3038" t="s">
        <v>3710</v>
      </c>
      <c r="D228" s="3039"/>
      <c r="E228" s="3105" t="s">
        <v>3712</v>
      </c>
      <c r="F228" s="3041">
        <v>97</v>
      </c>
      <c r="G228" s="3042"/>
      <c r="H228" s="3043">
        <v>42142</v>
      </c>
      <c r="I228" s="3043">
        <v>43968</v>
      </c>
      <c r="J228" s="3044">
        <v>60</v>
      </c>
      <c r="K228" s="3045">
        <v>240</v>
      </c>
      <c r="L228" s="3046">
        <f t="shared" si="6"/>
        <v>8</v>
      </c>
      <c r="M228" s="3047">
        <v>50</v>
      </c>
      <c r="N228" s="3048"/>
      <c r="O228" s="3049"/>
      <c r="P228" s="3050">
        <v>1397382</v>
      </c>
      <c r="Q228" s="3051">
        <v>1106382</v>
      </c>
      <c r="R228" s="3051">
        <v>291000</v>
      </c>
    </row>
    <row r="229" spans="1:18">
      <c r="A229" s="3037" t="s">
        <v>3638</v>
      </c>
      <c r="B229" s="3038" t="s">
        <v>3709</v>
      </c>
      <c r="C229" s="3038" t="s">
        <v>3710</v>
      </c>
      <c r="D229" s="3039"/>
      <c r="E229" s="3105" t="s">
        <v>3713</v>
      </c>
      <c r="F229" s="3041">
        <v>437</v>
      </c>
      <c r="G229" s="3042"/>
      <c r="H229" s="3043">
        <v>42036</v>
      </c>
      <c r="I229" s="3043">
        <v>43861</v>
      </c>
      <c r="J229" s="3044">
        <v>60</v>
      </c>
      <c r="K229" s="3045">
        <v>120</v>
      </c>
      <c r="L229" s="3046">
        <f t="shared" si="6"/>
        <v>4</v>
      </c>
      <c r="M229" s="3047">
        <v>50</v>
      </c>
      <c r="N229" s="3048"/>
      <c r="O229" s="3049"/>
      <c r="P229" s="3050">
        <v>3353975</v>
      </c>
      <c r="Q229" s="3051">
        <v>2042975</v>
      </c>
      <c r="R229" s="3051">
        <v>1311000</v>
      </c>
    </row>
    <row r="230" spans="1:18">
      <c r="F230" s="3035">
        <f>SUM(F2:F229)</f>
        <v>148777.67999999996</v>
      </c>
      <c r="G230" s="3035">
        <f>SUM(G2:G229)</f>
        <v>154123.64999999997</v>
      </c>
      <c r="L230" s="3106">
        <f>AVERAGE(L2:L229)</f>
        <v>4.3152456140350859</v>
      </c>
    </row>
  </sheetData>
  <phoneticPr fontId="140" type="noConversion"/>
  <pageMargins left="0.69930555555555596" right="0.69930555555555596"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D39" sqref="D39"/>
    </sheetView>
  </sheetViews>
  <sheetFormatPr defaultColWidth="9.25" defaultRowHeight="14.25"/>
  <cols>
    <col min="1" max="1" width="12.125" style="1652" customWidth="1"/>
    <col min="2" max="2" width="10.25" style="1652" customWidth="1"/>
    <col min="3" max="3" width="18.5" style="1652" customWidth="1"/>
    <col min="4" max="4" width="11.625" style="1652" customWidth="1"/>
    <col min="5" max="5" width="13.375" style="1652" customWidth="1"/>
    <col min="6" max="8" width="11.5" style="1652" customWidth="1"/>
    <col min="9" max="9" width="11.125" style="1652" customWidth="1"/>
    <col min="10" max="10" width="3.125" style="1652" customWidth="1"/>
    <col min="11" max="16" width="10" style="1652" customWidth="1"/>
    <col min="17" max="17" width="2.625" style="1652" customWidth="1"/>
    <col min="18" max="18" width="9.375" style="1652" bestFit="1" customWidth="1"/>
    <col min="19" max="19" width="10.5" style="1652" bestFit="1" customWidth="1"/>
    <col min="20" max="16384" width="9.25" style="1652"/>
  </cols>
  <sheetData>
    <row r="1" spans="1:16" ht="19.5" thickBot="1">
      <c r="A1" s="1651" t="s">
        <v>1575</v>
      </c>
      <c r="B1" s="1181"/>
      <c r="C1" s="1181"/>
      <c r="D1" s="1181"/>
      <c r="E1" s="1181"/>
      <c r="F1" s="1181"/>
      <c r="G1" s="1181"/>
      <c r="H1" s="1181"/>
      <c r="I1" s="1181"/>
      <c r="J1" s="1181"/>
      <c r="K1" s="1181"/>
      <c r="L1" s="1181"/>
      <c r="M1" s="1181"/>
      <c r="N1" s="1181"/>
      <c r="O1" s="1181"/>
      <c r="P1" s="1181"/>
    </row>
    <row r="2" spans="1:16" ht="15">
      <c r="A2" s="3235" t="s">
        <v>1576</v>
      </c>
      <c r="B2" s="3235"/>
      <c r="C2" s="3235"/>
      <c r="D2" s="832" t="s">
        <v>1552</v>
      </c>
      <c r="E2" s="1653" t="s">
        <v>1553</v>
      </c>
      <c r="F2" s="2602"/>
      <c r="G2" s="2595"/>
      <c r="H2" s="2596"/>
      <c r="I2" s="2308" t="s">
        <v>1577</v>
      </c>
      <c r="J2" s="2602"/>
      <c r="K2" s="2602"/>
      <c r="L2" s="2602"/>
      <c r="M2" s="2602"/>
      <c r="N2" s="2603"/>
      <c r="O2" s="2602"/>
      <c r="P2" s="2602"/>
    </row>
    <row r="3" spans="1:16" ht="15.75" thickBot="1">
      <c r="A3" s="3236" t="s">
        <v>1550</v>
      </c>
      <c r="B3" s="3236"/>
      <c r="C3" s="3236"/>
      <c r="D3" s="44">
        <f>'数据-基础表'!AY6</f>
        <v>45717.88</v>
      </c>
      <c r="E3" s="44">
        <f>'数据-基础表'!AZ5</f>
        <v>176954.78</v>
      </c>
      <c r="F3" s="2602"/>
      <c r="G3" s="45"/>
      <c r="H3" s="46" t="s">
        <v>1551</v>
      </c>
      <c r="I3" s="887">
        <f>ROUND('数据-基础表'!B3/'数据-基础表'!A3,2)</f>
        <v>3.87</v>
      </c>
      <c r="J3" s="2602"/>
      <c r="K3" s="2602"/>
      <c r="L3" s="2602"/>
      <c r="M3" s="2602"/>
      <c r="N3" s="2603"/>
      <c r="O3" s="2602"/>
      <c r="P3" s="2602"/>
    </row>
    <row r="4" spans="1:16" ht="15">
      <c r="A4" s="3237"/>
      <c r="B4" s="3238"/>
      <c r="C4" s="3239"/>
      <c r="D4" s="1654" t="s">
        <v>1552</v>
      </c>
      <c r="E4" s="1655" t="s">
        <v>1553</v>
      </c>
      <c r="F4" s="2602"/>
      <c r="G4" s="2597" t="s">
        <v>1578</v>
      </c>
      <c r="H4" s="46" t="s">
        <v>1558</v>
      </c>
      <c r="I4" s="887">
        <f>ROUND(SUMIF('数据-基础表'!I9:AS9,"地上",'数据-基础表'!I5:AS5)/'数据-基础表'!A3,2)</f>
        <v>2.5499999999999998</v>
      </c>
      <c r="J4" s="2602"/>
      <c r="K4" s="2602"/>
      <c r="L4" s="2602"/>
      <c r="M4" s="2602"/>
      <c r="N4" s="2603"/>
      <c r="O4" s="2602"/>
      <c r="P4" s="2602"/>
    </row>
    <row r="5" spans="1:16">
      <c r="A5" s="45" t="s">
        <v>1554</v>
      </c>
      <c r="B5" s="3240" t="s">
        <v>1555</v>
      </c>
      <c r="C5" s="3240"/>
      <c r="D5" s="46">
        <f>ROUND($D$3*E5/$E$3,2)</f>
        <v>0</v>
      </c>
      <c r="E5" s="47">
        <f>SUMIF('数据-基础表'!$11:$11,"住宅",'数据-基础表'!$5:$5)</f>
        <v>0</v>
      </c>
      <c r="F5" s="2602"/>
      <c r="G5" s="45"/>
      <c r="H5" s="46" t="s">
        <v>1551</v>
      </c>
      <c r="I5" s="887">
        <f>ROUND(E31/D31,2)</f>
        <v>3.87</v>
      </c>
      <c r="J5" s="2602"/>
      <c r="K5" s="2602"/>
      <c r="L5" s="2602"/>
      <c r="M5" s="2602"/>
      <c r="N5" s="2602"/>
      <c r="O5" s="2602"/>
      <c r="P5" s="2602"/>
    </row>
    <row r="6" spans="1:16" ht="15" thickBot="1">
      <c r="A6" s="1657"/>
      <c r="B6" s="3240" t="s">
        <v>1556</v>
      </c>
      <c r="C6" s="3240"/>
      <c r="D6" s="46">
        <f>ROUND($D$3*E6/$E$3,2)</f>
        <v>45717.88</v>
      </c>
      <c r="E6" s="47">
        <f>E3-E5</f>
        <v>176954.78</v>
      </c>
      <c r="F6" s="2602"/>
      <c r="G6" s="1659" t="s">
        <v>1557</v>
      </c>
      <c r="H6" s="48" t="s">
        <v>1558</v>
      </c>
      <c r="I6" s="2598">
        <f>ROUND(F31/D31,2)</f>
        <v>2.5499999999999998</v>
      </c>
      <c r="J6" s="2602"/>
      <c r="K6" s="2602"/>
      <c r="L6" s="2602"/>
      <c r="M6" s="2602"/>
      <c r="N6" s="2602"/>
      <c r="O6" s="2602"/>
      <c r="P6" s="2602"/>
    </row>
    <row r="7" spans="1:16" ht="15.75" thickBot="1">
      <c r="A7" s="3232"/>
      <c r="B7" s="3233"/>
      <c r="C7" s="3234"/>
      <c r="D7" s="1654" t="s">
        <v>1552</v>
      </c>
      <c r="E7" s="1658" t="s">
        <v>1559</v>
      </c>
      <c r="F7" s="2602"/>
      <c r="G7" s="2599" t="s">
        <v>1560</v>
      </c>
      <c r="H7" s="100"/>
      <c r="I7" s="2600"/>
      <c r="J7" s="2602"/>
      <c r="K7" s="2602"/>
      <c r="L7" s="2602"/>
      <c r="M7" s="2602"/>
      <c r="N7" s="2602"/>
      <c r="O7" s="2602"/>
      <c r="P7" s="2602"/>
    </row>
    <row r="8" spans="1:16">
      <c r="A8" s="45" t="s">
        <v>1561</v>
      </c>
      <c r="B8" s="48" t="s">
        <v>1562</v>
      </c>
      <c r="C8" s="46" t="s">
        <v>1563</v>
      </c>
      <c r="D8" s="46">
        <f t="shared" ref="D8:D15" si="0">ROUND($D$3*E8/$E$3,2)</f>
        <v>30147.42</v>
      </c>
      <c r="E8" s="49">
        <f>SUMIF('数据-基础表'!BB10:BK10,"地上",'数据-基础表'!BB5:BK5)</f>
        <v>116688.04</v>
      </c>
      <c r="F8" s="2602"/>
      <c r="G8" s="2602"/>
      <c r="H8" s="2602"/>
      <c r="I8" s="2602"/>
      <c r="J8" s="2602"/>
      <c r="K8" s="2602"/>
      <c r="L8" s="2602"/>
      <c r="M8" s="2602"/>
      <c r="N8" s="2602"/>
      <c r="O8" s="2602"/>
      <c r="P8" s="2602"/>
    </row>
    <row r="9" spans="1:16">
      <c r="A9" s="1659"/>
      <c r="B9" s="1660"/>
      <c r="C9" s="46" t="s">
        <v>1564</v>
      </c>
      <c r="D9" s="46">
        <f t="shared" si="0"/>
        <v>0</v>
      </c>
      <c r="E9" s="50">
        <v>0</v>
      </c>
      <c r="F9" s="2602"/>
      <c r="G9" s="2602"/>
      <c r="H9" s="2602"/>
      <c r="I9" s="2602"/>
      <c r="J9" s="2602"/>
      <c r="K9" s="2602"/>
      <c r="L9" s="2602"/>
      <c r="M9" s="2602"/>
      <c r="N9" s="2602"/>
      <c r="O9" s="2602"/>
      <c r="P9" s="2602"/>
    </row>
    <row r="10" spans="1:16">
      <c r="A10" s="1659"/>
      <c r="B10" s="1660"/>
      <c r="C10" s="46" t="s">
        <v>1573</v>
      </c>
      <c r="D10" s="46">
        <f t="shared" si="0"/>
        <v>0</v>
      </c>
      <c r="E10" s="49">
        <f>SUMPRODUCT(('数据-基础表'!BB10:BK10="地下")*('数据-基础表'!BB11:BK11="商业")*('数据-基础表'!BB5:BK5))</f>
        <v>0</v>
      </c>
      <c r="F10" s="2602"/>
      <c r="G10" s="2602"/>
      <c r="H10" s="2602"/>
      <c r="I10" s="2602"/>
      <c r="J10" s="2602"/>
      <c r="K10" s="2602"/>
      <c r="L10" s="2602"/>
      <c r="M10" s="2602"/>
      <c r="N10" s="2602"/>
      <c r="O10" s="2602"/>
      <c r="P10" s="2602"/>
    </row>
    <row r="11" spans="1:16">
      <c r="A11" s="1659"/>
      <c r="B11" s="1660"/>
      <c r="C11" s="46" t="s">
        <v>1565</v>
      </c>
      <c r="D11" s="46">
        <f t="shared" si="0"/>
        <v>0</v>
      </c>
      <c r="E11" s="49">
        <f>SUMPRODUCT(('数据-基础表'!BB10:BK10="地下")*('数据-基础表'!BB11:BK11="办公")*('数据-基础表'!BB5:BK5))+'数据-基础表'!BP5</f>
        <v>0</v>
      </c>
      <c r="F11" s="2602"/>
      <c r="G11" s="2602"/>
      <c r="H11" s="2602"/>
      <c r="I11" s="2602"/>
      <c r="J11" s="2602"/>
      <c r="K11" s="2602"/>
      <c r="L11" s="2602"/>
      <c r="M11" s="2602"/>
      <c r="N11" s="2602"/>
      <c r="O11" s="2602"/>
      <c r="P11" s="2602"/>
    </row>
    <row r="12" spans="1:16">
      <c r="A12" s="1659"/>
      <c r="B12" s="1660"/>
      <c r="C12" s="46" t="s">
        <v>1566</v>
      </c>
      <c r="D12" s="46">
        <f t="shared" si="0"/>
        <v>0</v>
      </c>
      <c r="E12" s="49">
        <f>SUMPRODUCT(('数据-基础表'!BB10:BK10="地下")*('数据-基础表'!BB11:BK11="仓储")*('数据-基础表'!BB5:BK5))</f>
        <v>0</v>
      </c>
      <c r="F12" s="2602"/>
      <c r="G12" s="2602"/>
      <c r="H12" s="2602"/>
      <c r="I12" s="2602"/>
      <c r="J12" s="2602"/>
      <c r="K12" s="2602"/>
      <c r="L12" s="2602"/>
      <c r="M12" s="2602"/>
      <c r="N12" s="2602"/>
      <c r="O12" s="2602"/>
      <c r="P12" s="2602"/>
    </row>
    <row r="13" spans="1:16">
      <c r="A13" s="1659"/>
      <c r="B13" s="1660"/>
      <c r="C13" s="46" t="s">
        <v>1567</v>
      </c>
      <c r="D13" s="46">
        <f t="shared" si="0"/>
        <v>0</v>
      </c>
      <c r="E13" s="49">
        <f>SUMPRODUCT(('数据-基础表'!BB10:BK10="地下")*('数据-基础表'!BB11:BK11="车库")*('数据-基础表'!BB5:BK5))</f>
        <v>0</v>
      </c>
      <c r="F13" s="2602"/>
      <c r="G13" s="2602"/>
      <c r="H13" s="2602"/>
      <c r="I13" s="2602"/>
      <c r="J13" s="2602"/>
      <c r="K13" s="2602"/>
      <c r="L13" s="2602"/>
      <c r="M13" s="2602"/>
      <c r="N13" s="2602"/>
      <c r="O13" s="2602"/>
      <c r="P13" s="2602"/>
    </row>
    <row r="14" spans="1:16">
      <c r="A14" s="1659"/>
      <c r="B14" s="1660"/>
      <c r="C14" s="46" t="s">
        <v>1579</v>
      </c>
      <c r="D14" s="46">
        <f t="shared" si="0"/>
        <v>0</v>
      </c>
      <c r="E14" s="49">
        <f>SUMPRODUCT(('数据-基础表'!BB10:BK10="地下")*('数据-基础表'!BB11:BK11="车库—商业")*('数据-基础表'!BB5:BK5))</f>
        <v>0</v>
      </c>
      <c r="F14" s="2602"/>
      <c r="G14" s="2602"/>
      <c r="H14" s="2602"/>
      <c r="I14" s="2602"/>
      <c r="J14" s="2602"/>
      <c r="K14" s="2602"/>
      <c r="L14" s="2602"/>
      <c r="M14" s="2602"/>
      <c r="N14" s="2602"/>
      <c r="O14" s="2602"/>
      <c r="P14" s="2602"/>
    </row>
    <row r="15" spans="1:16" ht="15" thickBot="1">
      <c r="A15" s="1659"/>
      <c r="B15" s="1660"/>
      <c r="C15" s="46" t="s">
        <v>1574</v>
      </c>
      <c r="D15" s="46">
        <f t="shared" si="0"/>
        <v>15570.46</v>
      </c>
      <c r="E15" s="49">
        <f>SUMPRODUCT(('数据-基础表'!BB10:BK10="地下")*('数据-基础表'!BB11:BK11="车库—办公")*('数据-基础表'!BB5:BK5))</f>
        <v>60266.74</v>
      </c>
      <c r="F15" s="2602"/>
      <c r="G15" s="2602"/>
      <c r="H15" s="2602"/>
      <c r="I15" s="2602"/>
      <c r="J15" s="2602"/>
      <c r="K15" s="2602"/>
      <c r="L15" s="2602"/>
      <c r="M15" s="2602"/>
      <c r="N15" s="2602"/>
      <c r="O15" s="2602"/>
      <c r="P15" s="2602"/>
    </row>
    <row r="16" spans="1:16" ht="15.75" thickBot="1">
      <c r="A16" s="1657"/>
      <c r="B16" s="1660"/>
      <c r="C16" s="48" t="s">
        <v>1568</v>
      </c>
      <c r="D16" s="48">
        <f>SUM(D8:D15)</f>
        <v>45717.88</v>
      </c>
      <c r="E16" s="51">
        <f>SUM(E8:E15)</f>
        <v>176954.78</v>
      </c>
      <c r="F16" s="2602"/>
      <c r="G16" s="2602"/>
      <c r="H16" s="1661" t="s">
        <v>1580</v>
      </c>
      <c r="I16" s="1662"/>
      <c r="J16" s="1181"/>
      <c r="K16" s="3229" t="s">
        <v>1580</v>
      </c>
      <c r="L16" s="3230"/>
      <c r="M16" s="3230"/>
      <c r="N16" s="3230"/>
      <c r="O16" s="3230"/>
      <c r="P16" s="3231"/>
    </row>
    <row r="17" spans="1:19" ht="15">
      <c r="A17" s="1663" t="s">
        <v>1581</v>
      </c>
      <c r="B17" s="1664" t="s">
        <v>1582</v>
      </c>
      <c r="C17" s="1665" t="s">
        <v>1583</v>
      </c>
      <c r="D17" s="1666" t="s">
        <v>1571</v>
      </c>
      <c r="E17" s="1667" t="s">
        <v>1572</v>
      </c>
      <c r="F17" s="1668"/>
      <c r="G17" s="1669"/>
      <c r="H17" s="1670" t="s">
        <v>1584</v>
      </c>
      <c r="I17" s="1671" t="s">
        <v>1569</v>
      </c>
      <c r="J17" s="1181"/>
      <c r="K17" s="3226" t="s">
        <v>1585</v>
      </c>
      <c r="L17" s="3227"/>
      <c r="M17" s="3228"/>
      <c r="N17" s="3226" t="s">
        <v>1586</v>
      </c>
      <c r="O17" s="3227"/>
      <c r="P17" s="3228"/>
      <c r="R17" s="854" t="s">
        <v>1587</v>
      </c>
      <c r="S17" s="58"/>
    </row>
    <row r="18" spans="1:19" ht="15">
      <c r="A18" s="1659"/>
      <c r="B18" s="1656"/>
      <c r="C18" s="1672"/>
      <c r="D18" s="1673"/>
      <c r="E18" s="1674" t="s">
        <v>1588</v>
      </c>
      <c r="F18" s="1675" t="s">
        <v>1589</v>
      </c>
      <c r="G18" s="1676" t="s">
        <v>1590</v>
      </c>
      <c r="H18" s="1087" t="s">
        <v>1591</v>
      </c>
      <c r="I18" s="1677" t="s">
        <v>1592</v>
      </c>
      <c r="J18" s="1181"/>
      <c r="K18" s="1087" t="s">
        <v>1593</v>
      </c>
      <c r="L18" s="1678" t="s">
        <v>1594</v>
      </c>
      <c r="M18" s="887" t="s">
        <v>1595</v>
      </c>
      <c r="N18" s="1087" t="s">
        <v>1593</v>
      </c>
      <c r="O18" s="1678" t="s">
        <v>1594</v>
      </c>
      <c r="P18" s="887" t="s">
        <v>1595</v>
      </c>
      <c r="R18" s="46" t="s">
        <v>1596</v>
      </c>
      <c r="S18" s="46" t="s">
        <v>1597</v>
      </c>
    </row>
    <row r="19" spans="1:19">
      <c r="A19" s="1679"/>
      <c r="B19" s="48" t="s">
        <v>1570</v>
      </c>
      <c r="C19" s="3111" t="s">
        <v>3748</v>
      </c>
      <c r="D19" s="46">
        <f>ROUND($D$3*E19/$E$3,2)</f>
        <v>30147.42</v>
      </c>
      <c r="E19" s="54">
        <f t="shared" ref="E19:E26" si="1">SUM(F19:G19)</f>
        <v>116688.04</v>
      </c>
      <c r="F19" s="2721">
        <f>'数据-基础表'!I5</f>
        <v>116688.04</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30147.42</v>
      </c>
      <c r="S19" s="54">
        <f t="shared" si="5"/>
        <v>116688.04</v>
      </c>
    </row>
    <row r="20" spans="1:19">
      <c r="A20" s="1679"/>
      <c r="B20" s="48" t="s">
        <v>1598</v>
      </c>
      <c r="C20" s="3112" t="s">
        <v>3749</v>
      </c>
      <c r="D20" s="46">
        <f t="shared" ref="D20:D26" si="6">ROUND($D$3*E20/$E$3,2)</f>
        <v>15570.46</v>
      </c>
      <c r="E20" s="54">
        <f t="shared" si="1"/>
        <v>60266.74</v>
      </c>
      <c r="F20" s="2721"/>
      <c r="G20" s="1358">
        <f>'数据-基础表'!K25</f>
        <v>60266.74</v>
      </c>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15570.46</v>
      </c>
      <c r="S20" s="54">
        <f t="shared" si="5"/>
        <v>60266.74</v>
      </c>
    </row>
    <row r="21" spans="1:19">
      <c r="A21" s="1679"/>
      <c r="B21" s="48" t="s">
        <v>1598</v>
      </c>
      <c r="C21" s="1680"/>
      <c r="D21" s="46">
        <f t="shared" si="6"/>
        <v>0</v>
      </c>
      <c r="E21" s="54">
        <f t="shared" si="1"/>
        <v>0</v>
      </c>
      <c r="F21" s="2721"/>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c r="A22" s="1679"/>
      <c r="B22" s="48" t="s">
        <v>1598</v>
      </c>
      <c r="C22" s="56"/>
      <c r="D22" s="46">
        <f t="shared" si="6"/>
        <v>0</v>
      </c>
      <c r="E22" s="54">
        <f t="shared" si="1"/>
        <v>0</v>
      </c>
      <c r="F22" s="2722"/>
      <c r="G22" s="2723"/>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c r="A23" s="1679"/>
      <c r="B23" s="48" t="s">
        <v>1598</v>
      </c>
      <c r="C23" s="56"/>
      <c r="D23" s="46">
        <f>ROUND($D$3*E23/$E$3,2)</f>
        <v>0</v>
      </c>
      <c r="E23" s="54">
        <f>SUM(F23:G23)</f>
        <v>0</v>
      </c>
      <c r="F23" s="2722"/>
      <c r="G23" s="2723"/>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c r="A24" s="1679"/>
      <c r="B24" s="48" t="s">
        <v>1598</v>
      </c>
      <c r="C24" s="56"/>
      <c r="D24" s="46">
        <f>ROUND($D$3*E24/$E$3,2)</f>
        <v>0</v>
      </c>
      <c r="E24" s="54">
        <f>SUM(F24:G24)</f>
        <v>0</v>
      </c>
      <c r="F24" s="2722"/>
      <c r="G24" s="2723"/>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c r="A25" s="1679"/>
      <c r="B25" s="48" t="s">
        <v>1598</v>
      </c>
      <c r="C25" s="56"/>
      <c r="D25" s="46">
        <f t="shared" si="6"/>
        <v>0</v>
      </c>
      <c r="E25" s="54">
        <f t="shared" si="1"/>
        <v>0</v>
      </c>
      <c r="F25" s="2722"/>
      <c r="G25" s="2723"/>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c r="A26" s="1679"/>
      <c r="B26" s="48" t="s">
        <v>1598</v>
      </c>
      <c r="C26" s="57"/>
      <c r="D26" s="46">
        <f t="shared" si="6"/>
        <v>0</v>
      </c>
      <c r="E26" s="54">
        <f t="shared" si="1"/>
        <v>0</v>
      </c>
      <c r="F26" s="2722"/>
      <c r="G26" s="2723"/>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5.75" thickBot="1">
      <c r="A27" s="1679"/>
      <c r="B27" s="46"/>
      <c r="C27" s="1684" t="s">
        <v>1599</v>
      </c>
      <c r="D27" s="1182">
        <f>SUM(D19:D26)</f>
        <v>45717.88</v>
      </c>
      <c r="E27" s="1183">
        <f>IF(SUM(E19:E26)='数据-基础表'!BA5,SUM(E19:E26),IF(F27="地上面积有误","面积有误","地下面积有误"))</f>
        <v>176954.78</v>
      </c>
      <c r="F27" s="1182">
        <f>IF(SUM(F19:F26)=E8,SUM(F19:F26),"地上面积有误")</f>
        <v>116688.04</v>
      </c>
      <c r="G27" s="1184">
        <f>SUM(G19:G26)</f>
        <v>60266.74</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45717.88</v>
      </c>
      <c r="S27" s="46">
        <f>IF(SUM(S19:S26)=$E$3,SUM(S19:S26),SUM(S19:S26)&amp;"误差"&amp;ROUND(SUM(S19:S26)-E3,2))</f>
        <v>176954.78</v>
      </c>
    </row>
    <row r="28" spans="1:19">
      <c r="A28" s="1679"/>
      <c r="B28" s="48" t="s">
        <v>1600</v>
      </c>
      <c r="C28" s="58" t="s">
        <v>1601</v>
      </c>
      <c r="D28" s="46">
        <f>ROUND($D$3*E28/$E$3,2)</f>
        <v>0</v>
      </c>
      <c r="E28" s="54">
        <f>SUM(F28:G28)</f>
        <v>0</v>
      </c>
      <c r="F28" s="58">
        <f>'数据-基础表'!BQ5+'数据-基础表'!BS5</f>
        <v>0</v>
      </c>
      <c r="G28" s="59">
        <f>'数据-基础表'!BR5+'数据-基础表'!BT5</f>
        <v>0</v>
      </c>
      <c r="H28" s="2602"/>
      <c r="I28" s="2602"/>
      <c r="J28" s="2602"/>
      <c r="K28" s="2602"/>
      <c r="L28" s="2602"/>
      <c r="M28" s="2602"/>
      <c r="N28" s="2602"/>
      <c r="O28" s="2602"/>
      <c r="P28" s="2602"/>
    </row>
    <row r="29" spans="1:19">
      <c r="A29" s="1679"/>
      <c r="B29" s="48" t="s">
        <v>1600</v>
      </c>
      <c r="C29" s="1685" t="s">
        <v>1602</v>
      </c>
      <c r="D29" s="46">
        <f>ROUND($D$3*E29/$E$3,2)</f>
        <v>0</v>
      </c>
      <c r="E29" s="54">
        <f>SUM(F29:G29)</f>
        <v>0</v>
      </c>
      <c r="F29" s="60">
        <f>'数据-基础表'!BM5+'数据-基础表'!BO5</f>
        <v>0</v>
      </c>
      <c r="G29" s="51">
        <f>'数据-基础表'!BN5+'数据-基础表'!BP5</f>
        <v>0</v>
      </c>
      <c r="H29" s="2602"/>
      <c r="I29" s="2602"/>
      <c r="J29" s="2602"/>
      <c r="K29" s="2602"/>
      <c r="L29" s="2602"/>
      <c r="M29" s="2602"/>
      <c r="N29" s="2602"/>
      <c r="O29" s="2602"/>
      <c r="P29" s="2602"/>
    </row>
    <row r="30" spans="1:19" ht="15">
      <c r="A30" s="1679"/>
      <c r="B30" s="48"/>
      <c r="C30" s="1686" t="s">
        <v>1599</v>
      </c>
      <c r="D30" s="1182">
        <f>SUM(D28:D29)</f>
        <v>0</v>
      </c>
      <c r="E30" s="1182">
        <f>SUM(E28:E29)</f>
        <v>0</v>
      </c>
      <c r="F30" s="1182">
        <f>SUM(F28:F29)</f>
        <v>0</v>
      </c>
      <c r="G30" s="1184">
        <f>SUM(G28:G29)</f>
        <v>0</v>
      </c>
      <c r="H30" s="2602"/>
      <c r="I30" s="2602"/>
      <c r="J30" s="2602"/>
      <c r="K30" s="2602"/>
      <c r="L30" s="2602"/>
      <c r="M30" s="2602"/>
      <c r="N30" s="2602"/>
      <c r="O30" s="2602"/>
      <c r="P30" s="2602"/>
    </row>
    <row r="31" spans="1:19" ht="15.75" thickBot="1">
      <c r="A31" s="1687"/>
      <c r="B31" s="101"/>
      <c r="C31" s="870" t="s">
        <v>1603</v>
      </c>
      <c r="D31" s="652">
        <f>D27+D30</f>
        <v>45717.88</v>
      </c>
      <c r="E31" s="652">
        <f>E27+E30</f>
        <v>176954.78</v>
      </c>
      <c r="F31" s="653">
        <f>F27+F30</f>
        <v>116688.04</v>
      </c>
      <c r="G31" s="654">
        <f>G27+G30</f>
        <v>60266.74</v>
      </c>
      <c r="H31" s="2602"/>
      <c r="I31" s="2602"/>
      <c r="J31" s="2602"/>
      <c r="K31" s="2602"/>
      <c r="L31" s="2602"/>
      <c r="M31" s="2602"/>
      <c r="N31" s="2602"/>
      <c r="O31" s="2602"/>
      <c r="P31" s="2602"/>
    </row>
    <row r="32" spans="1:19">
      <c r="A32" s="1656"/>
      <c r="B32" s="1656" t="s">
        <v>1604</v>
      </c>
      <c r="C32" s="1656"/>
      <c r="D32" s="1656"/>
      <c r="E32" s="1097">
        <f>SUMIF(C19:C26,"*住宅*",E19:E26)</f>
        <v>0</v>
      </c>
      <c r="F32" s="1656"/>
      <c r="G32" s="1656"/>
      <c r="H32" s="2602"/>
      <c r="I32" s="2602"/>
      <c r="J32" s="2602"/>
      <c r="K32" s="2602"/>
      <c r="L32" s="2602"/>
      <c r="M32" s="2602"/>
      <c r="N32" s="2602"/>
      <c r="O32" s="2602"/>
      <c r="P32" s="2602"/>
    </row>
    <row r="33" spans="4:7">
      <c r="D33" s="1688"/>
    </row>
    <row r="34" spans="4:7">
      <c r="E34" s="1652">
        <f>F34*F31+G34*G31</f>
        <v>386224.16399999999</v>
      </c>
      <c r="F34" s="1652">
        <v>3</v>
      </c>
      <c r="G34" s="1652">
        <v>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8" customWidth="1"/>
    <col min="2" max="2" width="12" style="1691" customWidth="1"/>
    <col min="3" max="3" width="12.75" style="1691" customWidth="1"/>
    <col min="4" max="4" width="9.125" style="1749" customWidth="1"/>
    <col min="5" max="5" width="15" style="1691" bestFit="1" customWidth="1"/>
    <col min="6" max="10" width="8.875" style="1691" customWidth="1"/>
    <col min="11" max="12" width="12.375" style="1619" customWidth="1"/>
    <col min="13" max="13" width="8.625" style="1691" customWidth="1"/>
    <col min="14" max="14" width="11.875" style="1691" customWidth="1"/>
    <col min="15" max="15" width="8.5" style="1691" customWidth="1"/>
    <col min="16" max="17" width="10.875" style="1691" customWidth="1"/>
    <col min="18" max="19" width="12.5" style="1691" customWidth="1"/>
    <col min="20" max="20" width="12.125" style="1691" customWidth="1"/>
    <col min="21" max="21" width="10" style="1691" customWidth="1"/>
    <col min="22" max="22" width="6.375" style="1691" customWidth="1"/>
    <col min="23" max="30" width="6.75" style="1691" customWidth="1"/>
    <col min="31" max="31" width="8" style="1691" customWidth="1"/>
    <col min="32" max="34" width="7.25" style="1691" customWidth="1"/>
    <col min="35" max="39" width="8" style="1691" customWidth="1"/>
    <col min="40" max="40" width="13.75" style="127"/>
    <col min="41" max="41" width="11.625" style="127" customWidth="1"/>
    <col min="42" max="42" width="9.75" style="127" customWidth="1"/>
    <col min="43" max="67" width="13.75" style="127"/>
    <col min="68" max="16384" width="13.75" style="1691"/>
  </cols>
  <sheetData>
    <row r="1" spans="1:67" ht="19.5" thickBot="1">
      <c r="A1" s="1689" t="s">
        <v>1605</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0"/>
      <c r="AO1" s="2610"/>
      <c r="AP1" s="2610"/>
      <c r="AQ1" s="2610"/>
      <c r="AR1" s="2610"/>
    </row>
    <row r="2" spans="1:67" s="1581" customFormat="1" ht="15.75" thickBot="1">
      <c r="A2" s="1692" t="s">
        <v>1606</v>
      </c>
      <c r="B2" s="1091">
        <f>项目基本情况!D3</f>
        <v>44890</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2"/>
      <c r="AO2" s="2602"/>
      <c r="AP2" s="2602"/>
      <c r="AQ2" s="2602"/>
      <c r="AR2" s="260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5"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2"/>
      <c r="AO3" s="2602"/>
      <c r="AP3" s="2602"/>
      <c r="AQ3" s="2602"/>
      <c r="AR3" s="2602"/>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5" thickBot="1">
      <c r="A4" s="61" t="s">
        <v>1607</v>
      </c>
      <c r="B4" s="1694"/>
      <c r="C4" s="1695"/>
      <c r="D4" s="1696"/>
      <c r="E4" s="1695" t="s">
        <v>1608</v>
      </c>
      <c r="F4" s="1695"/>
      <c r="G4" s="1695"/>
      <c r="H4" s="1695"/>
      <c r="I4" s="1695"/>
      <c r="J4" s="1697"/>
      <c r="K4" s="1698"/>
      <c r="L4" s="1699"/>
      <c r="M4" s="1695"/>
      <c r="N4" s="1695" t="s">
        <v>1609</v>
      </c>
      <c r="O4" s="1695"/>
      <c r="P4" s="1695"/>
      <c r="Q4" s="1695"/>
      <c r="R4" s="1695"/>
      <c r="S4" s="1697"/>
      <c r="T4" s="2601" t="str">
        <f>'数据-汇总表'!I17</f>
        <v>按面积比例</v>
      </c>
      <c r="U4" s="1694" t="s">
        <v>1610</v>
      </c>
      <c r="V4" s="1695"/>
      <c r="W4" s="1695"/>
      <c r="X4" s="1695"/>
      <c r="Y4" s="1697"/>
      <c r="Z4" s="1665" t="s">
        <v>1611</v>
      </c>
      <c r="AA4" s="1665"/>
      <c r="AB4" s="1665"/>
      <c r="AC4" s="1665"/>
      <c r="AD4" s="1665"/>
      <c r="AE4" s="1663" t="s">
        <v>1612</v>
      </c>
      <c r="AF4" s="1665"/>
      <c r="AG4" s="1700"/>
      <c r="AH4" s="1694"/>
      <c r="AI4" s="1695"/>
      <c r="AJ4" s="1695"/>
      <c r="AK4" s="1695"/>
      <c r="AL4" s="1695"/>
      <c r="AM4" s="1697"/>
      <c r="AN4" s="2602"/>
      <c r="AO4" s="2602"/>
      <c r="AP4" s="2602"/>
      <c r="AQ4" s="2602"/>
      <c r="AR4" s="2602"/>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42">
      <c r="A5" s="1701" t="s">
        <v>1613</v>
      </c>
      <c r="B5" s="1702" t="s">
        <v>1614</v>
      </c>
      <c r="C5" s="1703" t="s">
        <v>1615</v>
      </c>
      <c r="D5" s="1704" t="s">
        <v>1616</v>
      </c>
      <c r="E5" s="512" t="s">
        <v>1617</v>
      </c>
      <c r="F5" s="1705" t="s">
        <v>1618</v>
      </c>
      <c r="G5" s="512" t="s">
        <v>1619</v>
      </c>
      <c r="H5" s="512" t="s">
        <v>1620</v>
      </c>
      <c r="I5" s="512" t="s">
        <v>1621</v>
      </c>
      <c r="J5" s="1362" t="s">
        <v>1622</v>
      </c>
      <c r="K5" s="1706" t="s">
        <v>1623</v>
      </c>
      <c r="L5" s="1707" t="s">
        <v>1624</v>
      </c>
      <c r="M5" s="1708" t="s">
        <v>1625</v>
      </c>
      <c r="N5" s="1709" t="s">
        <v>3750</v>
      </c>
      <c r="O5" s="1707" t="s">
        <v>1626</v>
      </c>
      <c r="P5" s="1710" t="s">
        <v>1627</v>
      </c>
      <c r="Q5" s="62" t="s">
        <v>1628</v>
      </c>
      <c r="R5" s="1711" t="s">
        <v>1629</v>
      </c>
      <c r="S5" s="1712" t="s">
        <v>1630</v>
      </c>
      <c r="T5" s="1713" t="s">
        <v>1631</v>
      </c>
      <c r="U5" s="1092" t="s">
        <v>1632</v>
      </c>
      <c r="V5" s="512" t="s">
        <v>1633</v>
      </c>
      <c r="W5" s="512" t="s">
        <v>1634</v>
      </c>
      <c r="X5" s="64"/>
      <c r="Y5" s="63" t="s">
        <v>1635</v>
      </c>
      <c r="Z5" s="1211" t="s">
        <v>1632</v>
      </c>
      <c r="AA5" s="512" t="s">
        <v>1633</v>
      </c>
      <c r="AB5" s="512" t="s">
        <v>1634</v>
      </c>
      <c r="AC5" s="64"/>
      <c r="AD5" s="64" t="s">
        <v>1635</v>
      </c>
      <c r="AE5" s="1092" t="s">
        <v>1636</v>
      </c>
      <c r="AF5" s="512" t="s">
        <v>1637</v>
      </c>
      <c r="AG5" s="63" t="s">
        <v>1638</v>
      </c>
      <c r="AH5" s="1092" t="s">
        <v>1639</v>
      </c>
      <c r="AI5" s="1211" t="s">
        <v>1640</v>
      </c>
      <c r="AJ5" s="1211" t="s">
        <v>1641</v>
      </c>
      <c r="AK5" s="512" t="s">
        <v>1642</v>
      </c>
      <c r="AL5" s="512" t="s">
        <v>1643</v>
      </c>
      <c r="AM5" s="63" t="s">
        <v>1644</v>
      </c>
      <c r="AN5" s="1714" t="s">
        <v>1645</v>
      </c>
      <c r="AO5" s="1584" t="s">
        <v>1646</v>
      </c>
      <c r="AP5" s="1075" t="s">
        <v>1647</v>
      </c>
      <c r="AQ5" s="1715" t="s">
        <v>1648</v>
      </c>
      <c r="AR5" s="1715" t="s">
        <v>1649</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4.25">
      <c r="A6" s="1716" t="str">
        <f>'数据-汇总表'!C19</f>
        <v>办公-研发楼</v>
      </c>
      <c r="B6" s="1717" t="str">
        <f>IF(A6=0,"","经营性")</f>
        <v>经营性</v>
      </c>
      <c r="C6" s="1718" t="s">
        <v>27</v>
      </c>
      <c r="D6" s="890">
        <f>SUMIF(项目基本情况!D$12:I$12,C6,项目基本情况!D$14:I$14)</f>
        <v>50</v>
      </c>
      <c r="E6" s="889">
        <f>IF(B6="","",SUMIF(项目基本情况!D$12:I$12,C6,项目基本情况!D$13:I$13))</f>
        <v>58546</v>
      </c>
      <c r="F6" s="65">
        <f>SUMIF(项目基本情况!D$12:I$12,C6,项目基本情况!D$15:I$15)</f>
        <v>37.409999999999997</v>
      </c>
      <c r="G6" s="66">
        <f>IF(ISERROR(ROUND(POWER(1+H6,D6-F6)*(POWER(1+H6,F6)-1)/(POWER(1+H6,D6)-1),3)),0,ROUND(POWER(1+H6,D6-F6)*(POWER(1+H6,F6)-1)/(POWER(1+H6,D6)-1),3))</f>
        <v>0.91900000000000004</v>
      </c>
      <c r="H6" s="700">
        <v>0.05</v>
      </c>
      <c r="I6" s="700">
        <v>5.5E-2</v>
      </c>
      <c r="J6" s="700">
        <v>7.4999999999999997E-2</v>
      </c>
      <c r="K6" s="1077">
        <f>SUMIF('数据-汇总表'!C$19:C$33,A6,'数据-汇总表'!E$19:E$33)</f>
        <v>116688.04</v>
      </c>
      <c r="L6" s="701">
        <v>5000</v>
      </c>
      <c r="M6" s="68">
        <f t="shared" ref="M6:M14" si="0">ROUND(K6*L6/10000,0)</f>
        <v>58344</v>
      </c>
      <c r="N6" s="699">
        <f>ROUND((1-0%)-(2022-2014)/60,2)</f>
        <v>0.87</v>
      </c>
      <c r="O6" s="68" t="str">
        <f>IF($N$5="成新度","——",ROUND(M6*N6,0))</f>
        <v>——</v>
      </c>
      <c r="P6" s="69" t="str">
        <f>IF($N$5="成新度","——",M6-O6)</f>
        <v>——</v>
      </c>
      <c r="Q6" s="702">
        <v>0.2</v>
      </c>
      <c r="R6" s="70">
        <f ca="1">SUMIF('数据-汇总表'!C$19:C$33,A6,'数据-汇总表'!R$19:R$27)</f>
        <v>30147.42</v>
      </c>
      <c r="S6" s="52">
        <f>IF('数据-汇总表'!$I$17="按面积比例",SUMIF('数据-汇总表'!C$19:C$33,A6,'数据-汇总表'!K$19:K$33),SUMIF('数据-汇总表'!C$19:C$33,A6,'数据-汇总表'!N$19:N$33))</f>
        <v>0</v>
      </c>
      <c r="T6" s="1202">
        <f>ROUND($L$14*S6/10000,0)</f>
        <v>0</v>
      </c>
      <c r="U6" s="71">
        <v>5.2</v>
      </c>
      <c r="V6" s="72">
        <v>0.03</v>
      </c>
      <c r="W6" s="72">
        <v>0.1</v>
      </c>
      <c r="X6" s="1086"/>
      <c r="Y6" s="73">
        <f>N6</f>
        <v>0.87</v>
      </c>
      <c r="Z6" s="74"/>
      <c r="AA6" s="67"/>
      <c r="AB6" s="67"/>
      <c r="AC6" s="1086"/>
      <c r="AD6" s="75"/>
      <c r="AE6" s="1087">
        <f ca="1">IF(AN6="",0,SUMIF(INDIRECT("'"&amp;AN6&amp;"'"&amp;"!E:E"),$AE$5,INDIRECT("'"&amp;AN6&amp;"'"&amp;"!F:F")))</f>
        <v>37.409999999999997</v>
      </c>
      <c r="AF6" s="79"/>
      <c r="AG6" s="135">
        <f>IF(AF6="",0,AE6-AF6)</f>
        <v>0</v>
      </c>
      <c r="AH6" s="76"/>
      <c r="AI6" s="78">
        <v>365</v>
      </c>
      <c r="AJ6" s="79"/>
      <c r="AK6" s="80">
        <v>5.0000000000000001E-3</v>
      </c>
      <c r="AL6" s="81">
        <v>1E-3</v>
      </c>
      <c r="AM6" s="82">
        <v>0.02</v>
      </c>
      <c r="AN6" s="1719" t="s">
        <v>3752</v>
      </c>
      <c r="AO6" s="53">
        <f ca="1">SUMIF(INDIRECT("'"&amp;AN6&amp;"'"&amp;"!A:A"),"总价",INDIRECT("'"&amp;AN6&amp;"'"&amp;"!B:B"))</f>
        <v>374227</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4.25">
      <c r="A7" s="1716" t="str">
        <f>'数据-汇总表'!C20</f>
        <v>地下车库</v>
      </c>
      <c r="B7" s="1717" t="str">
        <f t="shared" ref="B7:B13" si="1">IF(A7=0,"","经营性")</f>
        <v>经营性</v>
      </c>
      <c r="C7" s="1718" t="s">
        <v>3743</v>
      </c>
      <c r="D7" s="890">
        <f>SUMIF(项目基本情况!D$12:I$12,C7,项目基本情况!D$14:I$14)</f>
        <v>50</v>
      </c>
      <c r="E7" s="889">
        <f>IF(B7="","",SUMIF(项目基本情况!D$12:I$12,C7,项目基本情况!D$13:I$13))</f>
        <v>58546</v>
      </c>
      <c r="F7" s="65">
        <f>SUMIF(项目基本情况!D$12:I$12,C7,项目基本情况!D$15:I$15)</f>
        <v>37.409999999999997</v>
      </c>
      <c r="G7" s="66">
        <f t="shared" ref="G7:G11" si="2">IF(ISERROR(ROUND(POWER(1+H7,D7-F7)*(POWER(1+H7,F7)-1)/(POWER(1+H7,D7)-1),3)),0,ROUND(POWER(1+H7,D7-F7)*(POWER(1+H7,F7)-1)/(POWER(1+H7,D7)-1),3))</f>
        <v>0.90800000000000003</v>
      </c>
      <c r="H7" s="700">
        <v>4.4999999999999998E-2</v>
      </c>
      <c r="I7" s="700">
        <v>0.05</v>
      </c>
      <c r="J7" s="700">
        <v>7.4999999999999997E-2</v>
      </c>
      <c r="K7" s="1077">
        <f>SUMIF('数据-汇总表'!C$19:C$33,A7,'数据-汇总表'!E$19:E$33)</f>
        <v>60266.74</v>
      </c>
      <c r="L7" s="701">
        <f>L6</f>
        <v>5000</v>
      </c>
      <c r="M7" s="68">
        <f t="shared" si="0"/>
        <v>30133</v>
      </c>
      <c r="N7" s="699">
        <f>N6</f>
        <v>0.87</v>
      </c>
      <c r="O7" s="68" t="str">
        <f t="shared" ref="O7:O14" si="3">IF($N$5="成新度","——",ROUND(M7*N7,0))</f>
        <v>——</v>
      </c>
      <c r="P7" s="69" t="str">
        <f t="shared" ref="P7:P14" si="4">IF($N$5="成新度","——",M7-O7)</f>
        <v>——</v>
      </c>
      <c r="Q7" s="702">
        <v>0.1</v>
      </c>
      <c r="R7" s="70">
        <f ca="1">SUMIF('数据-汇总表'!C$19:C$33,A7,'数据-汇总表'!R$19:R$27)</f>
        <v>15570.46</v>
      </c>
      <c r="S7" s="52">
        <f>IF('数据-汇总表'!$I$17="按面积比例",SUMIF('数据-汇总表'!C$19:C$33,A7,'数据-汇总表'!K$19:K$33),SUMIF('数据-汇总表'!C$19:C$33,A7,'数据-汇总表'!N$19:N$33))</f>
        <v>0</v>
      </c>
      <c r="T7" s="1202">
        <f t="shared" ref="T7:T13" si="5">ROUND($L$14*S7/10000,0)</f>
        <v>0</v>
      </c>
      <c r="U7" s="3113">
        <v>1</v>
      </c>
      <c r="V7" s="72">
        <v>0.03</v>
      </c>
      <c r="W7" s="72">
        <v>0.1</v>
      </c>
      <c r="X7" s="1086"/>
      <c r="Y7" s="73">
        <f>N7</f>
        <v>0.87</v>
      </c>
      <c r="Z7" s="74"/>
      <c r="AA7" s="67"/>
      <c r="AB7" s="67"/>
      <c r="AC7" s="1086"/>
      <c r="AD7" s="75"/>
      <c r="AE7" s="1087">
        <f t="shared" ref="AE7:AE13" ca="1" si="6">IF(AN7="",0,SUMIF(INDIRECT("'"&amp;AN7&amp;"'"&amp;"!E:E"),$AE$5,INDIRECT("'"&amp;AN7&amp;"'"&amp;"!F:F")))</f>
        <v>37.409999999999997</v>
      </c>
      <c r="AF7" s="79"/>
      <c r="AG7" s="135">
        <f t="shared" ref="AG7:AG13" si="7">IF(AF7="",0,AE7-AF7)</f>
        <v>0</v>
      </c>
      <c r="AH7" s="76"/>
      <c r="AI7" s="78">
        <v>365</v>
      </c>
      <c r="AJ7" s="79"/>
      <c r="AK7" s="80">
        <v>5.0000000000000001E-3</v>
      </c>
      <c r="AL7" s="81">
        <v>1E-3</v>
      </c>
      <c r="AM7" s="82">
        <v>0.02</v>
      </c>
      <c r="AN7" s="1719" t="s">
        <v>3757</v>
      </c>
      <c r="AO7" s="53">
        <f t="shared" ref="AO7:AO13" ca="1" si="8">SUMIF(INDIRECT("'"&amp;AN7&amp;"'"&amp;"!A:A"),"总价",INDIRECT("'"&amp;AN7&amp;"'"&amp;"!B:B"))</f>
        <v>35718</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4.25" hidden="1">
      <c r="A8" s="1716">
        <f>'数据-汇总表'!C21</f>
        <v>0</v>
      </c>
      <c r="B8" s="1717" t="str">
        <f t="shared" si="1"/>
        <v/>
      </c>
      <c r="C8" s="1718"/>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4.25" hidden="1">
      <c r="A9" s="1716">
        <f>'数据-汇总表'!C22</f>
        <v>0</v>
      </c>
      <c r="B9" s="1717" t="str">
        <f t="shared" si="1"/>
        <v/>
      </c>
      <c r="C9" s="1718"/>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4.25" hidden="1">
      <c r="A10" s="1716">
        <f>'数据-汇总表'!C23</f>
        <v>0</v>
      </c>
      <c r="B10" s="1717" t="str">
        <f t="shared" si="1"/>
        <v/>
      </c>
      <c r="C10" s="1718"/>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4.25" hidden="1">
      <c r="A11" s="1716">
        <f>'数据-汇总表'!C24</f>
        <v>0</v>
      </c>
      <c r="B11" s="1717" t="str">
        <f t="shared" si="1"/>
        <v/>
      </c>
      <c r="C11" s="1718"/>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4.25" hidden="1">
      <c r="A12" s="1716">
        <f>'数据-汇总表'!C25</f>
        <v>0</v>
      </c>
      <c r="B12" s="1717" t="str">
        <f t="shared" si="1"/>
        <v/>
      </c>
      <c r="C12" s="1718"/>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4.25" hidden="1">
      <c r="A13" s="1716">
        <f>'数据-汇总表'!C26</f>
        <v>0</v>
      </c>
      <c r="B13" s="1717" t="str">
        <f t="shared" si="1"/>
        <v/>
      </c>
      <c r="C13" s="1718"/>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25">
      <c r="A14" s="1721" t="s">
        <v>1650</v>
      </c>
      <c r="B14" s="1717" t="s">
        <v>1651</v>
      </c>
      <c r="C14" s="1722" t="s">
        <v>1650</v>
      </c>
      <c r="D14" s="890"/>
      <c r="E14" s="889"/>
      <c r="F14" s="65"/>
      <c r="G14" s="66"/>
      <c r="H14" s="1076"/>
      <c r="I14" s="1076"/>
      <c r="J14" s="1076"/>
      <c r="K14" s="1077">
        <f>SUMIF('数据-汇总表'!C$19:C$33,A14,'数据-汇总表'!E$19:E$33)</f>
        <v>0</v>
      </c>
      <c r="L14" s="84"/>
      <c r="M14" s="68">
        <f t="shared" si="0"/>
        <v>0</v>
      </c>
      <c r="N14" s="85"/>
      <c r="O14" s="68" t="str">
        <f t="shared" si="3"/>
        <v>——</v>
      </c>
      <c r="P14" s="69" t="str">
        <f t="shared" si="4"/>
        <v>——</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0"/>
      <c r="AO14" s="2602"/>
      <c r="AP14" s="2602"/>
      <c r="AQ14" s="2602"/>
      <c r="AR14" s="2602"/>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7">
      <c r="A15" s="1721" t="s">
        <v>1652</v>
      </c>
      <c r="B15" s="1717" t="s">
        <v>1651</v>
      </c>
      <c r="C15" s="1722" t="s">
        <v>1653</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0"/>
      <c r="AO15" s="2602"/>
      <c r="AP15" s="2602"/>
      <c r="AQ15" s="2602"/>
      <c r="AR15" s="2602"/>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5.75" thickBot="1">
      <c r="A16" s="1723" t="s">
        <v>1654</v>
      </c>
      <c r="B16" s="87"/>
      <c r="C16" s="868"/>
      <c r="D16" s="1724"/>
      <c r="E16" s="87"/>
      <c r="F16" s="87"/>
      <c r="G16" s="88">
        <f>ROUND(SUMPRODUCT(G6:G13,K6:K13)/SUMPRODUCT((G6:G13&gt;0)*(K6:K13)),3)</f>
        <v>0.91500000000000004</v>
      </c>
      <c r="H16" s="89">
        <f>ROUND(SUMPRODUCT(H6:H13,K6:K13)/SUMPRODUCT((H6:H13&gt;0)*(K6:K13)),3)</f>
        <v>4.8000000000000001E-2</v>
      </c>
      <c r="I16" s="90"/>
      <c r="J16" s="90"/>
      <c r="K16" s="91">
        <f>SUM(K6:K15)</f>
        <v>176954.78</v>
      </c>
      <c r="L16" s="92">
        <f>ROUND(M16*10000/SUM(K6:K14),0)</f>
        <v>5000</v>
      </c>
      <c r="M16" s="92">
        <f>SUM(M6:M14)</f>
        <v>88477</v>
      </c>
      <c r="N16" s="93">
        <f>ROUND(SUMPRODUCT(M6:M14,N6:N14)/M16,3)</f>
        <v>0.87</v>
      </c>
      <c r="O16" s="92">
        <f>SUM(O6:O14)</f>
        <v>0</v>
      </c>
      <c r="P16" s="92">
        <f>SUM(P6:P14)</f>
        <v>0</v>
      </c>
      <c r="Q16" s="94">
        <f>ROUND(SUMPRODUCT(Q6:Q13,K6:K13)/SUMPRODUCT((Q6:Q13&gt;0)*(K6:K13)),2)</f>
        <v>0.17</v>
      </c>
      <c r="R16" s="1081">
        <f ca="1">SUM(R6:R13)</f>
        <v>45717.88</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0"/>
      <c r="AO16" s="2602"/>
      <c r="AP16" s="2602"/>
      <c r="AQ16" s="2602"/>
      <c r="AR16" s="2602"/>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5" thickBot="1">
      <c r="A17" s="1725"/>
      <c r="B17" s="2619"/>
      <c r="C17" s="2610"/>
      <c r="D17" s="2612"/>
      <c r="E17" s="2612"/>
      <c r="F17" s="2610"/>
      <c r="G17" s="2610"/>
      <c r="H17" s="2610"/>
      <c r="I17" s="2610"/>
      <c r="J17" s="2610"/>
      <c r="K17" s="2611"/>
      <c r="L17" s="2611"/>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0"/>
      <c r="AK17" s="2610"/>
      <c r="AL17" s="2610"/>
      <c r="AM17" s="2610"/>
      <c r="AN17" s="2610"/>
      <c r="AO17" s="2610"/>
      <c r="AP17" s="2610"/>
      <c r="AQ17" s="2610"/>
      <c r="AR17" s="2610"/>
    </row>
    <row r="18" spans="1:44" ht="15" thickBot="1">
      <c r="A18" s="61" t="s">
        <v>1655</v>
      </c>
      <c r="B18" s="2622"/>
      <c r="C18" s="2602"/>
      <c r="D18" s="2613"/>
      <c r="E18" s="2602"/>
      <c r="F18" s="2602"/>
      <c r="G18" s="2602"/>
      <c r="H18" s="2602"/>
      <c r="I18" s="2602"/>
      <c r="J18" s="2602"/>
      <c r="K18" s="2611"/>
      <c r="L18" s="2611"/>
      <c r="M18" s="2610"/>
      <c r="N18" s="2610"/>
      <c r="O18" s="2610"/>
      <c r="P18" s="2610"/>
      <c r="Q18" s="2610"/>
      <c r="R18" s="2610"/>
      <c r="S18" s="2610"/>
      <c r="T18" s="2610"/>
      <c r="U18" s="3127" t="s">
        <v>4211</v>
      </c>
      <c r="V18" s="126">
        <v>8.5</v>
      </c>
      <c r="W18" s="126">
        <f>'数据-汇总表'!F19</f>
        <v>116688.04</v>
      </c>
      <c r="X18" s="126">
        <f>W18*V18</f>
        <v>991848.34</v>
      </c>
      <c r="Y18" s="126"/>
      <c r="Z18" s="3127" t="s">
        <v>4212</v>
      </c>
      <c r="AA18" s="126">
        <v>1</v>
      </c>
      <c r="AB18" s="126">
        <v>6</v>
      </c>
      <c r="AC18" s="126"/>
      <c r="AD18" s="2610"/>
      <c r="AE18" s="2610"/>
      <c r="AF18" s="2610"/>
      <c r="AG18" s="2610"/>
      <c r="AH18" s="2610"/>
      <c r="AI18" s="2610"/>
      <c r="AJ18" s="2610"/>
      <c r="AK18" s="2610"/>
      <c r="AL18" s="2610"/>
      <c r="AM18" s="2610"/>
      <c r="AN18" s="2610"/>
      <c r="AO18" s="2610"/>
      <c r="AP18" s="2610"/>
      <c r="AQ18" s="2610"/>
      <c r="AR18" s="2610"/>
    </row>
    <row r="19" spans="1:44" ht="14.25">
      <c r="A19" s="1726" t="s">
        <v>1656</v>
      </c>
      <c r="B19" s="102">
        <v>0</v>
      </c>
      <c r="C19" s="2724" t="s">
        <v>2799</v>
      </c>
      <c r="D19" s="2613"/>
      <c r="E19" s="2602"/>
      <c r="F19" s="2602"/>
      <c r="G19" s="2602"/>
      <c r="H19" s="2602"/>
      <c r="I19" s="2602"/>
      <c r="J19" s="2602"/>
      <c r="K19" s="2611"/>
      <c r="L19" s="2611"/>
      <c r="M19" s="2610"/>
      <c r="N19" s="2610"/>
      <c r="O19" s="2610"/>
      <c r="P19" s="2610"/>
      <c r="Q19" s="2610"/>
      <c r="R19" s="2610"/>
      <c r="S19" s="2610"/>
      <c r="T19" s="2610"/>
      <c r="U19" s="3127" t="s">
        <v>4213</v>
      </c>
      <c r="V19" s="126">
        <v>1.8</v>
      </c>
      <c r="W19" s="126">
        <f>'[1]数据-汇总表'!G19</f>
        <v>0</v>
      </c>
      <c r="X19" s="126">
        <f>W19*V19</f>
        <v>0</v>
      </c>
      <c r="Y19" s="126"/>
      <c r="Z19" s="126"/>
      <c r="AA19" s="126">
        <v>-1</v>
      </c>
      <c r="AB19" s="126">
        <f>AB18*AC19</f>
        <v>1.7999999999999998</v>
      </c>
      <c r="AC19" s="126">
        <v>0.3</v>
      </c>
      <c r="AD19" s="2610"/>
      <c r="AE19" s="2610"/>
      <c r="AF19" s="2610"/>
      <c r="AG19" s="2610"/>
      <c r="AH19" s="2610"/>
      <c r="AI19" s="2610"/>
      <c r="AJ19" s="2610"/>
      <c r="AK19" s="2610"/>
      <c r="AL19" s="2610"/>
      <c r="AM19" s="2610"/>
      <c r="AN19" s="2610"/>
      <c r="AO19" s="2610"/>
      <c r="AP19" s="2610"/>
      <c r="AQ19" s="2610"/>
      <c r="AR19" s="2610"/>
    </row>
    <row r="20" spans="1:44" ht="14.25">
      <c r="A20" s="1727" t="s">
        <v>1657</v>
      </c>
      <c r="B20" s="103">
        <v>3</v>
      </c>
      <c r="C20" s="2725" t="s">
        <v>2797</v>
      </c>
      <c r="D20" s="2613"/>
      <c r="E20" s="2602"/>
      <c r="F20" s="2602"/>
      <c r="G20" s="2602"/>
      <c r="H20" s="2602"/>
      <c r="I20" s="2602"/>
      <c r="J20" s="2602"/>
      <c r="K20" s="2611"/>
      <c r="L20" s="2611"/>
      <c r="M20" s="2610"/>
      <c r="N20" s="2610"/>
      <c r="O20" s="2610"/>
      <c r="P20" s="2610"/>
      <c r="Q20" s="2610"/>
      <c r="R20" s="2610"/>
      <c r="S20" s="2610"/>
      <c r="T20" s="2610"/>
      <c r="U20" s="126"/>
      <c r="V20" s="126">
        <f>(X18+X19)/(W18+W19)</f>
        <v>8.5</v>
      </c>
      <c r="W20" s="126"/>
      <c r="X20" s="126"/>
      <c r="Y20" s="126"/>
      <c r="Z20" s="126"/>
      <c r="AA20" s="126"/>
      <c r="AB20" s="126"/>
      <c r="AC20" s="126"/>
      <c r="AD20" s="2610"/>
      <c r="AE20" s="2610"/>
      <c r="AF20" s="2610"/>
      <c r="AG20" s="2610"/>
      <c r="AH20" s="2610"/>
      <c r="AI20" s="2610"/>
      <c r="AJ20" s="2610"/>
      <c r="AK20" s="2610"/>
      <c r="AL20" s="2610"/>
      <c r="AM20" s="2610"/>
      <c r="AN20" s="2610"/>
      <c r="AO20" s="2610"/>
      <c r="AP20" s="2610"/>
      <c r="AQ20" s="2610"/>
      <c r="AR20" s="2610"/>
    </row>
    <row r="21" spans="1:44" ht="14.25">
      <c r="A21" s="1728" t="s">
        <v>1658</v>
      </c>
      <c r="B21" s="103">
        <v>3</v>
      </c>
      <c r="C21" s="2602"/>
      <c r="D21" s="2613"/>
      <c r="E21" s="2602"/>
      <c r="F21" s="2602"/>
      <c r="G21" s="2602"/>
      <c r="H21" s="2602"/>
      <c r="I21" s="2602"/>
      <c r="J21" s="2602"/>
      <c r="K21" s="2611"/>
      <c r="L21" s="2611"/>
      <c r="M21" s="2610"/>
      <c r="N21" s="2610"/>
      <c r="O21" s="2610"/>
      <c r="P21" s="2610"/>
      <c r="Q21" s="2610"/>
      <c r="R21" s="2610"/>
      <c r="S21" s="2610"/>
      <c r="T21" s="2610"/>
      <c r="U21" s="126"/>
      <c r="V21" s="126"/>
      <c r="W21" s="126"/>
      <c r="X21" s="126"/>
      <c r="Y21" s="126"/>
      <c r="Z21" s="126"/>
      <c r="AA21" s="126"/>
      <c r="AB21" s="126"/>
      <c r="AC21" s="126"/>
      <c r="AD21" s="2610"/>
      <c r="AE21" s="2610"/>
      <c r="AF21" s="2610"/>
      <c r="AG21" s="2610"/>
      <c r="AH21" s="2610"/>
      <c r="AI21" s="2610"/>
      <c r="AJ21" s="2610"/>
      <c r="AK21" s="2610"/>
      <c r="AL21" s="2610"/>
      <c r="AM21" s="2610"/>
      <c r="AN21" s="2610"/>
      <c r="AO21" s="2610"/>
      <c r="AP21" s="2610"/>
      <c r="AQ21" s="2610"/>
      <c r="AR21" s="2610"/>
    </row>
    <row r="22" spans="1:44" ht="14.25">
      <c r="A22" s="1727" t="s">
        <v>1659</v>
      </c>
      <c r="B22" s="104">
        <f>B19+B20</f>
        <v>3</v>
      </c>
      <c r="C22" s="2602"/>
      <c r="D22" s="2613"/>
      <c r="E22" s="2602"/>
      <c r="F22" s="2602"/>
      <c r="G22" s="2602"/>
      <c r="H22" s="2602"/>
      <c r="I22" s="2602"/>
      <c r="J22" s="2602"/>
      <c r="K22" s="2611"/>
      <c r="L22" s="2611"/>
      <c r="M22" s="2610"/>
      <c r="N22" s="2610"/>
      <c r="O22" s="2610"/>
      <c r="P22" s="2610"/>
      <c r="Q22" s="2610"/>
      <c r="R22" s="2610"/>
      <c r="S22" s="2610"/>
      <c r="T22" s="2610"/>
      <c r="U22" s="126"/>
      <c r="V22" s="126"/>
      <c r="W22" s="126"/>
      <c r="X22" s="126"/>
      <c r="Y22" s="126"/>
      <c r="Z22" s="126"/>
      <c r="AA22" s="126"/>
      <c r="AB22" s="126"/>
      <c r="AC22" s="126"/>
      <c r="AD22" s="2610"/>
      <c r="AE22" s="2610"/>
      <c r="AF22" s="2610"/>
      <c r="AG22" s="2610"/>
      <c r="AH22" s="2610"/>
      <c r="AI22" s="2610"/>
      <c r="AJ22" s="2610"/>
      <c r="AK22" s="2610"/>
      <c r="AL22" s="2610"/>
      <c r="AM22" s="2610"/>
      <c r="AN22" s="2610"/>
      <c r="AO22" s="2610"/>
      <c r="AP22" s="2610"/>
      <c r="AQ22" s="2610"/>
      <c r="AR22" s="2610"/>
    </row>
    <row r="23" spans="1:44" ht="14.25">
      <c r="A23" s="1728" t="s">
        <v>1660</v>
      </c>
      <c r="B23" s="104">
        <f>B19+B21</f>
        <v>3</v>
      </c>
      <c r="C23" s="2602"/>
      <c r="D23" s="2613"/>
      <c r="E23" s="2602"/>
      <c r="F23" s="2602"/>
      <c r="G23" s="2602"/>
      <c r="H23" s="2602"/>
      <c r="I23" s="2602"/>
      <c r="J23" s="2602"/>
      <c r="K23" s="2611"/>
      <c r="L23" s="2611"/>
      <c r="M23" s="2610"/>
      <c r="N23" s="2610"/>
      <c r="O23" s="2610"/>
      <c r="P23" s="2610"/>
      <c r="Q23" s="2610"/>
      <c r="R23" s="2610"/>
      <c r="S23" s="2610"/>
      <c r="T23" s="2610"/>
      <c r="U23" s="3127" t="s">
        <v>4214</v>
      </c>
      <c r="V23" s="126">
        <v>1.73</v>
      </c>
      <c r="W23" s="126"/>
      <c r="X23" s="126"/>
      <c r="Y23" s="126"/>
      <c r="Z23" s="126"/>
      <c r="AA23" s="126"/>
      <c r="AB23" s="126"/>
      <c r="AC23" s="126"/>
      <c r="AD23" s="2610"/>
      <c r="AE23" s="2610"/>
      <c r="AF23" s="2610"/>
      <c r="AG23" s="2610"/>
      <c r="AH23" s="2610"/>
      <c r="AI23" s="2610"/>
      <c r="AJ23" s="2610"/>
      <c r="AK23" s="2610"/>
      <c r="AL23" s="2610"/>
      <c r="AM23" s="2610"/>
      <c r="AN23" s="2610"/>
      <c r="AO23" s="2610"/>
      <c r="AP23" s="2610"/>
      <c r="AQ23" s="2610"/>
      <c r="AR23" s="2610"/>
    </row>
    <row r="24" spans="1:44" ht="15" thickBot="1">
      <c r="A24" s="1729" t="s">
        <v>1661</v>
      </c>
      <c r="B24" s="105">
        <f>B20-B21</f>
        <v>0</v>
      </c>
      <c r="C24" s="2602"/>
      <c r="D24" s="2613"/>
      <c r="E24" s="2602"/>
      <c r="F24" s="2602"/>
      <c r="G24" s="2602"/>
      <c r="H24" s="2602"/>
      <c r="I24" s="2602"/>
      <c r="J24" s="2602"/>
      <c r="K24" s="2611"/>
      <c r="L24" s="2611"/>
      <c r="M24" s="2610"/>
      <c r="N24" s="2610"/>
      <c r="O24" s="2610"/>
      <c r="P24" s="2610"/>
      <c r="Q24" s="2610"/>
      <c r="R24" s="2610"/>
      <c r="S24" s="2610"/>
      <c r="T24" s="2610"/>
      <c r="U24" s="3127" t="s">
        <v>4215</v>
      </c>
      <c r="V24" s="126">
        <v>1.27</v>
      </c>
      <c r="W24" s="126"/>
      <c r="X24" s="126"/>
      <c r="Y24" s="126"/>
      <c r="Z24" s="126"/>
      <c r="AA24" s="126"/>
      <c r="AB24" s="126"/>
      <c r="AC24" s="126"/>
      <c r="AD24" s="2610"/>
      <c r="AE24" s="2610"/>
      <c r="AF24" s="2610"/>
      <c r="AG24" s="2610"/>
      <c r="AH24" s="2610"/>
      <c r="AI24" s="2610"/>
      <c r="AJ24" s="2610"/>
      <c r="AK24" s="2610"/>
      <c r="AL24" s="2610"/>
      <c r="AM24" s="2610"/>
      <c r="AN24" s="2610"/>
      <c r="AO24" s="2610"/>
      <c r="AP24" s="2610"/>
      <c r="AQ24" s="2610"/>
      <c r="AR24" s="2610"/>
    </row>
    <row r="25" spans="1:44" ht="15" thickBot="1">
      <c r="A25" s="1579"/>
      <c r="B25" s="1672"/>
      <c r="C25" s="2602"/>
      <c r="D25" s="2613"/>
      <c r="E25" s="2602"/>
      <c r="F25" s="2602"/>
      <c r="G25" s="2602"/>
      <c r="H25" s="2602"/>
      <c r="I25" s="2602"/>
      <c r="J25" s="2602"/>
      <c r="K25" s="2611"/>
      <c r="L25" s="2611"/>
      <c r="M25" s="2610"/>
      <c r="N25" s="2610"/>
      <c r="O25" s="2610"/>
      <c r="P25" s="2610"/>
      <c r="Q25" s="2610"/>
      <c r="R25" s="2610"/>
      <c r="S25" s="2610"/>
      <c r="T25" s="2610"/>
      <c r="U25" s="3127" t="s">
        <v>4216</v>
      </c>
      <c r="V25" s="126">
        <v>7.2</v>
      </c>
      <c r="W25" s="126"/>
      <c r="X25" s="126"/>
      <c r="Y25" s="126"/>
      <c r="Z25" s="126"/>
      <c r="AA25" s="126"/>
      <c r="AB25" s="126"/>
      <c r="AC25" s="126"/>
      <c r="AD25" s="2610"/>
      <c r="AE25" s="2610"/>
      <c r="AF25" s="2610"/>
      <c r="AG25" s="2610"/>
      <c r="AH25" s="2610"/>
      <c r="AI25" s="2610"/>
      <c r="AJ25" s="2610"/>
      <c r="AK25" s="2610"/>
      <c r="AL25" s="2610"/>
      <c r="AM25" s="2610"/>
      <c r="AN25" s="2610"/>
      <c r="AO25" s="2610"/>
      <c r="AP25" s="2610"/>
      <c r="AQ25" s="2610"/>
      <c r="AR25" s="2610"/>
    </row>
    <row r="26" spans="1:44" ht="15" thickBot="1">
      <c r="A26" s="1692" t="s">
        <v>1662</v>
      </c>
      <c r="B26" s="1730" t="s">
        <v>1663</v>
      </c>
      <c r="C26" s="2614" t="s">
        <v>1664</v>
      </c>
      <c r="D26" s="2613"/>
      <c r="E26" s="2602"/>
      <c r="F26" s="2602"/>
      <c r="G26" s="2602"/>
      <c r="H26" s="2602"/>
      <c r="I26" s="2602"/>
      <c r="J26" s="2602"/>
      <c r="K26" s="2611"/>
      <c r="L26" s="2611"/>
      <c r="M26" s="2610"/>
      <c r="N26" s="2610"/>
      <c r="O26" s="2610"/>
      <c r="P26" s="2610"/>
      <c r="Q26" s="2610"/>
      <c r="R26" s="2610"/>
      <c r="S26" s="2610"/>
      <c r="T26" s="2610"/>
      <c r="U26" s="3127" t="s">
        <v>4217</v>
      </c>
      <c r="V26" s="126">
        <f>V25/(V23/V24)</f>
        <v>5.2855491329479767</v>
      </c>
      <c r="W26" s="126"/>
      <c r="X26" s="126"/>
      <c r="Y26" s="126"/>
      <c r="Z26" s="126"/>
      <c r="AA26" s="126"/>
      <c r="AB26" s="126"/>
      <c r="AC26" s="126"/>
      <c r="AD26" s="2610"/>
      <c r="AE26" s="2610"/>
      <c r="AF26" s="2610"/>
      <c r="AG26" s="2610"/>
      <c r="AH26" s="2610"/>
      <c r="AI26" s="2610"/>
      <c r="AJ26" s="2610"/>
      <c r="AK26" s="2610"/>
      <c r="AL26" s="2610"/>
      <c r="AM26" s="2610"/>
      <c r="AN26" s="2610"/>
      <c r="AO26" s="2610"/>
      <c r="AP26" s="2610"/>
      <c r="AQ26" s="2610"/>
      <c r="AR26" s="2610"/>
    </row>
    <row r="27" spans="1:44" ht="27.75">
      <c r="A27" s="1731" t="s">
        <v>1665</v>
      </c>
      <c r="B27" s="106">
        <v>160</v>
      </c>
      <c r="C27" s="2726" t="s">
        <v>2801</v>
      </c>
      <c r="D27" s="2616"/>
      <c r="E27" s="2603"/>
      <c r="F27" s="2603"/>
      <c r="G27" s="2602"/>
      <c r="H27" s="2602"/>
      <c r="I27" s="2602"/>
      <c r="J27" s="2602"/>
      <c r="K27" s="2611"/>
      <c r="L27" s="2611"/>
      <c r="M27" s="2610"/>
      <c r="N27" s="2610"/>
      <c r="O27" s="2610"/>
      <c r="P27" s="2610"/>
      <c r="Q27" s="2610"/>
      <c r="R27" s="2610"/>
      <c r="S27" s="2610"/>
      <c r="T27" s="2610"/>
      <c r="U27" s="2610"/>
      <c r="V27" s="2610"/>
      <c r="W27" s="2610"/>
      <c r="X27" s="2610"/>
      <c r="Y27" s="2610"/>
      <c r="Z27" s="2610"/>
      <c r="AA27" s="2610"/>
      <c r="AB27" s="2610"/>
      <c r="AC27" s="2610"/>
      <c r="AD27" s="2610"/>
      <c r="AE27" s="2610"/>
      <c r="AF27" s="2610"/>
      <c r="AG27" s="2610"/>
      <c r="AH27" s="2610"/>
      <c r="AI27" s="2610"/>
      <c r="AJ27" s="2610"/>
      <c r="AK27" s="2610"/>
      <c r="AL27" s="2610"/>
      <c r="AM27" s="2610"/>
      <c r="AN27" s="2610"/>
      <c r="AO27" s="2610"/>
      <c r="AP27" s="2610"/>
      <c r="AQ27" s="2610"/>
      <c r="AR27" s="2610"/>
    </row>
    <row r="28" spans="1:44" ht="27.75">
      <c r="A28" s="1732" t="s">
        <v>1666</v>
      </c>
      <c r="B28" s="108">
        <v>200</v>
      </c>
      <c r="C28" s="2617"/>
      <c r="D28" s="2616"/>
      <c r="E28" s="2603"/>
      <c r="F28" s="2603"/>
      <c r="G28" s="2602"/>
      <c r="H28" s="2602"/>
      <c r="I28" s="2602"/>
      <c r="J28" s="2602"/>
      <c r="K28" s="2611"/>
      <c r="L28" s="2611"/>
      <c r="M28" s="2610"/>
      <c r="N28" s="2610"/>
      <c r="O28" s="2610"/>
      <c r="P28" s="2610"/>
      <c r="Q28" s="2610"/>
      <c r="R28" s="2610"/>
      <c r="S28" s="2610"/>
      <c r="T28" s="2610"/>
      <c r="U28" s="2610"/>
      <c r="V28" s="2610"/>
      <c r="W28" s="2610"/>
      <c r="X28" s="2610"/>
      <c r="Y28" s="2610"/>
      <c r="Z28" s="2610"/>
      <c r="AA28" s="2610"/>
      <c r="AB28" s="2610"/>
      <c r="AC28" s="2610"/>
      <c r="AD28" s="2610"/>
      <c r="AE28" s="2610"/>
      <c r="AF28" s="2610"/>
      <c r="AG28" s="2610"/>
      <c r="AH28" s="2610"/>
      <c r="AI28" s="2610"/>
      <c r="AJ28" s="2610"/>
      <c r="AK28" s="2610"/>
      <c r="AL28" s="2610"/>
      <c r="AM28" s="2610"/>
      <c r="AN28" s="2610"/>
      <c r="AO28" s="2610"/>
      <c r="AP28" s="2610"/>
      <c r="AQ28" s="2610"/>
      <c r="AR28" s="2610"/>
    </row>
    <row r="29" spans="1:44" ht="28.5" thickBot="1">
      <c r="A29" s="1733" t="s">
        <v>1667</v>
      </c>
      <c r="B29" s="110">
        <f ca="1">成本法!C10</f>
        <v>3539</v>
      </c>
      <c r="C29" s="2727" t="s">
        <v>2788</v>
      </c>
      <c r="D29" s="2616"/>
      <c r="E29" s="2603"/>
      <c r="F29" s="2603"/>
      <c r="G29" s="2602"/>
      <c r="H29" s="2602"/>
      <c r="I29" s="2602"/>
      <c r="J29" s="2602"/>
      <c r="K29" s="2611"/>
      <c r="L29" s="2611"/>
      <c r="M29" s="2610"/>
      <c r="N29" s="2610"/>
      <c r="O29" s="2610"/>
      <c r="P29" s="2610"/>
      <c r="Q29" s="2610"/>
      <c r="R29" s="2610"/>
      <c r="S29" s="2610"/>
      <c r="T29" s="2610"/>
      <c r="U29" s="2610"/>
      <c r="V29" s="2610"/>
      <c r="W29" s="2610"/>
      <c r="X29" s="2610"/>
      <c r="Y29" s="2610"/>
      <c r="Z29" s="2610"/>
      <c r="AA29" s="2610"/>
      <c r="AB29" s="2610"/>
      <c r="AC29" s="2610"/>
      <c r="AD29" s="2610"/>
      <c r="AE29" s="2610"/>
      <c r="AF29" s="2610"/>
      <c r="AG29" s="2610"/>
      <c r="AH29" s="2610"/>
      <c r="AI29" s="2610"/>
      <c r="AJ29" s="2610"/>
      <c r="AK29" s="2610"/>
      <c r="AL29" s="2610"/>
      <c r="AM29" s="2610"/>
      <c r="AN29" s="2610"/>
      <c r="AO29" s="2610"/>
      <c r="AP29" s="2610"/>
      <c r="AQ29" s="2610"/>
      <c r="AR29" s="2610"/>
    </row>
    <row r="30" spans="1:44" ht="27">
      <c r="A30" s="1734" t="s">
        <v>1668</v>
      </c>
      <c r="B30" s="647">
        <v>200</v>
      </c>
      <c r="C30" s="2617"/>
      <c r="D30" s="2616"/>
      <c r="E30" s="2603"/>
      <c r="F30" s="2603"/>
      <c r="G30" s="2602"/>
      <c r="H30" s="2602"/>
      <c r="I30" s="2602"/>
      <c r="J30" s="2602"/>
      <c r="K30" s="2611"/>
      <c r="L30" s="2611"/>
      <c r="M30" s="2610"/>
      <c r="N30" s="2610"/>
      <c r="O30" s="2610"/>
      <c r="P30" s="2610"/>
      <c r="Q30" s="2610"/>
      <c r="R30" s="2610"/>
      <c r="S30" s="2610"/>
      <c r="T30" s="2610"/>
      <c r="U30" s="2610"/>
      <c r="V30" s="2610"/>
      <c r="W30" s="2610"/>
      <c r="X30" s="2610"/>
      <c r="Y30" s="2610"/>
      <c r="Z30" s="2610"/>
      <c r="AA30" s="2610"/>
      <c r="AB30" s="2610"/>
      <c r="AC30" s="2610"/>
      <c r="AD30" s="2610"/>
      <c r="AE30" s="2610"/>
      <c r="AF30" s="2610"/>
      <c r="AG30" s="2610"/>
      <c r="AH30" s="2610"/>
      <c r="AI30" s="2610"/>
      <c r="AJ30" s="2610"/>
      <c r="AK30" s="2610"/>
      <c r="AL30" s="2610"/>
      <c r="AM30" s="2610"/>
      <c r="AN30" s="2610"/>
      <c r="AO30" s="2610"/>
      <c r="AP30" s="2610"/>
      <c r="AQ30" s="2610"/>
      <c r="AR30" s="2610"/>
    </row>
    <row r="31" spans="1:44" ht="27">
      <c r="A31" s="1732" t="s">
        <v>1669</v>
      </c>
      <c r="B31" s="109">
        <f>B30-B32</f>
        <v>200</v>
      </c>
      <c r="C31" s="2615"/>
      <c r="D31" s="2616"/>
      <c r="E31" s="2603"/>
      <c r="F31" s="2603"/>
      <c r="G31" s="2602"/>
      <c r="H31" s="2602"/>
      <c r="I31" s="2602"/>
      <c r="J31" s="2602"/>
      <c r="K31" s="2611"/>
      <c r="L31" s="2611"/>
      <c r="M31" s="2610"/>
      <c r="N31" s="2610"/>
      <c r="O31" s="2610"/>
      <c r="P31" s="2610"/>
      <c r="Q31" s="2610"/>
      <c r="R31" s="2610"/>
      <c r="S31" s="2610"/>
      <c r="T31" s="2610"/>
      <c r="U31" s="2610"/>
      <c r="V31" s="2610"/>
      <c r="W31" s="2610"/>
      <c r="X31" s="2610"/>
      <c r="Y31" s="2610"/>
      <c r="Z31" s="2610"/>
      <c r="AA31" s="2610"/>
      <c r="AB31" s="2610"/>
      <c r="AC31" s="2610"/>
      <c r="AD31" s="2610"/>
      <c r="AE31" s="2610"/>
      <c r="AF31" s="2610"/>
      <c r="AG31" s="2610"/>
      <c r="AH31" s="2610"/>
      <c r="AI31" s="2610"/>
      <c r="AJ31" s="2610"/>
      <c r="AK31" s="2610"/>
      <c r="AL31" s="2610"/>
      <c r="AM31" s="2610"/>
      <c r="AN31" s="2610"/>
      <c r="AO31" s="2610"/>
      <c r="AP31" s="2610"/>
      <c r="AQ31" s="2610"/>
      <c r="AR31" s="2610"/>
    </row>
    <row r="32" spans="1:44" ht="27.75" thickBot="1">
      <c r="A32" s="1735" t="s">
        <v>1670</v>
      </c>
      <c r="B32" s="648">
        <v>0</v>
      </c>
      <c r="C32" s="2617"/>
      <c r="D32" s="2613"/>
      <c r="E32" s="2602"/>
      <c r="F32" s="2602"/>
      <c r="G32" s="2602"/>
      <c r="H32" s="2602"/>
      <c r="I32" s="2602"/>
      <c r="J32" s="2602"/>
      <c r="K32" s="2611"/>
      <c r="L32" s="2611"/>
      <c r="M32" s="2610"/>
      <c r="N32" s="2610"/>
      <c r="O32" s="2610"/>
      <c r="P32" s="2610"/>
      <c r="Q32" s="2610"/>
      <c r="R32" s="2610"/>
      <c r="S32" s="2610"/>
      <c r="T32" s="2610"/>
      <c r="U32" s="2610"/>
      <c r="V32" s="2610"/>
      <c r="W32" s="2610"/>
      <c r="X32" s="2610"/>
      <c r="Y32" s="2610"/>
      <c r="Z32" s="2610"/>
      <c r="AA32" s="2610"/>
      <c r="AB32" s="2610"/>
      <c r="AC32" s="2610"/>
      <c r="AD32" s="2610"/>
      <c r="AE32" s="2610"/>
      <c r="AF32" s="2610"/>
      <c r="AG32" s="2610"/>
      <c r="AH32" s="2610"/>
      <c r="AI32" s="2610"/>
      <c r="AJ32" s="2610"/>
      <c r="AK32" s="2610"/>
      <c r="AL32" s="2610"/>
      <c r="AM32" s="2610"/>
      <c r="AN32" s="2610"/>
      <c r="AO32" s="2610"/>
      <c r="AP32" s="2610"/>
      <c r="AQ32" s="2610"/>
      <c r="AR32" s="2610"/>
    </row>
    <row r="33" spans="1:44" ht="14.25">
      <c r="A33" s="1731" t="s">
        <v>1671</v>
      </c>
      <c r="B33" s="649">
        <v>0.05</v>
      </c>
      <c r="C33" s="2728" t="s">
        <v>2789</v>
      </c>
      <c r="D33" s="2613"/>
      <c r="E33" s="2602"/>
      <c r="F33" s="2602"/>
      <c r="G33" s="2602"/>
      <c r="H33" s="2602"/>
      <c r="I33" s="2602"/>
      <c r="J33" s="2602"/>
      <c r="K33" s="2611"/>
      <c r="L33" s="2611"/>
      <c r="M33" s="2610"/>
      <c r="N33" s="2610"/>
      <c r="O33" s="2610"/>
      <c r="P33" s="2610"/>
      <c r="Q33" s="2610"/>
      <c r="R33" s="2610"/>
      <c r="S33" s="2610"/>
      <c r="T33" s="2610"/>
      <c r="U33" s="2610"/>
      <c r="V33" s="2610"/>
      <c r="W33" s="2610"/>
      <c r="X33" s="2610"/>
      <c r="Y33" s="2610"/>
      <c r="Z33" s="2610"/>
      <c r="AA33" s="2610"/>
      <c r="AB33" s="2610"/>
      <c r="AC33" s="2610"/>
      <c r="AD33" s="2610"/>
      <c r="AE33" s="2610"/>
      <c r="AF33" s="2610"/>
      <c r="AG33" s="2610"/>
      <c r="AH33" s="2610"/>
      <c r="AI33" s="2610"/>
      <c r="AJ33" s="2610"/>
      <c r="AK33" s="2610"/>
      <c r="AL33" s="2610"/>
      <c r="AM33" s="2610"/>
      <c r="AN33" s="2610"/>
      <c r="AO33" s="2610"/>
      <c r="AP33" s="2610"/>
      <c r="AQ33" s="2610"/>
      <c r="AR33" s="2610"/>
    </row>
    <row r="34" spans="1:44" ht="14.25">
      <c r="A34" s="1732" t="s">
        <v>1672</v>
      </c>
      <c r="B34" s="111">
        <v>0</v>
      </c>
      <c r="C34" s="2728" t="s">
        <v>2790</v>
      </c>
      <c r="D34" s="2621" t="s">
        <v>2798</v>
      </c>
      <c r="E34" s="2619"/>
      <c r="F34" s="2602"/>
      <c r="G34" s="2602"/>
      <c r="H34" s="2602"/>
      <c r="I34" s="2602"/>
      <c r="J34" s="2602"/>
      <c r="K34" s="2611"/>
      <c r="L34" s="2611"/>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0"/>
      <c r="AJ34" s="2610"/>
      <c r="AK34" s="2610"/>
      <c r="AL34" s="2610"/>
      <c r="AM34" s="2610"/>
      <c r="AN34" s="2610"/>
      <c r="AO34" s="2610"/>
      <c r="AP34" s="2610"/>
      <c r="AQ34" s="2610"/>
      <c r="AR34" s="2610"/>
    </row>
    <row r="35" spans="1:44" ht="14.25">
      <c r="A35" s="1732" t="s">
        <v>1673</v>
      </c>
      <c r="B35" s="108">
        <v>200</v>
      </c>
      <c r="C35" s="2728" t="s">
        <v>2791</v>
      </c>
      <c r="D35" s="2616"/>
      <c r="E35" s="2603"/>
      <c r="F35" s="2603"/>
      <c r="G35" s="2602"/>
      <c r="H35" s="2602"/>
      <c r="I35" s="2602"/>
      <c r="J35" s="2602"/>
      <c r="K35" s="2611"/>
      <c r="L35" s="2611"/>
      <c r="M35" s="2610"/>
      <c r="N35" s="2610"/>
      <c r="O35" s="2610"/>
      <c r="P35" s="2610"/>
      <c r="Q35" s="2610"/>
      <c r="R35" s="2610"/>
      <c r="S35" s="2610"/>
      <c r="T35" s="2610"/>
      <c r="U35" s="2610"/>
      <c r="V35" s="2610"/>
      <c r="W35" s="2610"/>
      <c r="X35" s="2610"/>
      <c r="Y35" s="2610"/>
      <c r="Z35" s="2610"/>
      <c r="AA35" s="2610"/>
      <c r="AB35" s="2610"/>
      <c r="AC35" s="2610"/>
      <c r="AD35" s="2610"/>
      <c r="AE35" s="2610"/>
      <c r="AF35" s="2610"/>
      <c r="AG35" s="2610"/>
      <c r="AH35" s="2610"/>
      <c r="AI35" s="2610"/>
      <c r="AJ35" s="2610"/>
      <c r="AK35" s="2610"/>
      <c r="AL35" s="2610"/>
      <c r="AM35" s="2610"/>
      <c r="AN35" s="2610"/>
      <c r="AO35" s="2610"/>
      <c r="AP35" s="2610"/>
      <c r="AQ35" s="2610"/>
      <c r="AR35" s="2610"/>
    </row>
    <row r="36" spans="1:44" ht="15" thickBot="1">
      <c r="A36" s="1733" t="s">
        <v>1674</v>
      </c>
      <c r="B36" s="112">
        <v>1.4999999999999999E-2</v>
      </c>
      <c r="C36" s="2728" t="s">
        <v>2792</v>
      </c>
      <c r="D36" s="2613"/>
      <c r="E36" s="2602"/>
      <c r="F36" s="2602"/>
      <c r="G36" s="2602"/>
      <c r="H36" s="2602"/>
      <c r="I36" s="2602"/>
      <c r="J36" s="2602"/>
      <c r="K36" s="2611"/>
      <c r="L36" s="2611"/>
      <c r="M36" s="2610"/>
      <c r="N36" s="2610"/>
      <c r="O36" s="2610"/>
      <c r="P36" s="2610"/>
      <c r="Q36" s="2610"/>
      <c r="R36" s="2610"/>
      <c r="S36" s="2610"/>
      <c r="T36" s="2610"/>
      <c r="U36" s="2610"/>
      <c r="V36" s="2610"/>
      <c r="W36" s="2610"/>
      <c r="X36" s="2610"/>
      <c r="Y36" s="2610"/>
      <c r="Z36" s="2610"/>
      <c r="AA36" s="2610"/>
      <c r="AB36" s="2610"/>
      <c r="AC36" s="2610"/>
      <c r="AD36" s="2610"/>
      <c r="AE36" s="2610"/>
      <c r="AF36" s="2610"/>
      <c r="AG36" s="2610"/>
      <c r="AH36" s="2610"/>
      <c r="AI36" s="2610"/>
      <c r="AJ36" s="2610"/>
      <c r="AK36" s="2610"/>
      <c r="AL36" s="2610"/>
      <c r="AM36" s="2610"/>
      <c r="AN36" s="2610"/>
      <c r="AO36" s="2610"/>
      <c r="AP36" s="2610"/>
      <c r="AQ36" s="2610"/>
      <c r="AR36" s="2610"/>
    </row>
    <row r="37" spans="1:44" ht="14.25">
      <c r="A37" s="1734" t="s">
        <v>1675</v>
      </c>
      <c r="B37" s="113">
        <v>0.03</v>
      </c>
      <c r="C37" s="2728" t="s">
        <v>2793</v>
      </c>
      <c r="D37" s="2613"/>
      <c r="E37" s="2602"/>
      <c r="F37" s="2602"/>
      <c r="G37" s="2602"/>
      <c r="H37" s="2602"/>
      <c r="I37" s="2602"/>
      <c r="J37" s="2602"/>
      <c r="K37" s="2611"/>
      <c r="L37" s="2611"/>
      <c r="M37" s="2610"/>
      <c r="N37" s="2610"/>
      <c r="O37" s="2610"/>
      <c r="P37" s="2610"/>
      <c r="Q37" s="2610"/>
      <c r="R37" s="2610"/>
      <c r="S37" s="2610"/>
      <c r="T37" s="2610"/>
      <c r="U37" s="2610"/>
      <c r="V37" s="2610"/>
      <c r="W37" s="2610"/>
      <c r="X37" s="2610"/>
      <c r="Y37" s="2610"/>
      <c r="Z37" s="2610"/>
      <c r="AA37" s="2610"/>
      <c r="AB37" s="2610"/>
      <c r="AC37" s="2610"/>
      <c r="AD37" s="2610"/>
      <c r="AE37" s="2610"/>
      <c r="AF37" s="2610"/>
      <c r="AG37" s="2610"/>
      <c r="AH37" s="2610"/>
      <c r="AI37" s="2610"/>
      <c r="AJ37" s="2610"/>
      <c r="AK37" s="2610"/>
      <c r="AL37" s="2610"/>
      <c r="AM37" s="2610"/>
      <c r="AN37" s="2610"/>
      <c r="AO37" s="2610"/>
      <c r="AP37" s="2610"/>
      <c r="AQ37" s="2610"/>
      <c r="AR37" s="2610"/>
    </row>
    <row r="38" spans="1:44" ht="14.25">
      <c r="A38" s="1732" t="s">
        <v>1676</v>
      </c>
      <c r="B38" s="111">
        <v>0.03</v>
      </c>
      <c r="C38" s="2728" t="s">
        <v>2793</v>
      </c>
      <c r="D38" s="2613"/>
      <c r="E38" s="2602"/>
      <c r="F38" s="2602"/>
      <c r="G38" s="2602"/>
      <c r="H38" s="2602"/>
      <c r="I38" s="2602"/>
      <c r="J38" s="2602"/>
      <c r="K38" s="2611"/>
      <c r="L38" s="2611"/>
      <c r="M38" s="2610"/>
      <c r="N38" s="2610"/>
      <c r="O38" s="2610"/>
      <c r="P38" s="2610"/>
      <c r="Q38" s="2610"/>
      <c r="R38" s="2610"/>
      <c r="S38" s="2610"/>
      <c r="T38" s="2610"/>
      <c r="U38" s="2610"/>
      <c r="V38" s="2610"/>
      <c r="W38" s="2610"/>
      <c r="X38" s="2610"/>
      <c r="Y38" s="2610"/>
      <c r="Z38" s="2610"/>
      <c r="AA38" s="2610"/>
      <c r="AB38" s="2610"/>
      <c r="AC38" s="2610"/>
      <c r="AD38" s="2610"/>
      <c r="AE38" s="2610"/>
      <c r="AF38" s="2610"/>
      <c r="AG38" s="2610"/>
      <c r="AH38" s="2610"/>
      <c r="AI38" s="2610"/>
      <c r="AJ38" s="2610"/>
      <c r="AK38" s="2610"/>
      <c r="AL38" s="2610"/>
      <c r="AM38" s="2610"/>
      <c r="AN38" s="2610"/>
      <c r="AO38" s="2610"/>
      <c r="AP38" s="2610"/>
      <c r="AQ38" s="2610"/>
      <c r="AR38" s="2610"/>
    </row>
    <row r="39" spans="1:44" ht="14.25">
      <c r="A39" s="1735" t="s">
        <v>1677</v>
      </c>
      <c r="B39" s="315">
        <f ca="1">存贷款利率!I1</f>
        <v>1.4999999999999999E-2</v>
      </c>
      <c r="C39" s="2618"/>
      <c r="D39" s="2613"/>
      <c r="E39" s="2602"/>
      <c r="F39" s="2602"/>
      <c r="G39" s="2602"/>
      <c r="H39" s="2602"/>
      <c r="I39" s="2602"/>
      <c r="J39" s="2602"/>
      <c r="K39" s="2611"/>
      <c r="L39" s="2611"/>
      <c r="M39" s="2610"/>
      <c r="N39" s="2610"/>
      <c r="O39" s="2610"/>
      <c r="P39" s="2610"/>
      <c r="Q39" s="2610"/>
      <c r="R39" s="2610"/>
      <c r="S39" s="2610"/>
      <c r="T39" s="2610"/>
      <c r="U39" s="2610"/>
      <c r="V39" s="2610"/>
      <c r="W39" s="2610"/>
      <c r="X39" s="2610"/>
      <c r="Y39" s="2610"/>
      <c r="Z39" s="2610"/>
      <c r="AA39" s="2610"/>
      <c r="AB39" s="2610"/>
      <c r="AC39" s="2610"/>
      <c r="AD39" s="2610"/>
      <c r="AE39" s="2610"/>
      <c r="AF39" s="2610"/>
      <c r="AG39" s="2610"/>
      <c r="AH39" s="2610"/>
      <c r="AI39" s="2610"/>
      <c r="AJ39" s="2610"/>
      <c r="AK39" s="2610"/>
      <c r="AL39" s="2610"/>
      <c r="AM39" s="2610"/>
      <c r="AN39" s="2610"/>
      <c r="AO39" s="2610"/>
      <c r="AP39" s="2610"/>
      <c r="AQ39" s="2610"/>
      <c r="AR39" s="2610"/>
    </row>
    <row r="40" spans="1:44" ht="29.25" thickBot="1">
      <c r="A40" s="2737" t="s">
        <v>3751</v>
      </c>
      <c r="B40" s="1123">
        <f ca="1">IF(A40="利息：取LPR",存贷款利率!G1,存贷款利率!G1+C40)</f>
        <v>4.1499999999999995E-2</v>
      </c>
      <c r="C40" s="2736">
        <v>5.0000000000000001E-3</v>
      </c>
      <c r="D40" s="2610"/>
      <c r="E40" s="2613"/>
      <c r="F40" s="2602"/>
      <c r="G40" s="2602"/>
      <c r="H40" s="2602"/>
      <c r="I40" s="2602"/>
      <c r="J40" s="2602"/>
      <c r="K40" s="2611"/>
      <c r="L40" s="2611"/>
      <c r="M40" s="2610"/>
      <c r="N40" s="2610"/>
      <c r="O40" s="2610"/>
      <c r="P40" s="2610"/>
      <c r="Q40" s="2610"/>
      <c r="R40" s="2610"/>
      <c r="S40" s="2610"/>
      <c r="T40" s="2610"/>
      <c r="U40" s="2610"/>
      <c r="V40" s="2610"/>
      <c r="W40" s="2610"/>
      <c r="X40" s="2610"/>
      <c r="Y40" s="2610"/>
      <c r="Z40" s="2610"/>
      <c r="AA40" s="2610"/>
      <c r="AB40" s="2610"/>
      <c r="AC40" s="2610"/>
      <c r="AD40" s="2610"/>
      <c r="AE40" s="2610"/>
      <c r="AF40" s="2610"/>
      <c r="AG40" s="2610"/>
      <c r="AH40" s="2610"/>
      <c r="AI40" s="2610"/>
      <c r="AJ40" s="2610"/>
      <c r="AK40" s="2610"/>
      <c r="AL40" s="2610"/>
      <c r="AM40" s="2610"/>
      <c r="AN40" s="2610"/>
      <c r="AO40" s="2610"/>
      <c r="AP40" s="2610"/>
      <c r="AQ40" s="2610"/>
      <c r="AR40" s="2610"/>
    </row>
    <row r="41" spans="1:44" ht="14.25">
      <c r="A41" s="1731" t="s">
        <v>1678</v>
      </c>
      <c r="B41" s="114">
        <f>B42+B43</f>
        <v>5.6000000000000001E-2</v>
      </c>
      <c r="C41" s="2615"/>
      <c r="D41" s="2610"/>
      <c r="E41" s="2613"/>
      <c r="F41" s="2602"/>
      <c r="G41" s="2602"/>
      <c r="H41" s="2602"/>
      <c r="I41" s="2602"/>
      <c r="J41" s="2602"/>
      <c r="K41" s="2611"/>
      <c r="L41" s="2611"/>
      <c r="M41" s="2610"/>
      <c r="N41" s="2610"/>
      <c r="O41" s="2610"/>
      <c r="P41" s="2610"/>
      <c r="Q41" s="2610"/>
      <c r="R41" s="2610"/>
      <c r="S41" s="2610"/>
      <c r="T41" s="2610"/>
      <c r="U41" s="2610"/>
      <c r="V41" s="2610"/>
      <c r="W41" s="2610"/>
      <c r="X41" s="2610"/>
      <c r="Y41" s="2610"/>
      <c r="Z41" s="2610"/>
      <c r="AA41" s="2610"/>
      <c r="AB41" s="2610"/>
      <c r="AC41" s="2610"/>
      <c r="AD41" s="2610"/>
      <c r="AE41" s="2610"/>
      <c r="AF41" s="2610"/>
      <c r="AG41" s="2610"/>
      <c r="AH41" s="2610"/>
      <c r="AI41" s="2610"/>
      <c r="AJ41" s="2610"/>
      <c r="AK41" s="2610"/>
      <c r="AL41" s="2610"/>
      <c r="AM41" s="2610"/>
      <c r="AN41" s="2610"/>
      <c r="AO41" s="2610"/>
      <c r="AP41" s="2610"/>
      <c r="AQ41" s="2610"/>
      <c r="AR41" s="2610"/>
    </row>
    <row r="42" spans="1:44" ht="14.25">
      <c r="A42" s="1736" t="s">
        <v>1679</v>
      </c>
      <c r="B42" s="115">
        <v>0.05</v>
      </c>
      <c r="C42" s="2620">
        <f>IF(B2&lt;DATE(2016,5,1),0,B42)</f>
        <v>0.05</v>
      </c>
      <c r="D42" s="2613"/>
      <c r="E42" s="2602"/>
      <c r="F42" s="2602"/>
      <c r="G42" s="2602"/>
      <c r="H42" s="2602"/>
      <c r="I42" s="2602"/>
      <c r="J42" s="2602"/>
      <c r="K42" s="2611"/>
      <c r="L42" s="2611"/>
      <c r="M42" s="2610"/>
      <c r="N42" s="2610"/>
      <c r="O42" s="2610"/>
      <c r="P42" s="2610"/>
      <c r="Q42" s="2610"/>
      <c r="R42" s="2610"/>
      <c r="S42" s="2610"/>
      <c r="T42" s="2610"/>
      <c r="U42" s="2610"/>
      <c r="V42" s="2610"/>
      <c r="W42" s="2610"/>
      <c r="X42" s="2610"/>
      <c r="Y42" s="2610"/>
      <c r="Z42" s="2610"/>
      <c r="AA42" s="2610"/>
      <c r="AB42" s="2610"/>
      <c r="AC42" s="2610"/>
      <c r="AD42" s="2610"/>
      <c r="AE42" s="2610"/>
      <c r="AF42" s="2610"/>
      <c r="AG42" s="2610"/>
      <c r="AH42" s="2610"/>
      <c r="AI42" s="2610"/>
      <c r="AJ42" s="2610"/>
      <c r="AK42" s="2610"/>
      <c r="AL42" s="2610"/>
      <c r="AM42" s="2610"/>
      <c r="AN42" s="2610"/>
      <c r="AO42" s="2610"/>
      <c r="AP42" s="2610"/>
      <c r="AQ42" s="2610"/>
      <c r="AR42" s="2610"/>
    </row>
    <row r="43" spans="1:44" ht="14.25">
      <c r="A43" s="1736" t="s">
        <v>1680</v>
      </c>
      <c r="B43" s="116">
        <f>B42*(B44+B45+B46)+B47</f>
        <v>6.000000000000001E-3</v>
      </c>
      <c r="C43" s="2615"/>
      <c r="D43" s="2613"/>
      <c r="E43" s="2602"/>
      <c r="F43" s="2602"/>
      <c r="G43" s="2602"/>
      <c r="H43" s="2602"/>
      <c r="I43" s="2602"/>
      <c r="J43" s="2602"/>
      <c r="K43" s="2611"/>
      <c r="L43" s="2611"/>
      <c r="M43" s="2610"/>
      <c r="N43" s="2610"/>
      <c r="O43" s="2610"/>
      <c r="P43" s="2610"/>
      <c r="Q43" s="2610"/>
      <c r="R43" s="2610"/>
      <c r="S43" s="2610"/>
      <c r="T43" s="2610"/>
      <c r="U43" s="2610"/>
      <c r="V43" s="2610"/>
      <c r="W43" s="2610"/>
      <c r="X43" s="2610"/>
      <c r="Y43" s="2610"/>
      <c r="Z43" s="2610"/>
      <c r="AA43" s="2610"/>
      <c r="AB43" s="2610"/>
      <c r="AC43" s="2610"/>
      <c r="AD43" s="2610"/>
      <c r="AE43" s="2610"/>
      <c r="AF43" s="2610"/>
      <c r="AG43" s="2610"/>
      <c r="AH43" s="2610"/>
      <c r="AI43" s="2610"/>
      <c r="AJ43" s="2610"/>
      <c r="AK43" s="2610"/>
      <c r="AL43" s="2610"/>
      <c r="AM43" s="2610"/>
      <c r="AN43" s="2610"/>
      <c r="AO43" s="2610"/>
      <c r="AP43" s="2610"/>
      <c r="AQ43" s="2610"/>
      <c r="AR43" s="2610"/>
    </row>
    <row r="44" spans="1:44" ht="14.25">
      <c r="A44" s="1737" t="s">
        <v>1681</v>
      </c>
      <c r="B44" s="117">
        <v>7.0000000000000007E-2</v>
      </c>
      <c r="C44" s="2728" t="s">
        <v>2802</v>
      </c>
      <c r="D44" s="2613"/>
      <c r="E44" s="2602"/>
      <c r="F44" s="2602"/>
      <c r="G44" s="2602"/>
      <c r="H44" s="2602"/>
      <c r="I44" s="2602"/>
      <c r="J44" s="2602"/>
      <c r="K44" s="2611"/>
      <c r="L44" s="2611"/>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0"/>
      <c r="AL44" s="2610"/>
      <c r="AM44" s="2610"/>
      <c r="AN44" s="2610"/>
      <c r="AO44" s="2610"/>
      <c r="AP44" s="2610"/>
      <c r="AQ44" s="2610"/>
      <c r="AR44" s="2610"/>
    </row>
    <row r="45" spans="1:44" ht="14.25">
      <c r="A45" s="1737" t="s">
        <v>1682</v>
      </c>
      <c r="B45" s="115">
        <v>0.03</v>
      </c>
      <c r="C45" s="2727" t="s">
        <v>2794</v>
      </c>
      <c r="D45" s="2613"/>
      <c r="E45" s="2602"/>
      <c r="F45" s="2602"/>
      <c r="G45" s="2602"/>
      <c r="H45" s="2602"/>
      <c r="I45" s="2602"/>
      <c r="J45" s="2602"/>
      <c r="K45" s="2611"/>
      <c r="L45" s="2611"/>
      <c r="M45" s="2610"/>
      <c r="N45" s="2610"/>
      <c r="O45" s="2610"/>
      <c r="P45" s="2610"/>
      <c r="Q45" s="2610"/>
      <c r="R45" s="2610"/>
      <c r="S45" s="2610"/>
      <c r="T45" s="2610"/>
      <c r="U45" s="2610"/>
      <c r="V45" s="2610"/>
      <c r="W45" s="2610"/>
      <c r="X45" s="2610"/>
      <c r="Y45" s="2610"/>
      <c r="Z45" s="2610"/>
      <c r="AA45" s="2610"/>
      <c r="AB45" s="2610"/>
      <c r="AC45" s="2610"/>
      <c r="AD45" s="2610"/>
      <c r="AE45" s="2610"/>
      <c r="AF45" s="2610"/>
      <c r="AG45" s="2610"/>
      <c r="AH45" s="2610"/>
      <c r="AI45" s="2610"/>
      <c r="AJ45" s="2610"/>
      <c r="AK45" s="2610"/>
      <c r="AL45" s="2610"/>
      <c r="AM45" s="2610"/>
      <c r="AN45" s="2610"/>
      <c r="AO45" s="2610"/>
      <c r="AP45" s="2610"/>
      <c r="AQ45" s="2610"/>
      <c r="AR45" s="2610"/>
    </row>
    <row r="46" spans="1:44" ht="14.25">
      <c r="A46" s="1737" t="s">
        <v>1683</v>
      </c>
      <c r="B46" s="115">
        <v>0.02</v>
      </c>
      <c r="C46" s="2727" t="s">
        <v>2795</v>
      </c>
      <c r="D46" s="2613"/>
      <c r="E46" s="2602"/>
      <c r="F46" s="2602"/>
      <c r="G46" s="2602"/>
      <c r="H46" s="2602"/>
      <c r="I46" s="2602"/>
      <c r="J46" s="2602"/>
      <c r="K46" s="2611"/>
      <c r="L46" s="2611"/>
      <c r="M46" s="2610"/>
      <c r="N46" s="2610"/>
      <c r="O46" s="2610"/>
      <c r="P46" s="2610"/>
      <c r="Q46" s="2610"/>
      <c r="R46" s="2610"/>
      <c r="S46" s="2610"/>
      <c r="T46" s="2610"/>
      <c r="U46" s="2610"/>
      <c r="V46" s="2610"/>
      <c r="W46" s="2610"/>
      <c r="X46" s="2610"/>
      <c r="Y46" s="2610"/>
      <c r="Z46" s="2610"/>
      <c r="AA46" s="2610"/>
      <c r="AB46" s="2610"/>
      <c r="AC46" s="2610"/>
      <c r="AD46" s="2610"/>
      <c r="AE46" s="2610"/>
      <c r="AF46" s="2610"/>
      <c r="AG46" s="2610"/>
      <c r="AH46" s="2610"/>
      <c r="AI46" s="2610"/>
      <c r="AJ46" s="2610"/>
      <c r="AK46" s="2610"/>
      <c r="AL46" s="2610"/>
      <c r="AM46" s="2610"/>
      <c r="AN46" s="2610"/>
      <c r="AO46" s="2610"/>
      <c r="AP46" s="2610"/>
      <c r="AQ46" s="2610"/>
      <c r="AR46" s="2610"/>
    </row>
    <row r="47" spans="1:44" ht="15" thickBot="1">
      <c r="A47" s="1738" t="s">
        <v>1684</v>
      </c>
      <c r="B47" s="118"/>
      <c r="C47" s="2730" t="s">
        <v>2803</v>
      </c>
      <c r="D47" s="2613"/>
      <c r="E47" s="2602"/>
      <c r="F47" s="2602"/>
      <c r="G47" s="2602"/>
      <c r="H47" s="2602"/>
      <c r="I47" s="2602"/>
      <c r="J47" s="2602"/>
      <c r="K47" s="2611"/>
      <c r="L47" s="2611"/>
      <c r="M47" s="2610"/>
      <c r="N47" s="2610"/>
      <c r="O47" s="2610"/>
      <c r="P47" s="2610"/>
      <c r="Q47" s="2610"/>
      <c r="R47" s="2610"/>
      <c r="S47" s="2610"/>
      <c r="T47" s="2610"/>
      <c r="U47" s="2610"/>
      <c r="V47" s="2610"/>
      <c r="W47" s="2610"/>
      <c r="X47" s="2610"/>
      <c r="Y47" s="2610"/>
      <c r="Z47" s="2610"/>
      <c r="AA47" s="2610"/>
      <c r="AB47" s="2610"/>
      <c r="AC47" s="2610"/>
      <c r="AD47" s="2610"/>
      <c r="AE47" s="2610"/>
      <c r="AF47" s="2610"/>
      <c r="AG47" s="2610"/>
      <c r="AH47" s="2610"/>
      <c r="AI47" s="2610"/>
      <c r="AJ47" s="2610"/>
      <c r="AK47" s="2610"/>
      <c r="AL47" s="2610"/>
      <c r="AM47" s="2610"/>
      <c r="AN47" s="2610"/>
      <c r="AO47" s="2610"/>
      <c r="AP47" s="2610"/>
      <c r="AQ47" s="2610"/>
      <c r="AR47" s="2610"/>
    </row>
    <row r="48" spans="1:44" ht="14.25">
      <c r="A48" s="1739" t="s">
        <v>1685</v>
      </c>
      <c r="B48" s="119">
        <v>0.03</v>
      </c>
      <c r="C48" s="2727" t="s">
        <v>2794</v>
      </c>
      <c r="D48" s="2613"/>
      <c r="E48" s="2602"/>
      <c r="F48" s="2602"/>
      <c r="G48" s="2602"/>
      <c r="H48" s="2602"/>
      <c r="I48" s="2602"/>
      <c r="J48" s="2602"/>
      <c r="K48" s="2611"/>
      <c r="L48" s="2611"/>
      <c r="M48" s="2610"/>
      <c r="N48" s="2610"/>
      <c r="O48" s="2610"/>
      <c r="P48" s="2610"/>
      <c r="Q48" s="2610"/>
      <c r="R48" s="2610"/>
      <c r="S48" s="2610"/>
      <c r="T48" s="2610"/>
      <c r="U48" s="2610"/>
      <c r="V48" s="2610"/>
      <c r="W48" s="2610"/>
      <c r="X48" s="2610"/>
      <c r="Y48" s="2610"/>
      <c r="Z48" s="2610"/>
      <c r="AA48" s="2610"/>
      <c r="AB48" s="2610"/>
      <c r="AC48" s="2610"/>
      <c r="AD48" s="2610"/>
      <c r="AE48" s="2610"/>
      <c r="AF48" s="2610"/>
      <c r="AG48" s="2610"/>
      <c r="AH48" s="2610"/>
      <c r="AI48" s="2610"/>
      <c r="AJ48" s="2610"/>
      <c r="AK48" s="2610"/>
      <c r="AL48" s="2610"/>
      <c r="AM48" s="2610"/>
      <c r="AN48" s="2610"/>
      <c r="AO48" s="2610"/>
      <c r="AP48" s="2610"/>
      <c r="AQ48" s="2610"/>
      <c r="AR48" s="2610"/>
    </row>
    <row r="49" spans="1:44" ht="15" thickBot="1">
      <c r="A49" s="1735" t="s">
        <v>1686</v>
      </c>
      <c r="B49" s="115">
        <v>5.0000000000000001E-4</v>
      </c>
      <c r="C49" s="2727" t="s">
        <v>2796</v>
      </c>
      <c r="D49" s="2613"/>
      <c r="E49" s="2602"/>
      <c r="F49" s="2602"/>
      <c r="G49" s="2602"/>
      <c r="H49" s="2602"/>
      <c r="I49" s="2602"/>
      <c r="J49" s="2602"/>
      <c r="K49" s="2611"/>
      <c r="L49" s="2611"/>
      <c r="M49" s="2610"/>
      <c r="N49" s="2610"/>
      <c r="O49" s="2610"/>
      <c r="P49" s="2610"/>
      <c r="Q49" s="2610"/>
      <c r="R49" s="2610"/>
      <c r="S49" s="2610"/>
      <c r="T49" s="2610"/>
      <c r="U49" s="2610"/>
      <c r="V49" s="2610"/>
      <c r="W49" s="2610"/>
      <c r="X49" s="2610"/>
      <c r="Y49" s="2610"/>
      <c r="Z49" s="2610"/>
      <c r="AA49" s="2610"/>
      <c r="AB49" s="2610"/>
      <c r="AC49" s="2610"/>
      <c r="AD49" s="2610"/>
      <c r="AE49" s="2610"/>
      <c r="AF49" s="2610"/>
      <c r="AG49" s="2610"/>
      <c r="AH49" s="2610"/>
      <c r="AI49" s="2610"/>
      <c r="AJ49" s="2610"/>
      <c r="AK49" s="2610"/>
      <c r="AL49" s="2610"/>
      <c r="AM49" s="2610"/>
      <c r="AN49" s="2610"/>
      <c r="AO49" s="2610"/>
      <c r="AP49" s="2610"/>
      <c r="AQ49" s="2610"/>
      <c r="AR49" s="2610"/>
    </row>
    <row r="50" spans="1:44" ht="14.25">
      <c r="A50" s="1740" t="s">
        <v>1687</v>
      </c>
      <c r="B50" s="120">
        <v>1.2E-2</v>
      </c>
      <c r="C50" s="2603"/>
      <c r="D50" s="2613"/>
      <c r="E50" s="2602"/>
      <c r="F50" s="2602"/>
      <c r="G50" s="2602"/>
      <c r="H50" s="2602"/>
      <c r="I50" s="2602"/>
      <c r="J50" s="2602"/>
      <c r="K50" s="2611"/>
      <c r="L50" s="2611"/>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0"/>
      <c r="AK50" s="2610"/>
      <c r="AL50" s="2610"/>
      <c r="AM50" s="2610"/>
      <c r="AN50" s="2610"/>
      <c r="AO50" s="2610"/>
      <c r="AP50" s="2610"/>
      <c r="AQ50" s="2610"/>
      <c r="AR50" s="2610"/>
    </row>
    <row r="51" spans="1:44" ht="15" thickBot="1">
      <c r="A51" s="1733" t="s">
        <v>1688</v>
      </c>
      <c r="B51" s="121">
        <v>0.12</v>
      </c>
      <c r="C51" s="2603"/>
      <c r="D51" s="2613"/>
      <c r="E51" s="2602"/>
      <c r="F51" s="2602"/>
      <c r="G51" s="2602"/>
      <c r="H51" s="2602"/>
      <c r="I51" s="2602"/>
      <c r="J51" s="2602"/>
      <c r="K51" s="2611"/>
      <c r="L51" s="2611"/>
      <c r="M51" s="2610"/>
      <c r="N51" s="2610"/>
      <c r="O51" s="2610"/>
      <c r="P51" s="2610"/>
      <c r="Q51" s="2610"/>
      <c r="R51" s="2610"/>
      <c r="S51" s="2610"/>
      <c r="T51" s="2610"/>
      <c r="U51" s="2610"/>
      <c r="V51" s="2610"/>
      <c r="W51" s="2610"/>
      <c r="X51" s="2610"/>
      <c r="Y51" s="2610"/>
      <c r="Z51" s="2610"/>
      <c r="AA51" s="2610"/>
      <c r="AB51" s="2610"/>
      <c r="AC51" s="2610"/>
      <c r="AD51" s="2610"/>
      <c r="AE51" s="2610"/>
      <c r="AF51" s="2610"/>
      <c r="AG51" s="2610"/>
      <c r="AH51" s="2610"/>
      <c r="AI51" s="2610"/>
      <c r="AJ51" s="2610"/>
      <c r="AK51" s="2610"/>
      <c r="AL51" s="2610"/>
      <c r="AM51" s="2610"/>
      <c r="AN51" s="2610"/>
      <c r="AO51" s="2610"/>
      <c r="AP51" s="2610"/>
      <c r="AQ51" s="2610"/>
      <c r="AR51" s="2610"/>
    </row>
    <row r="52" spans="1:44" ht="14.25">
      <c r="A52" s="1740" t="s">
        <v>1689</v>
      </c>
      <c r="B52" s="122">
        <f>SUMIF(A54:A63,B53,B54:B63)</f>
        <v>3</v>
      </c>
      <c r="C52" s="2603"/>
      <c r="D52" s="2613"/>
      <c r="E52" s="2602"/>
      <c r="F52" s="2602"/>
      <c r="G52" s="2602"/>
      <c r="H52" s="2602"/>
      <c r="I52" s="2602"/>
      <c r="J52" s="2602"/>
      <c r="K52" s="2611"/>
      <c r="L52" s="2611"/>
      <c r="M52" s="2610"/>
      <c r="N52" s="2610"/>
      <c r="O52" s="2610"/>
      <c r="P52" s="2610"/>
      <c r="Q52" s="2610"/>
      <c r="R52" s="2610"/>
      <c r="S52" s="2610"/>
      <c r="T52" s="2610"/>
      <c r="U52" s="2610"/>
      <c r="V52" s="2610"/>
      <c r="W52" s="2610"/>
      <c r="X52" s="2610"/>
      <c r="Y52" s="2610"/>
      <c r="Z52" s="2610"/>
      <c r="AA52" s="2610"/>
      <c r="AB52" s="2610"/>
      <c r="AC52" s="2610"/>
      <c r="AD52" s="2610"/>
      <c r="AE52" s="2610"/>
      <c r="AF52" s="2610"/>
      <c r="AG52" s="2610"/>
      <c r="AH52" s="2610"/>
      <c r="AI52" s="2610"/>
      <c r="AJ52" s="2610"/>
      <c r="AK52" s="2610"/>
      <c r="AL52" s="2610"/>
      <c r="AM52" s="2610"/>
      <c r="AN52" s="2610"/>
      <c r="AO52" s="2610"/>
      <c r="AP52" s="2610"/>
      <c r="AQ52" s="2610"/>
      <c r="AR52" s="2610"/>
    </row>
    <row r="53" spans="1:44" ht="27">
      <c r="A53" s="1732" t="s">
        <v>1690</v>
      </c>
      <c r="B53" s="1741" t="s">
        <v>522</v>
      </c>
      <c r="C53" s="2603" t="s">
        <v>1691</v>
      </c>
      <c r="D53" s="2729" t="s">
        <v>2800</v>
      </c>
      <c r="E53" s="2602"/>
      <c r="F53" s="2602"/>
      <c r="G53" s="2602"/>
      <c r="H53" s="2602"/>
      <c r="I53" s="2602"/>
      <c r="J53" s="2602"/>
      <c r="K53" s="2611"/>
      <c r="L53" s="2611"/>
      <c r="M53" s="2610"/>
      <c r="N53" s="2610"/>
      <c r="O53" s="2610"/>
      <c r="P53" s="2610"/>
      <c r="Q53" s="2610"/>
      <c r="R53" s="2610"/>
      <c r="S53" s="2610"/>
      <c r="T53" s="2610"/>
      <c r="U53" s="2610"/>
      <c r="V53" s="2610"/>
      <c r="W53" s="2610"/>
      <c r="X53" s="2610"/>
      <c r="Y53" s="2610"/>
      <c r="Z53" s="2610"/>
      <c r="AA53" s="2610"/>
      <c r="AB53" s="2610"/>
      <c r="AC53" s="2610"/>
      <c r="AD53" s="2610"/>
      <c r="AE53" s="2610"/>
      <c r="AF53" s="2610"/>
      <c r="AG53" s="2610"/>
      <c r="AH53" s="2610"/>
      <c r="AI53" s="2610"/>
      <c r="AJ53" s="2610"/>
      <c r="AK53" s="2610"/>
      <c r="AL53" s="2610"/>
      <c r="AM53" s="2610"/>
      <c r="AN53" s="2610"/>
      <c r="AO53" s="2610"/>
      <c r="AP53" s="2610"/>
      <c r="AQ53" s="2610"/>
      <c r="AR53" s="2610"/>
    </row>
    <row r="54" spans="1:44" ht="14.25">
      <c r="A54" s="1742" t="s">
        <v>1692</v>
      </c>
      <c r="B54" s="77">
        <v>30</v>
      </c>
      <c r="C54" s="2603">
        <v>30</v>
      </c>
      <c r="D54" s="2613"/>
      <c r="E54" s="2602"/>
      <c r="F54" s="2602"/>
      <c r="G54" s="2602"/>
      <c r="H54" s="2602"/>
      <c r="I54" s="2602"/>
      <c r="J54" s="2602"/>
      <c r="K54" s="2611"/>
      <c r="L54" s="2611"/>
      <c r="M54" s="2610"/>
      <c r="N54" s="2610"/>
      <c r="O54" s="2610"/>
      <c r="P54" s="2610"/>
      <c r="Q54" s="2610"/>
      <c r="R54" s="2610"/>
      <c r="S54" s="2610"/>
      <c r="T54" s="2610"/>
      <c r="U54" s="2610"/>
      <c r="V54" s="2610"/>
      <c r="W54" s="2610"/>
      <c r="X54" s="2610"/>
      <c r="Y54" s="2610"/>
      <c r="Z54" s="2610"/>
      <c r="AA54" s="2610"/>
      <c r="AB54" s="2610"/>
      <c r="AC54" s="2610"/>
      <c r="AD54" s="2610"/>
      <c r="AE54" s="2610"/>
      <c r="AF54" s="2610"/>
      <c r="AG54" s="2610"/>
      <c r="AH54" s="2610"/>
      <c r="AI54" s="2610"/>
      <c r="AJ54" s="2610"/>
      <c r="AK54" s="2610"/>
      <c r="AL54" s="2610"/>
      <c r="AM54" s="2610"/>
      <c r="AN54" s="2610"/>
      <c r="AO54" s="2610"/>
      <c r="AP54" s="2610"/>
      <c r="AQ54" s="2610"/>
      <c r="AR54" s="2610"/>
    </row>
    <row r="55" spans="1:44" ht="14.25">
      <c r="A55" s="1742" t="s">
        <v>1693</v>
      </c>
      <c r="B55" s="77">
        <v>24</v>
      </c>
      <c r="C55" s="2603">
        <v>24</v>
      </c>
      <c r="D55" s="2613"/>
      <c r="E55" s="2602"/>
      <c r="F55" s="2602"/>
      <c r="G55" s="2602"/>
      <c r="H55" s="2602"/>
      <c r="I55" s="2602"/>
      <c r="J55" s="2602"/>
      <c r="K55" s="2611"/>
      <c r="L55" s="2611"/>
      <c r="M55" s="2610"/>
      <c r="N55" s="2610"/>
      <c r="O55" s="2610"/>
      <c r="P55" s="2610"/>
      <c r="Q55" s="2610"/>
      <c r="R55" s="2610"/>
      <c r="S55" s="2610"/>
      <c r="T55" s="2610"/>
      <c r="U55" s="2610"/>
      <c r="V55" s="2610"/>
      <c r="W55" s="2610"/>
      <c r="X55" s="2610"/>
      <c r="Y55" s="2610"/>
      <c r="Z55" s="2610"/>
      <c r="AA55" s="2610"/>
      <c r="AB55" s="2610"/>
      <c r="AC55" s="2610"/>
      <c r="AD55" s="2610"/>
      <c r="AE55" s="2610"/>
      <c r="AF55" s="2610"/>
      <c r="AG55" s="2610"/>
      <c r="AH55" s="2610"/>
      <c r="AI55" s="2610"/>
      <c r="AJ55" s="2610"/>
      <c r="AK55" s="2610"/>
      <c r="AL55" s="2610"/>
      <c r="AM55" s="2610"/>
      <c r="AN55" s="2610"/>
      <c r="AO55" s="2610"/>
      <c r="AP55" s="2610"/>
      <c r="AQ55" s="2610"/>
      <c r="AR55" s="2610"/>
    </row>
    <row r="56" spans="1:44" ht="14.25">
      <c r="A56" s="1742" t="s">
        <v>1694</v>
      </c>
      <c r="B56" s="77">
        <v>18</v>
      </c>
      <c r="C56" s="2603">
        <v>18</v>
      </c>
      <c r="D56" s="2613"/>
      <c r="E56" s="2602"/>
      <c r="F56" s="2602"/>
      <c r="G56" s="2602"/>
      <c r="H56" s="2602"/>
      <c r="I56" s="2602"/>
      <c r="J56" s="2602"/>
      <c r="K56" s="2611"/>
      <c r="L56" s="2611"/>
      <c r="M56" s="2610"/>
      <c r="N56" s="2610"/>
      <c r="O56" s="2610"/>
      <c r="P56" s="2610"/>
      <c r="Q56" s="2610"/>
      <c r="R56" s="2610"/>
      <c r="S56" s="2610"/>
      <c r="T56" s="2610"/>
      <c r="U56" s="2610"/>
      <c r="V56" s="2610"/>
      <c r="W56" s="2610"/>
      <c r="X56" s="2610"/>
      <c r="Y56" s="2610"/>
      <c r="Z56" s="2610"/>
      <c r="AA56" s="2610"/>
      <c r="AB56" s="2610"/>
      <c r="AC56" s="2610"/>
      <c r="AD56" s="2610"/>
      <c r="AE56" s="2610"/>
      <c r="AF56" s="2610"/>
      <c r="AG56" s="2610"/>
      <c r="AH56" s="2610"/>
      <c r="AI56" s="2610"/>
      <c r="AJ56" s="2610"/>
      <c r="AK56" s="2610"/>
      <c r="AL56" s="2610"/>
      <c r="AM56" s="2610"/>
      <c r="AN56" s="2610"/>
      <c r="AO56" s="2610"/>
      <c r="AP56" s="2610"/>
      <c r="AQ56" s="2610"/>
      <c r="AR56" s="2610"/>
    </row>
    <row r="57" spans="1:44" ht="14.25">
      <c r="A57" s="1742" t="s">
        <v>1695</v>
      </c>
      <c r="B57" s="77">
        <v>12</v>
      </c>
      <c r="C57" s="2603">
        <v>12</v>
      </c>
      <c r="D57" s="2613"/>
      <c r="E57" s="2602"/>
      <c r="F57" s="2602"/>
      <c r="G57" s="2602"/>
      <c r="H57" s="2602"/>
      <c r="I57" s="2602"/>
      <c r="J57" s="2602"/>
      <c r="K57" s="2611"/>
      <c r="L57" s="2611"/>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0"/>
      <c r="AK57" s="2610"/>
      <c r="AL57" s="2610"/>
      <c r="AM57" s="2610"/>
      <c r="AN57" s="2610"/>
      <c r="AO57" s="2610"/>
      <c r="AP57" s="2610"/>
      <c r="AQ57" s="2610"/>
      <c r="AR57" s="2610"/>
    </row>
    <row r="58" spans="1:44" ht="14.25">
      <c r="A58" s="1742" t="s">
        <v>1696</v>
      </c>
      <c r="B58" s="77">
        <v>3</v>
      </c>
      <c r="C58" s="2603">
        <v>3</v>
      </c>
      <c r="D58" s="2613"/>
      <c r="E58" s="2602"/>
      <c r="F58" s="2602"/>
      <c r="G58" s="2602"/>
      <c r="H58" s="2602"/>
      <c r="I58" s="2602"/>
      <c r="J58" s="2602"/>
      <c r="K58" s="2611"/>
      <c r="L58" s="2611"/>
      <c r="M58" s="2610"/>
      <c r="N58" s="2610"/>
      <c r="O58" s="2610"/>
      <c r="P58" s="2610"/>
      <c r="Q58" s="2610"/>
      <c r="R58" s="2610"/>
      <c r="S58" s="2610"/>
      <c r="T58" s="2610"/>
      <c r="U58" s="2610"/>
      <c r="V58" s="2610"/>
      <c r="W58" s="2610"/>
      <c r="X58" s="2610"/>
      <c r="Y58" s="2610"/>
      <c r="Z58" s="2610"/>
      <c r="AA58" s="2610"/>
      <c r="AB58" s="2610"/>
      <c r="AC58" s="2610"/>
      <c r="AD58" s="2610"/>
      <c r="AE58" s="2610"/>
      <c r="AF58" s="2610"/>
      <c r="AG58" s="2610"/>
      <c r="AH58" s="2610"/>
      <c r="AI58" s="2610"/>
      <c r="AJ58" s="2610"/>
      <c r="AK58" s="2610"/>
      <c r="AL58" s="2610"/>
      <c r="AM58" s="2610"/>
      <c r="AN58" s="2610"/>
      <c r="AO58" s="2610"/>
      <c r="AP58" s="2610"/>
      <c r="AQ58" s="2610"/>
      <c r="AR58" s="2610"/>
    </row>
    <row r="59" spans="1:44" ht="14.25">
      <c r="A59" s="1742" t="s">
        <v>1697</v>
      </c>
      <c r="B59" s="77">
        <v>1.5</v>
      </c>
      <c r="C59" s="2603">
        <v>1.5</v>
      </c>
      <c r="D59" s="2613"/>
      <c r="E59" s="2602"/>
      <c r="F59" s="2602"/>
      <c r="G59" s="2602"/>
      <c r="H59" s="2602"/>
      <c r="I59" s="2602"/>
      <c r="J59" s="2602"/>
      <c r="K59" s="2611"/>
      <c r="L59" s="2611"/>
      <c r="M59" s="2610"/>
      <c r="N59" s="2610"/>
      <c r="O59" s="2610"/>
      <c r="P59" s="2610"/>
      <c r="Q59" s="2610"/>
      <c r="R59" s="2610"/>
      <c r="S59" s="2610"/>
      <c r="T59" s="2610"/>
      <c r="U59" s="2610"/>
      <c r="V59" s="2610"/>
      <c r="W59" s="2610"/>
      <c r="X59" s="2610"/>
      <c r="Y59" s="2610"/>
      <c r="Z59" s="2610"/>
      <c r="AA59" s="2610"/>
      <c r="AB59" s="2610"/>
      <c r="AC59" s="2610"/>
      <c r="AD59" s="2610"/>
      <c r="AE59" s="2610"/>
      <c r="AF59" s="2610"/>
      <c r="AG59" s="2610"/>
      <c r="AH59" s="2610"/>
      <c r="AI59" s="2610"/>
      <c r="AJ59" s="2610"/>
      <c r="AK59" s="2610"/>
      <c r="AL59" s="2610"/>
      <c r="AM59" s="2610"/>
      <c r="AN59" s="2610"/>
      <c r="AO59" s="2610"/>
      <c r="AP59" s="2610"/>
      <c r="AQ59" s="2610"/>
      <c r="AR59" s="2610"/>
    </row>
    <row r="60" spans="1:44" ht="14.25">
      <c r="A60" s="1742" t="s">
        <v>1698</v>
      </c>
      <c r="B60" s="77"/>
      <c r="C60" s="2602"/>
      <c r="D60" s="2613"/>
      <c r="E60" s="2602"/>
      <c r="F60" s="2602"/>
      <c r="G60" s="2602"/>
      <c r="H60" s="2602"/>
      <c r="I60" s="2602"/>
      <c r="J60" s="2602"/>
      <c r="K60" s="2611"/>
      <c r="L60" s="2611"/>
      <c r="M60" s="2610"/>
      <c r="N60" s="2610"/>
      <c r="O60" s="2610"/>
      <c r="P60" s="2610"/>
      <c r="Q60" s="2610"/>
      <c r="R60" s="2610"/>
      <c r="S60" s="2610"/>
      <c r="T60" s="2610"/>
      <c r="U60" s="2610"/>
      <c r="V60" s="2610"/>
      <c r="W60" s="2610"/>
      <c r="X60" s="2610"/>
      <c r="Y60" s="2610"/>
      <c r="Z60" s="2610"/>
      <c r="AA60" s="2610"/>
      <c r="AB60" s="2610"/>
      <c r="AC60" s="2610"/>
      <c r="AD60" s="2610"/>
      <c r="AE60" s="2610"/>
      <c r="AF60" s="2610"/>
      <c r="AG60" s="2610"/>
      <c r="AH60" s="2610"/>
      <c r="AI60" s="2610"/>
      <c r="AJ60" s="2610"/>
      <c r="AK60" s="2610"/>
      <c r="AL60" s="2610"/>
      <c r="AM60" s="2610"/>
      <c r="AN60" s="2610"/>
      <c r="AO60" s="2610"/>
      <c r="AP60" s="2610"/>
      <c r="AQ60" s="2610"/>
      <c r="AR60" s="2610"/>
    </row>
    <row r="61" spans="1:44" ht="14.25">
      <c r="A61" s="1742" t="s">
        <v>1699</v>
      </c>
      <c r="B61" s="77"/>
      <c r="C61" s="2602"/>
      <c r="D61" s="2613"/>
      <c r="E61" s="2602"/>
      <c r="F61" s="2602"/>
      <c r="G61" s="2602"/>
      <c r="H61" s="2602"/>
      <c r="I61" s="2602"/>
      <c r="J61" s="2602"/>
      <c r="K61" s="2611"/>
      <c r="L61" s="2611"/>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row>
    <row r="62" spans="1:44" ht="14.25">
      <c r="A62" s="1742" t="s">
        <v>1700</v>
      </c>
      <c r="B62" s="77"/>
      <c r="C62" s="2602"/>
      <c r="D62" s="2613"/>
      <c r="E62" s="2602"/>
      <c r="F62" s="2602"/>
      <c r="G62" s="2602"/>
      <c r="H62" s="2602"/>
      <c r="I62" s="2602"/>
      <c r="J62" s="2602"/>
      <c r="K62" s="2611"/>
      <c r="L62" s="2611"/>
      <c r="M62" s="2610"/>
      <c r="N62" s="2610"/>
      <c r="O62" s="2610"/>
      <c r="P62" s="2610"/>
      <c r="Q62" s="2610"/>
      <c r="R62" s="2610"/>
      <c r="S62" s="2610"/>
      <c r="T62" s="2610"/>
      <c r="U62" s="2610"/>
      <c r="V62" s="2610"/>
      <c r="W62" s="2610"/>
      <c r="X62" s="2610"/>
      <c r="Y62" s="2610"/>
      <c r="Z62" s="2610"/>
      <c r="AA62" s="2610"/>
      <c r="AB62" s="2610"/>
      <c r="AC62" s="2610"/>
      <c r="AD62" s="2610"/>
      <c r="AE62" s="2610"/>
      <c r="AF62" s="2610"/>
      <c r="AG62" s="2610"/>
      <c r="AH62" s="2610"/>
      <c r="AI62" s="2610"/>
      <c r="AJ62" s="2610"/>
      <c r="AK62" s="2610"/>
      <c r="AL62" s="2610"/>
      <c r="AM62" s="2610"/>
      <c r="AN62" s="2610"/>
      <c r="AO62" s="2610"/>
      <c r="AP62" s="2610"/>
      <c r="AQ62" s="2610"/>
      <c r="AR62" s="2610"/>
    </row>
    <row r="63" spans="1:44" ht="15" thickBot="1">
      <c r="A63" s="1743" t="s">
        <v>1701</v>
      </c>
      <c r="B63" s="123"/>
      <c r="C63" s="2602"/>
      <c r="D63" s="2613"/>
      <c r="E63" s="2602"/>
      <c r="F63" s="2602"/>
      <c r="G63" s="2602"/>
      <c r="H63" s="2602"/>
      <c r="I63" s="2602"/>
      <c r="J63" s="2602"/>
      <c r="K63" s="2611"/>
      <c r="L63" s="2611"/>
      <c r="M63" s="2610"/>
      <c r="N63" s="2610"/>
      <c r="O63" s="2610"/>
      <c r="P63" s="2610"/>
      <c r="Q63" s="2610"/>
      <c r="R63" s="2610"/>
      <c r="S63" s="2610"/>
      <c r="T63" s="2610"/>
      <c r="U63" s="2610"/>
      <c r="V63" s="2610"/>
      <c r="W63" s="2610"/>
      <c r="X63" s="2610"/>
      <c r="Y63" s="2610"/>
      <c r="Z63" s="2610"/>
      <c r="AA63" s="2610"/>
      <c r="AB63" s="2610"/>
      <c r="AC63" s="2610"/>
      <c r="AD63" s="2610"/>
      <c r="AE63" s="2610"/>
      <c r="AF63" s="2610"/>
      <c r="AG63" s="2610"/>
      <c r="AH63" s="2610"/>
      <c r="AI63" s="2610"/>
      <c r="AJ63" s="2610"/>
      <c r="AK63" s="2610"/>
      <c r="AL63" s="2610"/>
      <c r="AM63" s="2610"/>
      <c r="AN63" s="2610"/>
      <c r="AO63" s="2610"/>
      <c r="AP63" s="2610"/>
      <c r="AQ63" s="2610"/>
      <c r="AR63" s="2610"/>
    </row>
    <row r="64" spans="1:44" s="693" customFormat="1">
      <c r="A64" s="2605"/>
      <c r="B64" s="2610"/>
      <c r="C64" s="2610"/>
      <c r="D64" s="2612"/>
      <c r="E64" s="2610"/>
      <c r="F64" s="2610"/>
      <c r="G64" s="2610"/>
      <c r="H64" s="2610"/>
      <c r="I64" s="2610"/>
      <c r="J64" s="2610"/>
      <c r="K64" s="2611"/>
      <c r="L64" s="2611"/>
      <c r="M64" s="2610"/>
      <c r="N64" s="2610"/>
      <c r="O64" s="2610"/>
      <c r="P64" s="2610"/>
      <c r="Q64" s="2610"/>
      <c r="R64" s="2610"/>
      <c r="S64" s="2610"/>
      <c r="T64" s="2610"/>
      <c r="U64" s="2610"/>
      <c r="V64" s="2610"/>
      <c r="W64" s="2610"/>
      <c r="X64" s="2610"/>
      <c r="Y64" s="2610"/>
      <c r="Z64" s="2610"/>
      <c r="AA64" s="2610"/>
      <c r="AB64" s="2610"/>
      <c r="AC64" s="2610"/>
      <c r="AD64" s="2610"/>
      <c r="AE64" s="2610"/>
      <c r="AF64" s="2610"/>
      <c r="AG64" s="2610"/>
      <c r="AH64" s="2610"/>
      <c r="AI64" s="2610"/>
      <c r="AJ64" s="2610"/>
      <c r="AK64" s="2610"/>
      <c r="AL64" s="2610"/>
      <c r="AM64" s="2610"/>
      <c r="AN64" s="2610"/>
      <c r="AO64" s="2610"/>
      <c r="AP64" s="2610"/>
      <c r="AQ64" s="2610"/>
      <c r="AR64" s="2610"/>
    </row>
    <row r="65" spans="1:44" s="693" customFormat="1">
      <c r="A65" s="2605"/>
      <c r="B65" s="2610"/>
      <c r="C65" s="2610"/>
      <c r="D65" s="2612"/>
      <c r="E65" s="2610"/>
      <c r="F65" s="2610"/>
      <c r="G65" s="2610"/>
      <c r="H65" s="2610"/>
      <c r="I65" s="2610"/>
      <c r="J65" s="2610"/>
      <c r="K65" s="2611"/>
      <c r="L65" s="2611"/>
      <c r="M65" s="2610"/>
      <c r="N65" s="2610"/>
      <c r="O65" s="2610"/>
      <c r="P65" s="2610"/>
      <c r="Q65" s="2610"/>
      <c r="R65" s="2610"/>
      <c r="S65" s="2610"/>
      <c r="T65" s="2610"/>
      <c r="U65" s="2610"/>
      <c r="V65" s="2610"/>
      <c r="W65" s="2610"/>
      <c r="X65" s="2610"/>
      <c r="Y65" s="2610"/>
      <c r="Z65" s="2610"/>
      <c r="AA65" s="2610"/>
      <c r="AB65" s="2610"/>
      <c r="AC65" s="2610"/>
      <c r="AD65" s="2610"/>
      <c r="AE65" s="2610"/>
      <c r="AF65" s="2610"/>
      <c r="AG65" s="2610"/>
      <c r="AH65" s="2610"/>
      <c r="AI65" s="2610"/>
      <c r="AJ65" s="2610"/>
      <c r="AK65" s="2610"/>
      <c r="AL65" s="2610"/>
      <c r="AM65" s="2610"/>
      <c r="AN65" s="2610"/>
      <c r="AO65" s="2610"/>
      <c r="AP65" s="2610"/>
      <c r="AQ65" s="2610"/>
      <c r="AR65" s="2610"/>
    </row>
    <row r="66" spans="1:44" s="693" customFormat="1">
      <c r="A66" s="2605"/>
      <c r="B66" s="2610"/>
      <c r="C66" s="2610"/>
      <c r="D66" s="2612"/>
      <c r="E66" s="2610"/>
      <c r="F66" s="2610"/>
      <c r="G66" s="2610"/>
      <c r="H66" s="2610"/>
      <c r="I66" s="2610"/>
      <c r="J66" s="2610"/>
      <c r="K66" s="2611"/>
      <c r="L66" s="2611"/>
      <c r="M66" s="2610"/>
      <c r="N66" s="2610"/>
      <c r="O66" s="2610"/>
      <c r="P66" s="2610"/>
      <c r="Q66" s="2610"/>
      <c r="R66" s="2610"/>
      <c r="S66" s="2610"/>
      <c r="T66" s="2610"/>
      <c r="U66" s="2610"/>
      <c r="V66" s="2610"/>
      <c r="W66" s="2610"/>
      <c r="X66" s="2610"/>
      <c r="Y66" s="2610"/>
      <c r="Z66" s="2610"/>
      <c r="AA66" s="2610"/>
      <c r="AB66" s="2610"/>
      <c r="AC66" s="2610"/>
      <c r="AD66" s="2610"/>
      <c r="AE66" s="2610"/>
      <c r="AF66" s="2610"/>
      <c r="AG66" s="2610"/>
      <c r="AH66" s="2610"/>
      <c r="AI66" s="2610"/>
      <c r="AJ66" s="2610"/>
      <c r="AK66" s="2610"/>
      <c r="AL66" s="2610"/>
      <c r="AM66" s="2610"/>
      <c r="AN66" s="2610"/>
      <c r="AO66" s="2610"/>
      <c r="AP66" s="2610"/>
      <c r="AQ66" s="2610"/>
      <c r="AR66" s="2610"/>
    </row>
    <row r="67" spans="1:44" s="693" customFormat="1">
      <c r="A67" s="2605"/>
      <c r="B67" s="2610"/>
      <c r="C67" s="2610"/>
      <c r="D67" s="2612"/>
      <c r="E67" s="2610"/>
      <c r="F67" s="2610"/>
      <c r="G67" s="2610"/>
      <c r="H67" s="2610"/>
      <c r="I67" s="2610"/>
      <c r="J67" s="2610"/>
      <c r="K67" s="2611"/>
      <c r="L67" s="2611"/>
      <c r="M67" s="2610"/>
      <c r="N67" s="2610"/>
      <c r="O67" s="2610"/>
      <c r="P67" s="2610"/>
      <c r="Q67" s="2610"/>
      <c r="R67" s="2610"/>
      <c r="S67" s="2610"/>
      <c r="T67" s="2610"/>
      <c r="U67" s="2610"/>
      <c r="V67" s="2610"/>
      <c r="W67" s="2610"/>
      <c r="X67" s="2610"/>
      <c r="Y67" s="2610"/>
      <c r="Z67" s="2610"/>
      <c r="AA67" s="2610"/>
      <c r="AB67" s="2610"/>
      <c r="AC67" s="2610"/>
      <c r="AD67" s="2610"/>
      <c r="AE67" s="2610"/>
      <c r="AF67" s="2610"/>
      <c r="AG67" s="2610"/>
      <c r="AH67" s="2610"/>
      <c r="AI67" s="2610"/>
      <c r="AJ67" s="2610"/>
      <c r="AK67" s="2610"/>
      <c r="AL67" s="2610"/>
      <c r="AM67" s="2610"/>
      <c r="AN67" s="2610"/>
      <c r="AO67" s="2610"/>
      <c r="AP67" s="2610"/>
      <c r="AQ67" s="2610"/>
      <c r="AR67" s="2610"/>
    </row>
    <row r="68" spans="1:44" s="693" customFormat="1">
      <c r="A68" s="2605"/>
      <c r="B68" s="2610"/>
      <c r="C68" s="2610"/>
      <c r="D68" s="2612"/>
      <c r="E68" s="2610"/>
      <c r="F68" s="2610"/>
      <c r="G68" s="2610"/>
      <c r="H68" s="2610"/>
      <c r="I68" s="2610"/>
      <c r="J68" s="2610"/>
      <c r="K68" s="2611"/>
      <c r="L68" s="2611"/>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0"/>
      <c r="AK68" s="2610"/>
      <c r="AL68" s="2610"/>
      <c r="AM68" s="2610"/>
      <c r="AN68" s="2610"/>
      <c r="AO68" s="2610"/>
      <c r="AP68" s="2610"/>
      <c r="AQ68" s="2610"/>
      <c r="AR68" s="2610"/>
    </row>
    <row r="69" spans="1:44" s="693" customFormat="1">
      <c r="A69" s="1744"/>
      <c r="D69" s="1745"/>
      <c r="K69" s="696"/>
      <c r="L69" s="696"/>
    </row>
    <row r="70" spans="1:44" s="693" customFormat="1">
      <c r="A70" s="1744"/>
      <c r="D70" s="1745"/>
      <c r="K70" s="696"/>
      <c r="L70" s="696"/>
    </row>
    <row r="71" spans="1:44" s="693" customFormat="1">
      <c r="A71" s="1744"/>
      <c r="D71" s="1745"/>
      <c r="K71" s="696"/>
      <c r="L71" s="696"/>
    </row>
    <row r="72" spans="1:44" s="693" customFormat="1">
      <c r="A72" s="1744"/>
      <c r="D72" s="1745"/>
      <c r="K72" s="696"/>
      <c r="L72" s="696"/>
    </row>
    <row r="73" spans="1:44" s="693" customFormat="1">
      <c r="A73" s="1744"/>
      <c r="D73" s="1745"/>
      <c r="K73" s="696"/>
      <c r="L73" s="696"/>
    </row>
    <row r="74" spans="1:44" s="693" customFormat="1">
      <c r="A74" s="1744"/>
      <c r="D74" s="1745"/>
      <c r="K74" s="696"/>
      <c r="L74" s="696"/>
    </row>
    <row r="75" spans="1:44" s="693" customFormat="1">
      <c r="A75" s="1744"/>
      <c r="D75" s="1745"/>
      <c r="K75" s="696"/>
      <c r="L75" s="696"/>
    </row>
    <row r="76" spans="1:44" s="693" customFormat="1">
      <c r="A76" s="1744"/>
      <c r="D76" s="1745"/>
      <c r="K76" s="696"/>
      <c r="L76" s="696"/>
    </row>
    <row r="77" spans="1:44" s="693" customFormat="1">
      <c r="A77" s="1744"/>
      <c r="D77" s="1745"/>
      <c r="K77" s="696"/>
      <c r="L77" s="696"/>
    </row>
    <row r="78" spans="1:44" s="693" customFormat="1">
      <c r="A78" s="1744"/>
      <c r="D78" s="1745"/>
      <c r="K78" s="696"/>
      <c r="L78" s="696"/>
    </row>
    <row r="79" spans="1:44" s="693" customFormat="1">
      <c r="A79" s="1744"/>
      <c r="D79" s="1745"/>
      <c r="K79" s="696"/>
      <c r="L79" s="696"/>
    </row>
    <row r="80" spans="1:44" s="693" customFormat="1">
      <c r="A80" s="1744"/>
      <c r="D80" s="1745"/>
      <c r="K80" s="696"/>
      <c r="L80" s="696"/>
    </row>
    <row r="81" spans="1:12" s="693" customFormat="1">
      <c r="A81" s="1744"/>
      <c r="D81" s="1745"/>
      <c r="K81" s="696"/>
      <c r="L81" s="696"/>
    </row>
    <row r="82" spans="1:12" s="693" customFormat="1">
      <c r="A82" s="1744"/>
      <c r="D82" s="1745"/>
      <c r="K82" s="696"/>
      <c r="L82" s="696"/>
    </row>
    <row r="83" spans="1:12" s="693" customFormat="1">
      <c r="A83" s="1744"/>
      <c r="D83" s="1745"/>
      <c r="K83" s="696"/>
      <c r="L83" s="696"/>
    </row>
    <row r="84" spans="1:12" s="693" customFormat="1">
      <c r="A84" s="1744"/>
      <c r="D84" s="1745"/>
      <c r="K84" s="696"/>
      <c r="L84" s="696"/>
    </row>
    <row r="85" spans="1:12" s="693" customFormat="1">
      <c r="A85" s="1744"/>
      <c r="D85" s="1745"/>
      <c r="K85" s="696"/>
      <c r="L85" s="696"/>
    </row>
    <row r="86" spans="1:12" s="693" customFormat="1">
      <c r="A86" s="1744"/>
      <c r="D86" s="1745"/>
      <c r="K86" s="696"/>
      <c r="L86" s="696"/>
    </row>
    <row r="87" spans="1:12" s="693" customFormat="1">
      <c r="A87" s="1744"/>
      <c r="D87" s="1745"/>
      <c r="K87" s="696"/>
      <c r="L87" s="696"/>
    </row>
    <row r="88" spans="1:12" s="693" customFormat="1">
      <c r="A88" s="1744"/>
      <c r="D88" s="1745"/>
      <c r="K88" s="696"/>
      <c r="L88" s="696"/>
    </row>
    <row r="89" spans="1:12" s="693" customFormat="1">
      <c r="A89" s="1744"/>
      <c r="D89" s="1745"/>
      <c r="K89" s="696"/>
      <c r="L89" s="696"/>
    </row>
    <row r="90" spans="1:12" s="693" customFormat="1">
      <c r="A90" s="1744"/>
      <c r="D90" s="1745"/>
      <c r="K90" s="696"/>
      <c r="L90" s="696"/>
    </row>
    <row r="91" spans="1:12" s="693" customFormat="1">
      <c r="A91" s="1744"/>
      <c r="D91" s="1745"/>
      <c r="K91" s="696"/>
      <c r="L91" s="696"/>
    </row>
    <row r="92" spans="1:12" s="693" customFormat="1">
      <c r="A92" s="1744"/>
      <c r="D92" s="1745"/>
      <c r="K92" s="696"/>
      <c r="L92" s="696"/>
    </row>
    <row r="93" spans="1:12" s="693" customFormat="1">
      <c r="A93" s="1744"/>
      <c r="D93" s="1745"/>
      <c r="K93" s="696"/>
      <c r="L93" s="696"/>
    </row>
    <row r="94" spans="1:12" s="693" customFormat="1">
      <c r="A94" s="1744"/>
      <c r="D94" s="1745"/>
      <c r="K94" s="696"/>
      <c r="L94" s="696"/>
    </row>
    <row r="95" spans="1:12" s="693" customFormat="1">
      <c r="A95" s="1744"/>
      <c r="D95" s="1745"/>
      <c r="K95" s="696"/>
      <c r="L95" s="696"/>
    </row>
    <row r="96" spans="1:12" s="693" customFormat="1">
      <c r="A96" s="1744"/>
      <c r="D96" s="1745"/>
      <c r="K96" s="696"/>
      <c r="L96" s="696"/>
    </row>
    <row r="97" spans="1:12" s="693" customFormat="1">
      <c r="A97" s="1744"/>
      <c r="D97" s="1745"/>
      <c r="K97" s="696"/>
      <c r="L97" s="696"/>
    </row>
    <row r="98" spans="1:12" s="693" customFormat="1">
      <c r="A98" s="1744"/>
      <c r="D98" s="1745"/>
      <c r="K98" s="696"/>
      <c r="L98" s="696"/>
    </row>
    <row r="99" spans="1:12" s="693" customFormat="1">
      <c r="A99" s="1744"/>
      <c r="D99" s="1745"/>
      <c r="K99" s="696"/>
      <c r="L99" s="696"/>
    </row>
    <row r="100" spans="1:12" s="693" customFormat="1">
      <c r="A100" s="1744"/>
      <c r="D100" s="1745"/>
      <c r="K100" s="696"/>
      <c r="L100" s="696"/>
    </row>
    <row r="101" spans="1:12" s="693" customFormat="1">
      <c r="A101" s="1744"/>
      <c r="D101" s="1745"/>
      <c r="K101" s="696"/>
      <c r="L101" s="696"/>
    </row>
    <row r="102" spans="1:12" s="693" customFormat="1">
      <c r="A102" s="1744"/>
      <c r="D102" s="1745"/>
      <c r="K102" s="696"/>
      <c r="L102" s="696"/>
    </row>
    <row r="103" spans="1:12" s="693" customFormat="1">
      <c r="A103" s="1744"/>
      <c r="D103" s="1745"/>
      <c r="K103" s="696"/>
      <c r="L103" s="696"/>
    </row>
    <row r="104" spans="1:12" s="693" customFormat="1">
      <c r="A104" s="1744"/>
      <c r="D104" s="1745"/>
      <c r="K104" s="696"/>
      <c r="L104" s="696"/>
    </row>
    <row r="105" spans="1:12" s="693" customFormat="1">
      <c r="A105" s="1744"/>
      <c r="D105" s="1745"/>
      <c r="K105" s="696"/>
      <c r="L105" s="696"/>
    </row>
    <row r="106" spans="1:12" s="693" customFormat="1">
      <c r="A106" s="1744"/>
      <c r="D106" s="1745"/>
      <c r="K106" s="696"/>
      <c r="L106" s="696"/>
    </row>
    <row r="107" spans="1:12" s="693" customFormat="1">
      <c r="A107" s="1744"/>
      <c r="D107" s="1745"/>
      <c r="K107" s="696"/>
      <c r="L107" s="696"/>
    </row>
    <row r="108" spans="1:12" s="693" customFormat="1">
      <c r="A108" s="1744"/>
      <c r="D108" s="1745"/>
      <c r="K108" s="696"/>
      <c r="L108" s="696"/>
    </row>
    <row r="109" spans="1:12" s="693" customFormat="1">
      <c r="A109" s="1744"/>
      <c r="D109" s="1745"/>
      <c r="K109" s="696"/>
      <c r="L109" s="696"/>
    </row>
    <row r="110" spans="1:12" s="693" customFormat="1">
      <c r="A110" s="1744"/>
      <c r="D110" s="1745"/>
      <c r="K110" s="696"/>
      <c r="L110" s="696"/>
    </row>
    <row r="111" spans="1:12" s="693" customFormat="1">
      <c r="A111" s="1744"/>
      <c r="D111" s="1745"/>
      <c r="K111" s="696"/>
      <c r="L111" s="696"/>
    </row>
    <row r="112" spans="1:12" s="693" customFormat="1">
      <c r="A112" s="1744"/>
      <c r="D112" s="1745"/>
      <c r="K112" s="696"/>
      <c r="L112" s="696"/>
    </row>
    <row r="113" spans="1:12" s="693" customFormat="1">
      <c r="A113" s="1744"/>
      <c r="D113" s="1745"/>
      <c r="K113" s="696"/>
      <c r="L113" s="696"/>
    </row>
    <row r="114" spans="1:12" s="693" customFormat="1">
      <c r="A114" s="1744"/>
      <c r="D114" s="1745"/>
      <c r="K114" s="696"/>
      <c r="L114" s="696"/>
    </row>
    <row r="115" spans="1:12" s="693" customFormat="1">
      <c r="A115" s="1744"/>
      <c r="D115" s="1745"/>
      <c r="K115" s="696"/>
      <c r="L115" s="696"/>
    </row>
    <row r="116" spans="1:12" s="693" customFormat="1">
      <c r="A116" s="1744"/>
      <c r="D116" s="1745"/>
      <c r="K116" s="696"/>
      <c r="L116" s="696"/>
    </row>
    <row r="117" spans="1:12" s="693" customFormat="1">
      <c r="A117" s="1744"/>
      <c r="D117" s="1745"/>
      <c r="K117" s="696"/>
      <c r="L117" s="696"/>
    </row>
    <row r="118" spans="1:12" s="693" customFormat="1">
      <c r="A118" s="1744"/>
      <c r="D118" s="1745"/>
      <c r="K118" s="696"/>
      <c r="L118" s="696"/>
    </row>
    <row r="119" spans="1:12" s="693" customFormat="1">
      <c r="A119" s="1744"/>
      <c r="D119" s="1745"/>
      <c r="K119" s="696"/>
      <c r="L119" s="696"/>
    </row>
    <row r="120" spans="1:12" s="693" customFormat="1">
      <c r="A120" s="1744"/>
      <c r="D120" s="1745"/>
      <c r="K120" s="696"/>
      <c r="L120" s="696"/>
    </row>
    <row r="121" spans="1:12" s="693" customFormat="1">
      <c r="A121" s="1744"/>
      <c r="D121" s="1745"/>
      <c r="K121" s="696"/>
      <c r="L121" s="696"/>
    </row>
    <row r="122" spans="1:12" s="693" customFormat="1">
      <c r="A122" s="1744"/>
      <c r="D122" s="1745"/>
      <c r="K122" s="696"/>
      <c r="L122" s="696"/>
    </row>
    <row r="123" spans="1:12" s="693" customFormat="1">
      <c r="A123" s="1744"/>
      <c r="D123" s="1745"/>
      <c r="K123" s="696"/>
      <c r="L123" s="696"/>
    </row>
    <row r="124" spans="1:12" s="693" customFormat="1">
      <c r="A124" s="1744"/>
      <c r="D124" s="1745"/>
      <c r="K124" s="696"/>
      <c r="L124" s="696"/>
    </row>
    <row r="125" spans="1:12" s="693" customFormat="1">
      <c r="A125" s="1744"/>
      <c r="D125" s="1745"/>
      <c r="K125" s="696"/>
      <c r="L125" s="696"/>
    </row>
    <row r="126" spans="1:12" s="693" customFormat="1">
      <c r="A126" s="1744"/>
      <c r="D126" s="1745"/>
      <c r="K126" s="696"/>
      <c r="L126" s="696"/>
    </row>
    <row r="127" spans="1:12" s="693" customFormat="1">
      <c r="A127" s="1744"/>
      <c r="D127" s="1745"/>
      <c r="K127" s="696"/>
      <c r="L127" s="696"/>
    </row>
    <row r="128" spans="1:12" s="693" customFormat="1">
      <c r="A128" s="1744"/>
      <c r="D128" s="1745"/>
      <c r="K128" s="696"/>
      <c r="L128" s="696"/>
    </row>
    <row r="129" spans="1:12" s="693" customFormat="1">
      <c r="A129" s="1744"/>
      <c r="D129" s="1745"/>
      <c r="K129" s="696"/>
      <c r="L129" s="696"/>
    </row>
    <row r="130" spans="1:12" s="693" customFormat="1">
      <c r="A130" s="1744"/>
      <c r="D130" s="1745"/>
      <c r="K130" s="696"/>
      <c r="L130" s="696"/>
    </row>
    <row r="131" spans="1:12" s="693" customFormat="1">
      <c r="A131" s="1744"/>
      <c r="D131" s="1745"/>
      <c r="K131" s="696"/>
      <c r="L131" s="696"/>
    </row>
    <row r="132" spans="1:12" s="693" customFormat="1">
      <c r="A132" s="1744"/>
      <c r="D132" s="1745"/>
      <c r="K132" s="696"/>
      <c r="L132" s="696"/>
    </row>
    <row r="133" spans="1:12" s="693" customFormat="1">
      <c r="A133" s="1744"/>
      <c r="D133" s="1745"/>
      <c r="K133" s="696"/>
      <c r="L133" s="696"/>
    </row>
    <row r="134" spans="1:12" s="127" customFormat="1">
      <c r="A134" s="1746"/>
      <c r="D134" s="1747"/>
      <c r="K134" s="27"/>
      <c r="L134" s="27"/>
    </row>
    <row r="135" spans="1:12" s="127" customFormat="1">
      <c r="A135" s="1746"/>
      <c r="D135" s="1747"/>
      <c r="K135" s="27"/>
      <c r="L135" s="27"/>
    </row>
    <row r="136" spans="1:12" s="127" customFormat="1">
      <c r="A136" s="1746"/>
      <c r="D136" s="1747"/>
      <c r="K136" s="27"/>
      <c r="L136" s="27"/>
    </row>
    <row r="137" spans="1:12" s="127" customFormat="1">
      <c r="A137" s="1746"/>
      <c r="D137" s="1747"/>
      <c r="K137" s="27"/>
      <c r="L137" s="27"/>
    </row>
    <row r="138" spans="1:12" s="127" customFormat="1">
      <c r="A138" s="1746"/>
      <c r="D138" s="1747"/>
      <c r="K138" s="27"/>
      <c r="L138" s="27"/>
    </row>
    <row r="139" spans="1:12" s="127" customFormat="1">
      <c r="A139" s="1746"/>
      <c r="D139" s="1747"/>
      <c r="K139" s="27"/>
      <c r="L139" s="27"/>
    </row>
    <row r="140" spans="1:12" s="127" customFormat="1">
      <c r="A140" s="1746"/>
      <c r="D140" s="1747"/>
      <c r="K140" s="27"/>
      <c r="L140" s="27"/>
    </row>
    <row r="141" spans="1:12" s="127" customFormat="1">
      <c r="A141" s="1746"/>
      <c r="D141" s="1747"/>
      <c r="K141" s="27"/>
      <c r="L141" s="27"/>
    </row>
    <row r="142" spans="1:12" s="127" customFormat="1">
      <c r="A142" s="1746"/>
      <c r="D142" s="1747"/>
      <c r="K142" s="27"/>
      <c r="L142" s="27"/>
    </row>
    <row r="143" spans="1:12" s="127" customFormat="1">
      <c r="A143" s="1746"/>
      <c r="D143" s="1747"/>
      <c r="K143" s="27"/>
      <c r="L143" s="27"/>
    </row>
    <row r="144" spans="1:12" s="127" customFormat="1">
      <c r="A144" s="1746"/>
      <c r="D144" s="1747"/>
      <c r="K144" s="27"/>
      <c r="L144" s="27"/>
    </row>
    <row r="145" spans="1:12" s="127" customFormat="1">
      <c r="A145" s="1746"/>
      <c r="D145" s="1747"/>
      <c r="K145" s="27"/>
      <c r="L145" s="27"/>
    </row>
    <row r="146" spans="1:12" s="127" customFormat="1">
      <c r="A146" s="1746"/>
      <c r="D146" s="1747"/>
      <c r="K146" s="27"/>
      <c r="L146" s="27"/>
    </row>
    <row r="147" spans="1:12" s="127" customFormat="1">
      <c r="A147" s="1746"/>
      <c r="D147" s="1747"/>
      <c r="K147" s="27"/>
      <c r="L147" s="27"/>
    </row>
    <row r="148" spans="1:12" s="127" customFormat="1">
      <c r="A148" s="1746"/>
      <c r="D148" s="1747"/>
      <c r="K148" s="27"/>
      <c r="L148" s="27"/>
    </row>
    <row r="149" spans="1:12" s="127" customFormat="1">
      <c r="A149" s="1746"/>
      <c r="D149" s="1747"/>
      <c r="K149" s="27"/>
      <c r="L149" s="27"/>
    </row>
    <row r="150" spans="1:12" s="127" customFormat="1">
      <c r="A150" s="1746"/>
      <c r="D150" s="1747"/>
      <c r="K150" s="27"/>
      <c r="L150" s="27"/>
    </row>
    <row r="151" spans="1:12" s="127" customFormat="1">
      <c r="A151" s="1746"/>
      <c r="D151" s="1747"/>
      <c r="K151" s="27"/>
      <c r="L151" s="27"/>
    </row>
    <row r="152" spans="1:12" s="127" customFormat="1">
      <c r="A152" s="1746"/>
      <c r="D152" s="1747"/>
      <c r="K152" s="27"/>
      <c r="L152" s="27"/>
    </row>
    <row r="153" spans="1:12" s="127" customFormat="1">
      <c r="A153" s="1746"/>
      <c r="D153" s="1747"/>
      <c r="K153" s="27"/>
      <c r="L153" s="27"/>
    </row>
    <row r="154" spans="1:12" s="127" customFormat="1">
      <c r="A154" s="1746"/>
      <c r="D154" s="1747"/>
      <c r="K154" s="27"/>
      <c r="L154" s="27"/>
    </row>
    <row r="155" spans="1:12" s="127" customFormat="1">
      <c r="A155" s="1746"/>
      <c r="D155" s="1747"/>
      <c r="K155" s="27"/>
      <c r="L155" s="27"/>
    </row>
    <row r="156" spans="1:12" s="127" customFormat="1">
      <c r="A156" s="1746"/>
      <c r="D156" s="1747"/>
      <c r="K156" s="27"/>
      <c r="L156" s="27"/>
    </row>
    <row r="157" spans="1:12" s="127" customFormat="1">
      <c r="A157" s="1746"/>
      <c r="D157" s="1747"/>
      <c r="K157" s="27"/>
      <c r="L157" s="27"/>
    </row>
    <row r="158" spans="1:12" s="127" customFormat="1">
      <c r="A158" s="1746"/>
      <c r="D158" s="1747"/>
      <c r="K158" s="27"/>
      <c r="L158" s="27"/>
    </row>
    <row r="159" spans="1:12" s="127" customFormat="1">
      <c r="A159" s="1746"/>
      <c r="D159" s="1747"/>
      <c r="K159" s="27"/>
      <c r="L159" s="27"/>
    </row>
    <row r="160" spans="1:12" s="127" customFormat="1">
      <c r="A160" s="1746"/>
      <c r="D160" s="1747"/>
      <c r="K160" s="27"/>
      <c r="L160" s="27"/>
    </row>
    <row r="161" spans="1:12" s="127" customFormat="1">
      <c r="A161" s="1746"/>
      <c r="D161" s="1747"/>
      <c r="K161" s="27"/>
      <c r="L161" s="27"/>
    </row>
    <row r="162" spans="1:12" s="127" customFormat="1">
      <c r="A162" s="1746"/>
      <c r="D162" s="1747"/>
      <c r="K162" s="27"/>
      <c r="L162" s="27"/>
    </row>
    <row r="163" spans="1:12" s="127" customFormat="1">
      <c r="A163" s="1746"/>
      <c r="D163" s="1747"/>
      <c r="K163" s="27"/>
      <c r="L163" s="27"/>
    </row>
    <row r="164" spans="1:12" s="127" customFormat="1">
      <c r="A164" s="1746"/>
      <c r="D164" s="1747"/>
      <c r="K164" s="27"/>
      <c r="L164" s="27"/>
    </row>
    <row r="165" spans="1:12" s="127" customFormat="1">
      <c r="A165" s="1746"/>
      <c r="D165" s="1747"/>
      <c r="K165" s="27"/>
      <c r="L165" s="27"/>
    </row>
    <row r="166" spans="1:12" s="127" customFormat="1">
      <c r="A166" s="1746"/>
      <c r="D166" s="1747"/>
      <c r="K166" s="27"/>
      <c r="L166" s="27"/>
    </row>
    <row r="167" spans="1:12" s="127" customFormat="1">
      <c r="A167" s="1746"/>
      <c r="D167" s="1747"/>
      <c r="K167" s="27"/>
      <c r="L167" s="27"/>
    </row>
    <row r="168" spans="1:12" s="127" customFormat="1">
      <c r="A168" s="1746"/>
      <c r="D168" s="1747"/>
      <c r="K168" s="27"/>
      <c r="L168" s="27"/>
    </row>
    <row r="169" spans="1:12" s="127" customFormat="1">
      <c r="A169" s="1746"/>
      <c r="D169" s="1747"/>
      <c r="K169" s="27"/>
      <c r="L169" s="27"/>
    </row>
    <row r="170" spans="1:12" s="127" customFormat="1">
      <c r="A170" s="1746"/>
      <c r="D170" s="1747"/>
      <c r="K170" s="27"/>
      <c r="L170" s="27"/>
    </row>
    <row r="171" spans="1:12" s="127" customFormat="1">
      <c r="A171" s="1746"/>
      <c r="D171" s="1747"/>
      <c r="K171" s="27"/>
      <c r="L171" s="27"/>
    </row>
    <row r="172" spans="1:12" s="127" customFormat="1">
      <c r="A172" s="1746"/>
      <c r="D172" s="1747"/>
      <c r="K172" s="27"/>
      <c r="L172" s="27"/>
    </row>
    <row r="173" spans="1:12" s="127" customFormat="1">
      <c r="A173" s="1746"/>
      <c r="D173" s="1747"/>
      <c r="K173" s="27"/>
      <c r="L173" s="27"/>
    </row>
    <row r="174" spans="1:12" s="127" customFormat="1">
      <c r="A174" s="1746"/>
      <c r="D174" s="174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52" customWidth="1"/>
    <col min="2" max="3" width="24.5" style="516" customWidth="1"/>
    <col min="4" max="4" width="2.625" style="516" customWidth="1"/>
    <col min="5" max="5" width="5.875" style="516" customWidth="1"/>
    <col min="6" max="7" width="27" style="516" customWidth="1"/>
    <col min="8" max="8" width="11.875" style="2439" customWidth="1"/>
    <col min="9" max="9" width="16.75" style="2439" customWidth="1"/>
    <col min="10" max="10" width="2.625" style="2439" customWidth="1"/>
    <col min="11" max="11" width="11.875" style="2439" customWidth="1"/>
    <col min="12" max="12" width="16.75" style="2439" customWidth="1"/>
    <col min="13" max="13" width="2.625" style="2439" customWidth="1"/>
    <col min="14" max="14" width="11.875" style="2439" customWidth="1"/>
    <col min="15" max="15" width="16.75" style="2439" customWidth="1"/>
    <col min="16" max="16" width="2.625" style="2439" customWidth="1"/>
    <col min="17" max="17" width="11.875" style="2439" customWidth="1"/>
    <col min="18" max="18" width="16.75" style="835" customWidth="1"/>
    <col min="19" max="29" width="9" style="835"/>
    <col min="30" max="16384" width="9" style="1652"/>
  </cols>
  <sheetData>
    <row r="1" spans="1:29" s="2421" customFormat="1" ht="18.75" thickBot="1">
      <c r="A1" s="3241" t="s">
        <v>2780</v>
      </c>
      <c r="B1" s="3242"/>
      <c r="C1" s="3242"/>
      <c r="D1" s="3242"/>
      <c r="E1" s="3242"/>
      <c r="F1" s="3242"/>
      <c r="G1" s="3242"/>
      <c r="H1" s="2418"/>
      <c r="I1" s="2418"/>
      <c r="J1" s="2418"/>
      <c r="K1" s="2418"/>
      <c r="L1" s="2418"/>
      <c r="M1" s="2418"/>
      <c r="N1" s="2418"/>
      <c r="O1" s="2418"/>
      <c r="P1" s="2418"/>
      <c r="Q1" s="2419"/>
      <c r="R1" s="2420"/>
      <c r="S1" s="2420"/>
      <c r="T1" s="2420"/>
      <c r="U1" s="2420"/>
      <c r="V1" s="2420"/>
      <c r="W1" s="2420"/>
      <c r="X1" s="2420"/>
      <c r="Y1" s="2420"/>
      <c r="Z1" s="2420"/>
      <c r="AA1" s="2420"/>
      <c r="AB1" s="2420"/>
      <c r="AC1" s="2420"/>
    </row>
    <row r="2" spans="1:29" ht="15" thickBot="1">
      <c r="A2" s="2422"/>
      <c r="B2" s="2423"/>
      <c r="C2" s="2424" t="s">
        <v>2775</v>
      </c>
      <c r="D2" s="1725"/>
      <c r="E2" s="2422"/>
      <c r="F2" s="2425"/>
      <c r="G2" s="2424" t="s">
        <v>2776</v>
      </c>
      <c r="H2" s="835"/>
      <c r="I2" s="835"/>
      <c r="J2" s="835"/>
      <c r="K2" s="835"/>
      <c r="L2" s="835"/>
      <c r="M2" s="835"/>
      <c r="N2" s="835"/>
      <c r="O2" s="835"/>
      <c r="P2" s="835"/>
      <c r="Q2" s="835"/>
    </row>
    <row r="3" spans="1:29" ht="48">
      <c r="A3" s="2409" t="s">
        <v>2777</v>
      </c>
      <c r="B3" s="2426" t="s">
        <v>2746</v>
      </c>
      <c r="C3" s="2427" t="s">
        <v>2778</v>
      </c>
      <c r="D3" s="2428"/>
      <c r="E3" s="2410" t="s">
        <v>2777</v>
      </c>
      <c r="F3" s="2429" t="s">
        <v>2747</v>
      </c>
      <c r="G3" s="2430" t="s">
        <v>2779</v>
      </c>
      <c r="H3" s="835"/>
      <c r="I3" s="835"/>
      <c r="J3" s="835"/>
      <c r="K3" s="835"/>
      <c r="L3" s="835"/>
      <c r="M3" s="835"/>
      <c r="N3" s="835"/>
      <c r="O3" s="835"/>
      <c r="P3" s="835"/>
      <c r="Q3" s="835"/>
    </row>
    <row r="4" spans="1:29" ht="36.75">
      <c r="A4" s="2410"/>
      <c r="B4" s="321" t="s">
        <v>2748</v>
      </c>
      <c r="C4" s="2431" t="s">
        <v>2749</v>
      </c>
      <c r="D4" s="2428"/>
      <c r="E4" s="2432"/>
      <c r="F4" s="1410" t="s">
        <v>2750</v>
      </c>
      <c r="G4" s="2433" t="s">
        <v>2751</v>
      </c>
      <c r="H4" s="835"/>
      <c r="I4" s="835"/>
      <c r="J4" s="835"/>
      <c r="K4" s="835"/>
      <c r="L4" s="835"/>
      <c r="M4" s="835"/>
      <c r="N4" s="835"/>
      <c r="O4" s="835"/>
      <c r="P4" s="835"/>
      <c r="Q4" s="835"/>
    </row>
    <row r="5" spans="1:29" ht="36.75">
      <c r="A5" s="2410"/>
      <c r="B5" s="321" t="s">
        <v>2752</v>
      </c>
      <c r="C5" s="2431" t="s">
        <v>2753</v>
      </c>
      <c r="D5" s="2428"/>
      <c r="E5" s="2432"/>
      <c r="F5" s="321" t="s">
        <v>2754</v>
      </c>
      <c r="G5" s="2433" t="s">
        <v>2755</v>
      </c>
      <c r="H5" s="835"/>
      <c r="I5" s="835"/>
      <c r="J5" s="835"/>
      <c r="K5" s="835"/>
      <c r="L5" s="835"/>
      <c r="M5" s="835"/>
      <c r="N5" s="835"/>
      <c r="O5" s="835"/>
      <c r="P5" s="835"/>
      <c r="Q5" s="835"/>
    </row>
    <row r="6" spans="1:29" ht="36">
      <c r="A6" s="2410"/>
      <c r="B6" s="321" t="s">
        <v>2756</v>
      </c>
      <c r="C6" s="2433" t="s">
        <v>2751</v>
      </c>
      <c r="D6" s="2428"/>
      <c r="E6" s="2432"/>
      <c r="F6" s="321" t="s">
        <v>2757</v>
      </c>
      <c r="G6" s="2433" t="s">
        <v>2758</v>
      </c>
      <c r="H6" s="835"/>
      <c r="I6" s="835"/>
      <c r="J6" s="835"/>
      <c r="K6" s="835"/>
      <c r="L6" s="835"/>
      <c r="M6" s="835"/>
      <c r="N6" s="835"/>
      <c r="O6" s="835"/>
      <c r="P6" s="835"/>
      <c r="Q6" s="835"/>
    </row>
    <row r="7" spans="1:29" ht="24.75" thickBot="1">
      <c r="A7" s="2410"/>
      <c r="B7" s="321" t="s">
        <v>2754</v>
      </c>
      <c r="C7" s="2433" t="s">
        <v>2755</v>
      </c>
      <c r="D7" s="2407"/>
      <c r="E7" s="2434"/>
      <c r="F7" s="2435" t="s">
        <v>2759</v>
      </c>
      <c r="G7" s="2436" t="s">
        <v>2760</v>
      </c>
      <c r="H7" s="835"/>
      <c r="I7" s="835"/>
      <c r="J7" s="835"/>
      <c r="K7" s="835"/>
      <c r="L7" s="835"/>
      <c r="M7" s="835"/>
      <c r="N7" s="835"/>
      <c r="O7" s="835"/>
      <c r="P7" s="835"/>
      <c r="Q7" s="835"/>
    </row>
    <row r="8" spans="1:29">
      <c r="A8" s="2410"/>
      <c r="B8" s="321" t="s">
        <v>2757</v>
      </c>
      <c r="C8" s="2433" t="s">
        <v>2758</v>
      </c>
      <c r="D8" s="2407"/>
      <c r="E8" s="2407"/>
      <c r="F8" s="126"/>
      <c r="G8" s="126"/>
      <c r="H8" s="835"/>
      <c r="I8" s="835"/>
      <c r="J8" s="835"/>
      <c r="K8" s="835"/>
      <c r="L8" s="835"/>
      <c r="M8" s="835"/>
      <c r="N8" s="835"/>
      <c r="O8" s="835"/>
      <c r="P8" s="835"/>
      <c r="Q8" s="835"/>
    </row>
    <row r="9" spans="1:29" ht="24">
      <c r="A9" s="2410"/>
      <c r="B9" s="321" t="s">
        <v>2761</v>
      </c>
      <c r="C9" s="2431" t="s">
        <v>2762</v>
      </c>
      <c r="D9" s="2428"/>
      <c r="E9" s="2407"/>
      <c r="F9" s="126"/>
      <c r="G9" s="126"/>
      <c r="H9" s="835"/>
      <c r="I9" s="835"/>
      <c r="J9" s="835"/>
      <c r="K9" s="835"/>
      <c r="L9" s="835"/>
      <c r="M9" s="835"/>
      <c r="N9" s="835"/>
      <c r="O9" s="835"/>
      <c r="P9" s="835"/>
      <c r="Q9" s="835"/>
    </row>
    <row r="10" spans="1:29" ht="15" thickBot="1">
      <c r="A10" s="2411"/>
      <c r="B10" s="2437" t="s">
        <v>2763</v>
      </c>
      <c r="C10" s="2438"/>
      <c r="D10" s="2428"/>
      <c r="E10" s="2428"/>
      <c r="F10" s="126"/>
      <c r="G10" s="126"/>
      <c r="J10" s="2440"/>
      <c r="M10" s="2440"/>
      <c r="P10" s="2440"/>
      <c r="R10" s="2439"/>
    </row>
    <row r="11" spans="1:29">
      <c r="A11" s="2441"/>
      <c r="B11" s="2407"/>
      <c r="C11" s="2428"/>
      <c r="D11" s="2428"/>
      <c r="E11" s="2428"/>
      <c r="F11" s="2407"/>
      <c r="G11" s="2407"/>
      <c r="J11" s="2440"/>
      <c r="M11" s="2440"/>
      <c r="P11" s="2440"/>
      <c r="R11" s="2439"/>
    </row>
    <row r="12" spans="1:29" s="2421" customFormat="1" ht="18">
      <c r="A12" s="2441"/>
      <c r="B12" s="2407"/>
      <c r="C12" s="2428"/>
      <c r="D12" s="2442"/>
      <c r="E12" s="2428"/>
      <c r="F12" s="2407"/>
      <c r="G12" s="2407"/>
      <c r="H12" s="2443"/>
      <c r="I12" s="2443"/>
      <c r="J12" s="2443"/>
      <c r="K12" s="2443"/>
      <c r="L12" s="2444"/>
      <c r="M12" s="2443"/>
      <c r="N12" s="2445"/>
      <c r="O12" s="2445"/>
      <c r="P12" s="2445"/>
      <c r="Q12" s="2445"/>
      <c r="R12" s="2420"/>
      <c r="S12" s="2420"/>
      <c r="T12" s="2420"/>
      <c r="U12" s="2420"/>
      <c r="V12" s="2420"/>
      <c r="W12" s="2420"/>
      <c r="X12" s="2420"/>
      <c r="Y12" s="2420"/>
      <c r="Z12" s="2420"/>
      <c r="AA12" s="2420"/>
      <c r="AB12" s="2420"/>
      <c r="AC12" s="2420"/>
    </row>
    <row r="13" spans="1:29" ht="15.75" thickBot="1">
      <c r="A13" s="2446" t="s">
        <v>2781</v>
      </c>
      <c r="B13" s="2442"/>
      <c r="C13" s="2442"/>
      <c r="D13" s="2441"/>
      <c r="E13" s="2442"/>
      <c r="F13" s="2442"/>
      <c r="G13" s="2442"/>
    </row>
    <row r="14" spans="1:29" ht="15" thickBot="1">
      <c r="A14" s="2447"/>
      <c r="B14" s="2447"/>
      <c r="C14" s="2448" t="s">
        <v>2764</v>
      </c>
      <c r="D14" s="2428"/>
      <c r="E14" s="2449"/>
      <c r="F14" s="2449"/>
      <c r="G14" s="2424" t="s">
        <v>2765</v>
      </c>
    </row>
    <row r="15" spans="1:29" ht="51">
      <c r="A15" s="2412" t="s">
        <v>2766</v>
      </c>
      <c r="B15" s="2450" t="s">
        <v>2746</v>
      </c>
      <c r="C15" s="2451" t="str">
        <f>C3</f>
        <v>估价对象周边居住用地比例、居住小区规模和社区发展完善程度，综合评价居住社区成熟度一般</v>
      </c>
      <c r="D15" s="2428"/>
      <c r="E15" s="2413" t="s">
        <v>2767</v>
      </c>
      <c r="F15" s="2450" t="s">
        <v>2768</v>
      </c>
      <c r="G15" s="2452" t="str">
        <f>G3</f>
        <v>估价对象位于XX开发区，园区建设成熟度XX，产业集聚程度XX</v>
      </c>
    </row>
    <row r="16" spans="1:29" ht="38.25">
      <c r="A16" s="2414"/>
      <c r="B16" s="2453" t="s">
        <v>2748</v>
      </c>
      <c r="C16" s="2454" t="str">
        <f>C4</f>
        <v>估价对象位于XX商圈，周边商业氛围成熟，人流量大，商业繁华度好</v>
      </c>
      <c r="D16" s="2428"/>
      <c r="E16" s="2415"/>
      <c r="F16" s="2455" t="s">
        <v>2750</v>
      </c>
      <c r="G16" s="2456" t="str">
        <f>G4</f>
        <v>估价对象周边道路状况、公共交通通达情况、停车便捷程度，综合评价交通便捷度较好</v>
      </c>
    </row>
    <row r="17" spans="1:17" ht="38.25">
      <c r="A17" s="2414"/>
      <c r="B17" s="2453" t="s">
        <v>2752</v>
      </c>
      <c r="C17" s="2454" t="str">
        <f>C5</f>
        <v>估价对象位于XX商圈，周边办公楼项目较多，入驻率高，办公集聚程度较好</v>
      </c>
      <c r="D17" s="2407"/>
      <c r="E17" s="2415"/>
      <c r="F17" s="2455" t="s">
        <v>2769</v>
      </c>
      <c r="G17" s="2457"/>
    </row>
    <row r="18" spans="1:17" ht="38.25">
      <c r="A18" s="2414"/>
      <c r="B18" s="2455" t="s">
        <v>2756</v>
      </c>
      <c r="C18" s="2456" t="str">
        <f>C6</f>
        <v>估价对象周边道路状况、公共交通通达情况、停车便捷程度，综合评价交通便捷度较好</v>
      </c>
      <c r="D18" s="2407"/>
      <c r="E18" s="2415"/>
      <c r="F18" s="2455" t="s">
        <v>2759</v>
      </c>
      <c r="G18" s="2456" t="str">
        <f>G7</f>
        <v>该园区内是否有污染型企业，绿化情况，卫生条件，整体环境状况判断</v>
      </c>
    </row>
    <row r="19" spans="1:17" ht="25.5">
      <c r="A19" s="2414"/>
      <c r="B19" s="2455" t="s">
        <v>2770</v>
      </c>
      <c r="C19" s="2457"/>
      <c r="D19" s="2428"/>
      <c r="E19" s="2415"/>
      <c r="F19" s="321" t="s">
        <v>2754</v>
      </c>
      <c r="G19" s="2456" t="str">
        <f>G5</f>
        <v>估价对象所在区域公共配套设施齐备情况</v>
      </c>
    </row>
    <row r="20" spans="1:17" ht="25.5">
      <c r="A20" s="2414"/>
      <c r="B20" s="2455" t="s">
        <v>2771</v>
      </c>
      <c r="C20" s="2454" t="str">
        <f>C9</f>
        <v>区域自然环境：；人文环境；综合评价环境状况一般</v>
      </c>
      <c r="D20" s="2407"/>
      <c r="E20" s="2415"/>
      <c r="F20" s="321" t="s">
        <v>2757</v>
      </c>
      <c r="G20" s="2456" t="str">
        <f>G6</f>
        <v>估价对象所在区域基础设施水平</v>
      </c>
    </row>
    <row r="21" spans="1:17" ht="25.5">
      <c r="A21" s="2414"/>
      <c r="B21" s="321" t="s">
        <v>2754</v>
      </c>
      <c r="C21" s="2456" t="str">
        <f>C7</f>
        <v>估价对象所在区域公共配套设施齐备情况</v>
      </c>
      <c r="D21" s="2428"/>
      <c r="E21" s="2415"/>
      <c r="F21" s="2455" t="s">
        <v>2772</v>
      </c>
      <c r="G21" s="2458"/>
    </row>
    <row r="22" spans="1:17" ht="13.5" customHeight="1">
      <c r="A22" s="2414"/>
      <c r="B22" s="321" t="s">
        <v>2757</v>
      </c>
      <c r="C22" s="2456" t="str">
        <f>C8</f>
        <v>估价对象所在区域基础设施水平</v>
      </c>
      <c r="D22" s="2428"/>
      <c r="E22" s="2415"/>
      <c r="F22" s="2455" t="s">
        <v>2763</v>
      </c>
      <c r="G22" s="2457"/>
    </row>
    <row r="23" spans="1:17" s="835" customFormat="1" ht="15" thickBot="1">
      <c r="A23" s="2414"/>
      <c r="B23" s="2455" t="s">
        <v>2772</v>
      </c>
      <c r="C23" s="2458"/>
      <c r="D23" s="1744"/>
      <c r="E23" s="2416"/>
      <c r="F23" s="2459" t="s">
        <v>2773</v>
      </c>
      <c r="G23" s="2460"/>
      <c r="H23" s="2439"/>
      <c r="I23" s="2439"/>
      <c r="J23" s="2439"/>
      <c r="K23" s="2439"/>
      <c r="L23" s="2439"/>
      <c r="M23" s="2439"/>
      <c r="N23" s="2439"/>
      <c r="O23" s="2439"/>
      <c r="P23" s="2439"/>
      <c r="Q23" s="2439"/>
    </row>
    <row r="24" spans="1:17" s="835" customFormat="1" ht="15" thickBot="1">
      <c r="A24" s="2417"/>
      <c r="B24" s="2459" t="s">
        <v>2774</v>
      </c>
      <c r="C24" s="2461">
        <f>C10</f>
        <v>0</v>
      </c>
      <c r="D24" s="1744"/>
      <c r="E24" s="2407"/>
      <c r="F24" s="2407"/>
      <c r="G24" s="2407"/>
      <c r="H24" s="2439"/>
      <c r="I24" s="2439"/>
      <c r="J24" s="2439"/>
      <c r="K24" s="2439"/>
      <c r="L24" s="2439"/>
      <c r="M24" s="2439"/>
      <c r="N24" s="2439"/>
      <c r="O24" s="2439"/>
      <c r="P24" s="2439"/>
      <c r="Q24" s="2439"/>
    </row>
    <row r="25" spans="1:17" s="835" customFormat="1">
      <c r="B25" s="2439"/>
      <c r="C25" s="2439"/>
      <c r="D25" s="2439"/>
      <c r="H25" s="2439"/>
      <c r="I25" s="2439"/>
      <c r="J25" s="2439"/>
      <c r="K25" s="2439"/>
      <c r="L25" s="2439"/>
      <c r="M25" s="2439"/>
      <c r="N25" s="2439"/>
      <c r="O25" s="2439"/>
      <c r="P25" s="2439"/>
      <c r="Q25" s="2439"/>
    </row>
    <row r="26" spans="1:17" s="835" customFormat="1">
      <c r="B26" s="2439"/>
      <c r="C26" s="2439"/>
      <c r="D26" s="2439"/>
      <c r="H26" s="2439"/>
      <c r="I26" s="2439"/>
      <c r="J26" s="2439"/>
      <c r="K26" s="2439"/>
      <c r="L26" s="2439"/>
      <c r="M26" s="2439"/>
      <c r="N26" s="2439"/>
      <c r="O26" s="2439"/>
      <c r="P26" s="2439"/>
      <c r="Q26" s="2439"/>
    </row>
    <row r="27" spans="1:17" s="835" customFormat="1">
      <c r="B27" s="2439"/>
      <c r="C27" s="2439"/>
      <c r="D27" s="2439"/>
      <c r="H27" s="2439"/>
      <c r="I27" s="2439"/>
      <c r="J27" s="2439"/>
      <c r="K27" s="2439"/>
      <c r="L27" s="2439"/>
      <c r="M27" s="2439"/>
      <c r="N27" s="2439"/>
      <c r="O27" s="2439"/>
      <c r="P27" s="2439"/>
      <c r="Q27" s="2439"/>
    </row>
    <row r="28" spans="1:17" s="835" customFormat="1">
      <c r="B28" s="2439"/>
      <c r="C28" s="2439"/>
      <c r="D28" s="2439"/>
      <c r="H28" s="2439"/>
      <c r="I28" s="2439"/>
      <c r="J28" s="2439"/>
      <c r="K28" s="2439"/>
      <c r="L28" s="2439"/>
      <c r="M28" s="2439"/>
      <c r="N28" s="2439"/>
      <c r="O28" s="2439"/>
      <c r="P28" s="2439"/>
      <c r="Q28" s="2439"/>
    </row>
    <row r="29" spans="1:17" s="835" customFormat="1">
      <c r="B29" s="2439"/>
      <c r="C29" s="2439"/>
      <c r="D29" s="2439"/>
      <c r="H29" s="2439"/>
      <c r="I29" s="2439"/>
      <c r="J29" s="2439"/>
      <c r="K29" s="2439"/>
      <c r="L29" s="2439"/>
      <c r="M29" s="2439"/>
      <c r="N29" s="2439"/>
      <c r="O29" s="2439"/>
      <c r="P29" s="2439"/>
      <c r="Q29" s="2439"/>
    </row>
    <row r="30" spans="1:17" s="835" customFormat="1">
      <c r="B30" s="2439"/>
      <c r="C30" s="2439"/>
      <c r="D30" s="2439"/>
      <c r="H30" s="2439"/>
      <c r="I30" s="2439"/>
      <c r="J30" s="2439"/>
      <c r="K30" s="2439"/>
      <c r="L30" s="2439"/>
      <c r="M30" s="2439"/>
      <c r="N30" s="2439"/>
      <c r="O30" s="2439"/>
      <c r="P30" s="2439"/>
      <c r="Q30" s="2439"/>
    </row>
    <row r="31" spans="1:17" s="835" customFormat="1">
      <c r="B31" s="2439"/>
      <c r="C31" s="2439"/>
      <c r="D31" s="2439"/>
      <c r="H31" s="2439"/>
      <c r="I31" s="2439"/>
      <c r="J31" s="2439"/>
      <c r="K31" s="2439"/>
      <c r="L31" s="2439"/>
      <c r="M31" s="2439"/>
      <c r="N31" s="2439"/>
      <c r="O31" s="2439"/>
      <c r="P31" s="2439"/>
      <c r="Q31" s="2439"/>
    </row>
    <row r="32" spans="1:17" s="835" customFormat="1">
      <c r="B32" s="2439"/>
      <c r="C32" s="2439"/>
      <c r="D32" s="2439"/>
      <c r="H32" s="2439"/>
      <c r="I32" s="2439"/>
      <c r="J32" s="2439"/>
      <c r="K32" s="2439"/>
      <c r="L32" s="2439"/>
      <c r="M32" s="2439"/>
      <c r="N32" s="2439"/>
      <c r="O32" s="2439"/>
      <c r="P32" s="2439"/>
      <c r="Q32" s="2439"/>
    </row>
    <row r="33" spans="2:17" s="835" customFormat="1">
      <c r="B33" s="2439"/>
      <c r="C33" s="2439"/>
      <c r="D33" s="2439"/>
      <c r="H33" s="2439"/>
      <c r="I33" s="2439"/>
      <c r="J33" s="2439"/>
      <c r="K33" s="2439"/>
      <c r="L33" s="2439"/>
      <c r="M33" s="2439"/>
      <c r="N33" s="2439"/>
      <c r="O33" s="2439"/>
      <c r="P33" s="2439"/>
      <c r="Q33" s="2439"/>
    </row>
    <row r="34" spans="2:17" s="835" customFormat="1">
      <c r="B34" s="2439"/>
      <c r="C34" s="2439"/>
      <c r="D34" s="2439"/>
      <c r="H34" s="2439"/>
      <c r="I34" s="2439"/>
      <c r="J34" s="2439"/>
      <c r="K34" s="2439"/>
      <c r="L34" s="2439"/>
      <c r="M34" s="2439"/>
      <c r="N34" s="2439"/>
      <c r="O34" s="2439"/>
      <c r="P34" s="2439"/>
      <c r="Q34" s="2439"/>
    </row>
    <row r="35" spans="2:17" s="835" customFormat="1">
      <c r="B35" s="2439"/>
      <c r="C35" s="2439"/>
      <c r="D35" s="2439"/>
      <c r="H35" s="2439"/>
      <c r="I35" s="2439"/>
      <c r="J35" s="2439"/>
      <c r="K35" s="2439"/>
      <c r="L35" s="2439"/>
      <c r="M35" s="2439"/>
      <c r="N35" s="2439"/>
      <c r="O35" s="2439"/>
      <c r="P35" s="2439"/>
      <c r="Q35" s="2439"/>
    </row>
    <row r="36" spans="2:17" s="835" customFormat="1">
      <c r="B36" s="2439"/>
      <c r="C36" s="2439"/>
      <c r="D36" s="2439"/>
      <c r="H36" s="2439"/>
      <c r="I36" s="2439"/>
      <c r="J36" s="2439"/>
      <c r="K36" s="2439"/>
      <c r="L36" s="2439"/>
      <c r="M36" s="2439"/>
      <c r="N36" s="2439"/>
      <c r="O36" s="2439"/>
      <c r="P36" s="2439"/>
      <c r="Q36" s="2439"/>
    </row>
    <row r="37" spans="2:17" s="835" customFormat="1">
      <c r="B37" s="2439"/>
      <c r="C37" s="2439"/>
      <c r="D37" s="2439"/>
      <c r="H37" s="2439"/>
      <c r="I37" s="2439"/>
      <c r="J37" s="2439"/>
      <c r="K37" s="2439"/>
      <c r="L37" s="2439"/>
      <c r="M37" s="2439"/>
      <c r="N37" s="2439"/>
      <c r="O37" s="2439"/>
      <c r="P37" s="2439"/>
      <c r="Q37" s="2439"/>
    </row>
    <row r="38" spans="2:17" s="835" customFormat="1">
      <c r="B38" s="2439"/>
      <c r="C38" s="2439"/>
      <c r="D38" s="2439"/>
      <c r="E38" s="2439"/>
      <c r="F38" s="2439"/>
      <c r="G38" s="2439"/>
      <c r="H38" s="2439"/>
      <c r="I38" s="2439"/>
      <c r="J38" s="2439"/>
      <c r="K38" s="2439"/>
      <c r="L38" s="2439"/>
      <c r="M38" s="2439"/>
      <c r="N38" s="2439"/>
      <c r="O38" s="2439"/>
      <c r="P38" s="2439"/>
      <c r="Q38" s="2439"/>
    </row>
    <row r="39" spans="2:17" s="835" customFormat="1">
      <c r="B39" s="2439"/>
      <c r="C39" s="2439"/>
      <c r="D39" s="2439"/>
      <c r="E39" s="2439"/>
      <c r="F39" s="2439"/>
      <c r="G39" s="2439"/>
      <c r="H39" s="2439"/>
      <c r="I39" s="2439"/>
      <c r="J39" s="2439"/>
      <c r="K39" s="2439"/>
      <c r="L39" s="2439"/>
      <c r="M39" s="2439"/>
      <c r="N39" s="2439"/>
      <c r="O39" s="2439"/>
      <c r="P39" s="2439"/>
      <c r="Q39" s="2439"/>
    </row>
    <row r="40" spans="2:17" s="835" customFormat="1">
      <c r="B40" s="2439"/>
      <c r="C40" s="2439"/>
      <c r="D40" s="2439"/>
      <c r="E40" s="2439"/>
      <c r="F40" s="2439"/>
      <c r="G40" s="2439"/>
      <c r="H40" s="2439"/>
      <c r="I40" s="2439"/>
      <c r="J40" s="2439"/>
      <c r="K40" s="2439"/>
      <c r="L40" s="2439"/>
      <c r="M40" s="2439"/>
      <c r="N40" s="2439"/>
      <c r="O40" s="2439"/>
      <c r="P40" s="2439"/>
      <c r="Q40" s="2439"/>
    </row>
    <row r="41" spans="2:17" s="835" customFormat="1">
      <c r="B41" s="2439"/>
      <c r="C41" s="2439"/>
      <c r="D41" s="2439"/>
      <c r="E41" s="2439"/>
      <c r="F41" s="2439"/>
      <c r="G41" s="2439"/>
      <c r="H41" s="2439"/>
      <c r="I41" s="2439"/>
      <c r="J41" s="2439"/>
      <c r="K41" s="2439"/>
      <c r="L41" s="2439"/>
      <c r="M41" s="2439"/>
      <c r="N41" s="2439"/>
      <c r="O41" s="2439"/>
      <c r="P41" s="2439"/>
      <c r="Q41" s="2439"/>
    </row>
    <row r="42" spans="2:17" s="835" customFormat="1">
      <c r="B42" s="2439"/>
      <c r="C42" s="2439"/>
      <c r="D42" s="2439"/>
      <c r="E42" s="2439"/>
      <c r="F42" s="2439"/>
      <c r="G42" s="2439"/>
      <c r="H42" s="2439"/>
      <c r="I42" s="2439"/>
      <c r="J42" s="2439"/>
      <c r="K42" s="2439"/>
      <c r="L42" s="2439"/>
      <c r="M42" s="2439"/>
      <c r="N42" s="2439"/>
      <c r="O42" s="2439"/>
      <c r="P42" s="2439"/>
      <c r="Q42" s="2439"/>
    </row>
    <row r="43" spans="2:17" s="835" customFormat="1">
      <c r="B43" s="2439"/>
      <c r="C43" s="2439"/>
      <c r="D43" s="2439"/>
      <c r="E43" s="2439"/>
      <c r="F43" s="2439"/>
      <c r="G43" s="2439"/>
      <c r="H43" s="2439"/>
      <c r="I43" s="2439"/>
      <c r="J43" s="2439"/>
      <c r="K43" s="2439"/>
      <c r="L43" s="2439"/>
      <c r="M43" s="2439"/>
      <c r="N43" s="2439"/>
      <c r="O43" s="2439"/>
      <c r="P43" s="2439"/>
      <c r="Q43" s="2439"/>
    </row>
    <row r="44" spans="2:17" s="835" customFormat="1">
      <c r="B44" s="2439"/>
      <c r="C44" s="2439"/>
      <c r="D44" s="2439"/>
      <c r="E44" s="2439"/>
      <c r="F44" s="2439"/>
      <c r="G44" s="2439"/>
      <c r="H44" s="2439"/>
      <c r="I44" s="2439"/>
      <c r="J44" s="2439"/>
      <c r="K44" s="2439"/>
      <c r="L44" s="2439"/>
      <c r="M44" s="2439"/>
      <c r="N44" s="2439"/>
      <c r="O44" s="2439"/>
      <c r="P44" s="2439"/>
      <c r="Q44" s="2439"/>
    </row>
    <row r="45" spans="2:17" s="835" customFormat="1">
      <c r="B45" s="2439"/>
      <c r="C45" s="2439"/>
      <c r="D45" s="2439"/>
      <c r="E45" s="2439"/>
      <c r="F45" s="2439"/>
      <c r="G45" s="2439"/>
      <c r="H45" s="2439"/>
      <c r="I45" s="2439"/>
      <c r="J45" s="2439"/>
      <c r="K45" s="2439"/>
      <c r="L45" s="2439"/>
      <c r="M45" s="2439"/>
      <c r="N45" s="2439"/>
      <c r="O45" s="2439"/>
      <c r="P45" s="2439"/>
      <c r="Q45" s="2439"/>
    </row>
    <row r="46" spans="2:17" s="835" customFormat="1">
      <c r="B46" s="2439"/>
      <c r="C46" s="2439"/>
      <c r="D46" s="2439"/>
      <c r="E46" s="2439"/>
      <c r="F46" s="2439"/>
      <c r="G46" s="2439"/>
      <c r="H46" s="2439"/>
      <c r="I46" s="2439"/>
      <c r="J46" s="2439"/>
      <c r="K46" s="2439"/>
      <c r="L46" s="2439"/>
      <c r="M46" s="2439"/>
      <c r="N46" s="2439"/>
      <c r="O46" s="2439"/>
      <c r="P46" s="2439"/>
      <c r="Q46" s="2439"/>
    </row>
    <row r="47" spans="2:17" s="835" customFormat="1">
      <c r="B47" s="2439"/>
      <c r="C47" s="2439"/>
      <c r="D47" s="2439"/>
      <c r="E47" s="2439"/>
      <c r="F47" s="2439"/>
      <c r="G47" s="2439"/>
      <c r="H47" s="2439"/>
      <c r="I47" s="2439"/>
      <c r="J47" s="2439"/>
      <c r="K47" s="2439"/>
      <c r="L47" s="2439"/>
      <c r="M47" s="2439"/>
      <c r="N47" s="2439"/>
      <c r="O47" s="2439"/>
      <c r="P47" s="2439"/>
      <c r="Q47" s="2439"/>
    </row>
    <row r="48" spans="2:17" s="835" customFormat="1">
      <c r="B48" s="2439"/>
      <c r="C48" s="2439"/>
      <c r="D48" s="2439"/>
      <c r="E48" s="2439"/>
      <c r="F48" s="2439"/>
      <c r="G48" s="2439"/>
      <c r="H48" s="2439"/>
      <c r="I48" s="2439"/>
      <c r="J48" s="2439"/>
      <c r="K48" s="2439"/>
      <c r="L48" s="2439"/>
      <c r="M48" s="2439"/>
      <c r="N48" s="2439"/>
      <c r="O48" s="2439"/>
      <c r="P48" s="2439"/>
      <c r="Q48" s="2439"/>
    </row>
    <row r="49" spans="2:17" s="835" customFormat="1">
      <c r="B49" s="2439"/>
      <c r="C49" s="2439"/>
      <c r="D49" s="2439"/>
      <c r="E49" s="2439"/>
      <c r="F49" s="2439"/>
      <c r="G49" s="2439"/>
      <c r="H49" s="2439"/>
      <c r="I49" s="2439"/>
      <c r="J49" s="2439"/>
      <c r="K49" s="2439"/>
      <c r="L49" s="2439"/>
      <c r="M49" s="2439"/>
      <c r="N49" s="2439"/>
      <c r="O49" s="2439"/>
      <c r="P49" s="2439"/>
      <c r="Q49" s="2439"/>
    </row>
    <row r="50" spans="2:17" s="835" customFormat="1">
      <c r="B50" s="2439"/>
      <c r="C50" s="2439"/>
      <c r="D50" s="2439"/>
      <c r="E50" s="2439"/>
      <c r="F50" s="2439"/>
      <c r="G50" s="2439"/>
      <c r="H50" s="2439"/>
      <c r="I50" s="2439"/>
      <c r="J50" s="2439"/>
      <c r="K50" s="2439"/>
      <c r="L50" s="2439"/>
      <c r="M50" s="2439"/>
      <c r="N50" s="2439"/>
      <c r="O50" s="2439"/>
      <c r="P50" s="2439"/>
      <c r="Q50" s="2439"/>
    </row>
    <row r="51" spans="2:17" s="835" customFormat="1">
      <c r="B51" s="2439"/>
      <c r="C51" s="2439"/>
      <c r="D51" s="2439"/>
      <c r="E51" s="2439"/>
      <c r="F51" s="2439"/>
      <c r="G51" s="2439"/>
      <c r="H51" s="2439"/>
      <c r="I51" s="2439"/>
      <c r="J51" s="2439"/>
      <c r="K51" s="2439"/>
      <c r="L51" s="2439"/>
      <c r="M51" s="2439"/>
      <c r="N51" s="2439"/>
      <c r="O51" s="2439"/>
      <c r="P51" s="2439"/>
      <c r="Q51" s="2439"/>
    </row>
    <row r="52" spans="2:17" s="835" customFormat="1">
      <c r="B52" s="2439"/>
      <c r="C52" s="2439"/>
      <c r="D52" s="2439"/>
      <c r="E52" s="2439"/>
      <c r="F52" s="2439"/>
      <c r="G52" s="2439"/>
      <c r="H52" s="2439"/>
      <c r="I52" s="2439"/>
      <c r="J52" s="2439"/>
      <c r="K52" s="2439"/>
      <c r="L52" s="2439"/>
      <c r="M52" s="2439"/>
      <c r="N52" s="2439"/>
      <c r="O52" s="2439"/>
      <c r="P52" s="2439"/>
      <c r="Q52" s="2439"/>
    </row>
    <row r="53" spans="2:17" s="835" customFormat="1">
      <c r="B53" s="2439"/>
      <c r="C53" s="2439"/>
      <c r="D53" s="2439"/>
      <c r="E53" s="2439"/>
      <c r="F53" s="2439"/>
      <c r="G53" s="2439"/>
      <c r="H53" s="2439"/>
      <c r="I53" s="2439"/>
      <c r="J53" s="2439"/>
      <c r="K53" s="2439"/>
      <c r="L53" s="2439"/>
      <c r="M53" s="2439"/>
      <c r="N53" s="2439"/>
      <c r="O53" s="2439"/>
      <c r="P53" s="2439"/>
      <c r="Q53" s="2439"/>
    </row>
    <row r="54" spans="2:17" s="835" customFormat="1">
      <c r="B54" s="2439"/>
      <c r="C54" s="2439"/>
      <c r="D54" s="2439"/>
      <c r="E54" s="2439"/>
      <c r="F54" s="2439"/>
      <c r="G54" s="2439"/>
      <c r="H54" s="2439"/>
      <c r="I54" s="2439"/>
      <c r="J54" s="2439"/>
      <c r="K54" s="2439"/>
      <c r="L54" s="2439"/>
      <c r="M54" s="2439"/>
      <c r="N54" s="2439"/>
      <c r="O54" s="2439"/>
      <c r="P54" s="2439"/>
      <c r="Q54" s="2439"/>
    </row>
    <row r="55" spans="2:17" s="835" customFormat="1">
      <c r="B55" s="2439"/>
      <c r="C55" s="2439"/>
      <c r="D55" s="2439"/>
      <c r="E55" s="2439"/>
      <c r="F55" s="2439"/>
      <c r="G55" s="2439"/>
      <c r="H55" s="2439"/>
      <c r="I55" s="2439"/>
      <c r="J55" s="2439"/>
      <c r="K55" s="2439"/>
      <c r="L55" s="2439"/>
      <c r="M55" s="2439"/>
      <c r="N55" s="2439"/>
      <c r="O55" s="2439"/>
      <c r="P55" s="2439"/>
      <c r="Q55" s="2439"/>
    </row>
    <row r="56" spans="2:17" s="835" customFormat="1">
      <c r="B56" s="2439"/>
      <c r="C56" s="2439"/>
      <c r="D56" s="2439"/>
      <c r="E56" s="2439"/>
      <c r="F56" s="2439"/>
      <c r="G56" s="2439"/>
      <c r="H56" s="2439"/>
      <c r="I56" s="2439"/>
      <c r="J56" s="2439"/>
      <c r="K56" s="2439"/>
      <c r="L56" s="2439"/>
      <c r="M56" s="2439"/>
      <c r="N56" s="2439"/>
      <c r="O56" s="2439"/>
      <c r="P56" s="2439"/>
      <c r="Q56" s="2439"/>
    </row>
    <row r="57" spans="2:17" s="835" customFormat="1">
      <c r="B57" s="2439"/>
      <c r="C57" s="2439"/>
      <c r="D57" s="2439"/>
      <c r="E57" s="2439"/>
      <c r="F57" s="2439"/>
      <c r="G57" s="2439"/>
      <c r="H57" s="2439"/>
      <c r="I57" s="2439"/>
      <c r="J57" s="2439"/>
      <c r="K57" s="2439"/>
      <c r="L57" s="2439"/>
      <c r="M57" s="2439"/>
      <c r="N57" s="2439"/>
      <c r="O57" s="2439"/>
      <c r="P57" s="2439"/>
      <c r="Q57" s="2439"/>
    </row>
    <row r="58" spans="2:17" s="835" customFormat="1">
      <c r="B58" s="2439"/>
      <c r="C58" s="2439"/>
      <c r="D58" s="2439"/>
      <c r="E58" s="2439"/>
      <c r="F58" s="2439"/>
      <c r="G58" s="2439"/>
      <c r="H58" s="2439"/>
      <c r="I58" s="2439"/>
      <c r="J58" s="2439"/>
      <c r="K58" s="2439"/>
      <c r="L58" s="2439"/>
      <c r="M58" s="2439"/>
      <c r="N58" s="2439"/>
      <c r="O58" s="2439"/>
      <c r="P58" s="2439"/>
      <c r="Q58" s="2439"/>
    </row>
    <row r="59" spans="2:17" s="835" customFormat="1">
      <c r="B59" s="2439"/>
      <c r="C59" s="2439"/>
      <c r="D59" s="2439"/>
      <c r="E59" s="2439"/>
      <c r="F59" s="2439"/>
      <c r="G59" s="2439"/>
      <c r="H59" s="2439"/>
      <c r="I59" s="2439"/>
      <c r="J59" s="2439"/>
      <c r="K59" s="2439"/>
      <c r="L59" s="2439"/>
      <c r="M59" s="2439"/>
      <c r="N59" s="2439"/>
      <c r="O59" s="2439"/>
      <c r="P59" s="2439"/>
      <c r="Q59" s="2439"/>
    </row>
    <row r="60" spans="2:17" s="835" customFormat="1">
      <c r="B60" s="2439"/>
      <c r="C60" s="2439"/>
      <c r="D60" s="2439"/>
      <c r="E60" s="2439"/>
      <c r="F60" s="2439"/>
      <c r="G60" s="2439"/>
      <c r="H60" s="2439"/>
      <c r="I60" s="2439"/>
      <c r="J60" s="2439"/>
      <c r="K60" s="2439"/>
      <c r="L60" s="2439"/>
      <c r="M60" s="2439"/>
      <c r="N60" s="2439"/>
      <c r="O60" s="2439"/>
      <c r="P60" s="2439"/>
      <c r="Q60" s="2439"/>
    </row>
    <row r="61" spans="2:17" s="835" customFormat="1">
      <c r="B61" s="2439"/>
      <c r="C61" s="2439"/>
      <c r="D61" s="2439"/>
      <c r="E61" s="2439"/>
      <c r="F61" s="2439"/>
      <c r="G61" s="2439"/>
      <c r="H61" s="2439"/>
      <c r="I61" s="2439"/>
      <c r="J61" s="2439"/>
      <c r="K61" s="2439"/>
      <c r="L61" s="2439"/>
      <c r="M61" s="2439"/>
      <c r="N61" s="2439"/>
      <c r="O61" s="2439"/>
      <c r="P61" s="2439"/>
      <c r="Q61" s="2439"/>
    </row>
    <row r="62" spans="2:17" s="835" customFormat="1">
      <c r="B62" s="2439"/>
      <c r="C62" s="2439"/>
      <c r="D62" s="2439"/>
      <c r="E62" s="2439"/>
      <c r="F62" s="2439"/>
      <c r="G62" s="2439"/>
      <c r="H62" s="2439"/>
      <c r="I62" s="2439"/>
      <c r="J62" s="2439"/>
      <c r="K62" s="2439"/>
      <c r="L62" s="2439"/>
      <c r="M62" s="2439"/>
      <c r="N62" s="2439"/>
      <c r="O62" s="2439"/>
      <c r="P62" s="2439"/>
      <c r="Q62" s="2439"/>
    </row>
    <row r="63" spans="2:17" s="835" customFormat="1">
      <c r="B63" s="2439"/>
      <c r="C63" s="2439"/>
      <c r="D63" s="2439"/>
      <c r="E63" s="2439"/>
      <c r="F63" s="2439"/>
      <c r="G63" s="2439"/>
      <c r="H63" s="2439"/>
      <c r="I63" s="2439"/>
      <c r="J63" s="2439"/>
      <c r="K63" s="2439"/>
      <c r="L63" s="2439"/>
      <c r="M63" s="2439"/>
      <c r="N63" s="2439"/>
      <c r="O63" s="2439"/>
      <c r="P63" s="2439"/>
      <c r="Q63" s="2439"/>
    </row>
    <row r="64" spans="2:17" s="835" customFormat="1">
      <c r="B64" s="2439"/>
      <c r="C64" s="2439"/>
      <c r="D64" s="2439"/>
      <c r="E64" s="2439"/>
      <c r="F64" s="2439"/>
      <c r="G64" s="2439"/>
      <c r="H64" s="2439"/>
      <c r="I64" s="2439"/>
      <c r="J64" s="2439"/>
      <c r="K64" s="2439"/>
      <c r="L64" s="2439"/>
      <c r="M64" s="2439"/>
      <c r="N64" s="2439"/>
      <c r="O64" s="2439"/>
      <c r="P64" s="2439"/>
      <c r="Q64" s="2439"/>
    </row>
    <row r="65" spans="2:17" s="835" customFormat="1">
      <c r="B65" s="2439"/>
      <c r="C65" s="2439"/>
      <c r="D65" s="2439"/>
      <c r="E65" s="2439"/>
      <c r="F65" s="2439"/>
      <c r="G65" s="2439"/>
      <c r="H65" s="2439"/>
      <c r="I65" s="2439"/>
      <c r="J65" s="2439"/>
      <c r="K65" s="2439"/>
      <c r="L65" s="2439"/>
      <c r="M65" s="2439"/>
      <c r="N65" s="2439"/>
      <c r="O65" s="2439"/>
      <c r="P65" s="2439"/>
      <c r="Q65" s="2439"/>
    </row>
    <row r="66" spans="2:17" s="835" customFormat="1">
      <c r="B66" s="2439"/>
      <c r="C66" s="2439"/>
      <c r="D66" s="2439"/>
      <c r="E66" s="2439"/>
      <c r="F66" s="2439"/>
      <c r="G66" s="2439"/>
      <c r="H66" s="2439"/>
      <c r="I66" s="2439"/>
      <c r="J66" s="2439"/>
      <c r="K66" s="2439"/>
      <c r="L66" s="2439"/>
      <c r="M66" s="2439"/>
      <c r="N66" s="2439"/>
      <c r="O66" s="2439"/>
      <c r="P66" s="2439"/>
      <c r="Q66" s="2439"/>
    </row>
    <row r="67" spans="2:17" s="835" customFormat="1">
      <c r="B67" s="2439"/>
      <c r="C67" s="2439"/>
      <c r="D67" s="2439"/>
      <c r="E67" s="2439"/>
      <c r="F67" s="2439"/>
      <c r="G67" s="2439"/>
      <c r="H67" s="2439"/>
      <c r="I67" s="2439"/>
      <c r="J67" s="2439"/>
      <c r="K67" s="2439"/>
      <c r="L67" s="2439"/>
      <c r="M67" s="2439"/>
      <c r="N67" s="2439"/>
      <c r="O67" s="2439"/>
      <c r="P67" s="2439"/>
      <c r="Q67" s="2439"/>
    </row>
    <row r="68" spans="2:17" s="835" customFormat="1">
      <c r="B68" s="2439"/>
      <c r="C68" s="2439"/>
      <c r="D68" s="2439"/>
      <c r="E68" s="2439"/>
      <c r="F68" s="2439"/>
      <c r="G68" s="2439"/>
      <c r="H68" s="2439"/>
      <c r="I68" s="2439"/>
      <c r="J68" s="2439"/>
      <c r="K68" s="2439"/>
      <c r="L68" s="2439"/>
      <c r="M68" s="2439"/>
      <c r="N68" s="2439"/>
      <c r="O68" s="2439"/>
      <c r="P68" s="2439"/>
      <c r="Q68" s="2439"/>
    </row>
    <row r="69" spans="2:17" s="835" customFormat="1">
      <c r="B69" s="2439"/>
      <c r="C69" s="2439"/>
      <c r="D69" s="2439"/>
      <c r="E69" s="2439"/>
      <c r="F69" s="2439"/>
      <c r="G69" s="2439"/>
      <c r="H69" s="2439"/>
      <c r="I69" s="2439"/>
      <c r="J69" s="2439"/>
      <c r="K69" s="2439"/>
      <c r="L69" s="2439"/>
      <c r="M69" s="2439"/>
      <c r="N69" s="2439"/>
      <c r="O69" s="2439"/>
      <c r="P69" s="2439"/>
      <c r="Q69" s="2439"/>
    </row>
    <row r="70" spans="2:17" s="835" customFormat="1">
      <c r="B70" s="2439"/>
      <c r="C70" s="2439"/>
      <c r="D70" s="2439"/>
      <c r="E70" s="2439"/>
      <c r="F70" s="2439"/>
      <c r="G70" s="2439"/>
      <c r="H70" s="2439"/>
      <c r="I70" s="2439"/>
      <c r="J70" s="2439"/>
      <c r="K70" s="2439"/>
      <c r="L70" s="2439"/>
      <c r="M70" s="2439"/>
      <c r="N70" s="2439"/>
      <c r="O70" s="2439"/>
      <c r="P70" s="2439"/>
      <c r="Q70" s="2439"/>
    </row>
    <row r="71" spans="2:17" s="835" customFormat="1">
      <c r="B71" s="2439"/>
      <c r="C71" s="2439"/>
      <c r="D71" s="2439"/>
      <c r="E71" s="2439"/>
      <c r="F71" s="2439"/>
      <c r="G71" s="2439"/>
      <c r="H71" s="2439"/>
      <c r="I71" s="2439"/>
      <c r="J71" s="2439"/>
      <c r="K71" s="2439"/>
      <c r="L71" s="2439"/>
      <c r="M71" s="2439"/>
      <c r="N71" s="2439"/>
      <c r="O71" s="2439"/>
      <c r="P71" s="2439"/>
      <c r="Q71" s="2439"/>
    </row>
    <row r="72" spans="2:17" s="835" customFormat="1">
      <c r="B72" s="2439"/>
      <c r="C72" s="2439"/>
      <c r="D72" s="2439"/>
      <c r="E72" s="2439"/>
      <c r="F72" s="2439"/>
      <c r="G72" s="2439"/>
      <c r="H72" s="2439"/>
      <c r="I72" s="2439"/>
      <c r="J72" s="2439"/>
      <c r="K72" s="2439"/>
      <c r="L72" s="2439"/>
      <c r="M72" s="2439"/>
      <c r="N72" s="2439"/>
      <c r="O72" s="2439"/>
      <c r="P72" s="2439"/>
      <c r="Q72" s="2439"/>
    </row>
    <row r="73" spans="2:17" s="835" customFormat="1">
      <c r="B73" s="2439"/>
      <c r="C73" s="2439"/>
      <c r="D73" s="2439"/>
      <c r="E73" s="2439"/>
      <c r="F73" s="2439"/>
      <c r="G73" s="2439"/>
      <c r="H73" s="2439"/>
      <c r="I73" s="2439"/>
      <c r="J73" s="2439"/>
      <c r="K73" s="2439"/>
      <c r="L73" s="2439"/>
      <c r="M73" s="2439"/>
      <c r="N73" s="2439"/>
      <c r="O73" s="2439"/>
      <c r="P73" s="2439"/>
      <c r="Q73" s="2439"/>
    </row>
    <row r="74" spans="2:17" s="835" customFormat="1">
      <c r="B74" s="2439"/>
      <c r="C74" s="2439"/>
      <c r="D74" s="2439"/>
      <c r="E74" s="2439"/>
      <c r="F74" s="2439"/>
      <c r="G74" s="2439"/>
      <c r="H74" s="2439"/>
      <c r="I74" s="2439"/>
      <c r="J74" s="2439"/>
      <c r="K74" s="2439"/>
      <c r="L74" s="2439"/>
      <c r="M74" s="2439"/>
      <c r="N74" s="2439"/>
      <c r="O74" s="2439"/>
      <c r="P74" s="2439"/>
      <c r="Q74" s="2439"/>
    </row>
    <row r="75" spans="2:17" s="835" customFormat="1">
      <c r="B75" s="2439"/>
      <c r="C75" s="2439"/>
      <c r="D75" s="2439"/>
      <c r="E75" s="2439"/>
      <c r="F75" s="2439"/>
      <c r="G75" s="2439"/>
      <c r="H75" s="2439"/>
      <c r="I75" s="2439"/>
      <c r="J75" s="2439"/>
      <c r="K75" s="2439"/>
      <c r="L75" s="2439"/>
      <c r="M75" s="2439"/>
      <c r="N75" s="2439"/>
      <c r="O75" s="2439"/>
      <c r="P75" s="2439"/>
      <c r="Q75" s="2439"/>
    </row>
    <row r="76" spans="2:17" s="835" customFormat="1">
      <c r="B76" s="2439"/>
      <c r="C76" s="2439"/>
      <c r="D76" s="2439"/>
      <c r="E76" s="2439"/>
      <c r="F76" s="2439"/>
      <c r="G76" s="2439"/>
      <c r="H76" s="2439"/>
      <c r="I76" s="2439"/>
      <c r="J76" s="2439"/>
      <c r="K76" s="2439"/>
      <c r="L76" s="2439"/>
      <c r="M76" s="2439"/>
      <c r="N76" s="2439"/>
      <c r="O76" s="2439"/>
      <c r="P76" s="2439"/>
      <c r="Q76" s="2439"/>
    </row>
    <row r="77" spans="2:17" s="835" customFormat="1">
      <c r="B77" s="2439"/>
      <c r="C77" s="2439"/>
      <c r="D77" s="2439"/>
      <c r="E77" s="2439"/>
      <c r="F77" s="2439"/>
      <c r="G77" s="2439"/>
      <c r="H77" s="2439"/>
      <c r="I77" s="2439"/>
      <c r="J77" s="2439"/>
      <c r="K77" s="2439"/>
      <c r="L77" s="2439"/>
      <c r="M77" s="2439"/>
      <c r="N77" s="2439"/>
      <c r="O77" s="2439"/>
      <c r="P77" s="2439"/>
      <c r="Q77" s="2439"/>
    </row>
    <row r="78" spans="2:17" s="835" customFormat="1">
      <c r="B78" s="2439"/>
      <c r="C78" s="2439"/>
      <c r="D78" s="2439"/>
      <c r="E78" s="2439"/>
      <c r="F78" s="2439"/>
      <c r="G78" s="2439"/>
      <c r="H78" s="2439"/>
      <c r="I78" s="2439"/>
      <c r="J78" s="2439"/>
      <c r="K78" s="2439"/>
      <c r="L78" s="2439"/>
      <c r="M78" s="2439"/>
      <c r="N78" s="2439"/>
      <c r="O78" s="2439"/>
      <c r="P78" s="2439"/>
      <c r="Q78" s="2439"/>
    </row>
    <row r="79" spans="2:17" s="835" customFormat="1">
      <c r="B79" s="2439"/>
      <c r="C79" s="2439"/>
      <c r="D79" s="2439"/>
      <c r="E79" s="2439"/>
      <c r="F79" s="2439"/>
      <c r="G79" s="2439"/>
      <c r="H79" s="2439"/>
      <c r="I79" s="2439"/>
      <c r="J79" s="2439"/>
      <c r="K79" s="2439"/>
      <c r="L79" s="2439"/>
      <c r="M79" s="2439"/>
      <c r="N79" s="2439"/>
      <c r="O79" s="2439"/>
      <c r="P79" s="2439"/>
      <c r="Q79" s="2439"/>
    </row>
    <row r="80" spans="2:17" s="835" customFormat="1">
      <c r="B80" s="2439"/>
      <c r="C80" s="2439"/>
      <c r="D80" s="2439"/>
      <c r="E80" s="2439"/>
      <c r="F80" s="2439"/>
      <c r="G80" s="2439"/>
      <c r="H80" s="2439"/>
      <c r="I80" s="2439"/>
      <c r="J80" s="2439"/>
      <c r="K80" s="2439"/>
      <c r="L80" s="2439"/>
      <c r="M80" s="2439"/>
      <c r="N80" s="2439"/>
      <c r="O80" s="2439"/>
      <c r="P80" s="2439"/>
      <c r="Q80" s="2439"/>
    </row>
    <row r="81" spans="2:17" s="835" customFormat="1">
      <c r="B81" s="2439"/>
      <c r="C81" s="2439"/>
      <c r="D81" s="2439"/>
      <c r="E81" s="2439"/>
      <c r="F81" s="2439"/>
      <c r="G81" s="2439"/>
      <c r="H81" s="2439"/>
      <c r="I81" s="2439"/>
      <c r="J81" s="2439"/>
      <c r="K81" s="2439"/>
      <c r="L81" s="2439"/>
      <c r="M81" s="2439"/>
      <c r="N81" s="2439"/>
      <c r="O81" s="2439"/>
      <c r="P81" s="2439"/>
      <c r="Q81" s="2439"/>
    </row>
    <row r="82" spans="2:17" s="835" customFormat="1">
      <c r="B82" s="2439"/>
      <c r="C82" s="2439"/>
      <c r="D82" s="2439"/>
      <c r="E82" s="2439"/>
      <c r="F82" s="2439"/>
      <c r="G82" s="2439"/>
      <c r="H82" s="2439"/>
      <c r="I82" s="2439"/>
      <c r="J82" s="2439"/>
      <c r="K82" s="2439"/>
      <c r="L82" s="2439"/>
      <c r="M82" s="2439"/>
      <c r="N82" s="2439"/>
      <c r="O82" s="2439"/>
      <c r="P82" s="2439"/>
      <c r="Q82" s="2439"/>
    </row>
    <row r="83" spans="2:17" s="835" customFormat="1">
      <c r="B83" s="2439"/>
      <c r="C83" s="2439"/>
      <c r="D83" s="2439"/>
      <c r="E83" s="2439"/>
      <c r="F83" s="2439"/>
      <c r="G83" s="2439"/>
      <c r="H83" s="2439"/>
      <c r="I83" s="2439"/>
      <c r="J83" s="2439"/>
      <c r="K83" s="2439"/>
      <c r="L83" s="2439"/>
      <c r="M83" s="2439"/>
      <c r="N83" s="2439"/>
      <c r="O83" s="2439"/>
      <c r="P83" s="2439"/>
      <c r="Q83" s="2439"/>
    </row>
    <row r="84" spans="2:17" s="835" customFormat="1">
      <c r="B84" s="2439"/>
      <c r="C84" s="2439"/>
      <c r="D84" s="2439"/>
      <c r="E84" s="2439"/>
      <c r="F84" s="2439"/>
      <c r="G84" s="2439"/>
      <c r="H84" s="2439"/>
      <c r="I84" s="2439"/>
      <c r="J84" s="2439"/>
      <c r="K84" s="2439"/>
      <c r="L84" s="2439"/>
      <c r="M84" s="2439"/>
      <c r="N84" s="2439"/>
      <c r="O84" s="2439"/>
      <c r="P84" s="2439"/>
      <c r="Q84" s="2439"/>
    </row>
    <row r="85" spans="2:17" s="835" customFormat="1">
      <c r="B85" s="2439"/>
      <c r="C85" s="2439"/>
      <c r="D85" s="2439"/>
      <c r="E85" s="2439"/>
      <c r="F85" s="2439"/>
      <c r="G85" s="2439"/>
      <c r="H85" s="2439"/>
      <c r="I85" s="2439"/>
      <c r="J85" s="2439"/>
      <c r="K85" s="2439"/>
      <c r="L85" s="2439"/>
      <c r="M85" s="2439"/>
      <c r="N85" s="2439"/>
      <c r="O85" s="2439"/>
      <c r="P85" s="2439"/>
      <c r="Q85" s="2439"/>
    </row>
    <row r="86" spans="2:17" s="835" customFormat="1">
      <c r="B86" s="2439"/>
      <c r="C86" s="2439"/>
      <c r="D86" s="2439"/>
      <c r="E86" s="2439"/>
      <c r="F86" s="2439"/>
      <c r="G86" s="2439"/>
      <c r="H86" s="2439"/>
      <c r="I86" s="2439"/>
      <c r="J86" s="2439"/>
      <c r="K86" s="2439"/>
      <c r="L86" s="2439"/>
      <c r="M86" s="2439"/>
      <c r="N86" s="2439"/>
      <c r="O86" s="2439"/>
      <c r="P86" s="2439"/>
      <c r="Q86" s="2439"/>
    </row>
    <row r="87" spans="2:17" s="835" customFormat="1">
      <c r="B87" s="2439"/>
      <c r="C87" s="2439"/>
      <c r="D87" s="2439"/>
      <c r="E87" s="2439"/>
      <c r="F87" s="2439"/>
      <c r="G87" s="2439"/>
      <c r="H87" s="2439"/>
      <c r="I87" s="2439"/>
      <c r="J87" s="2439"/>
      <c r="K87" s="2439"/>
      <c r="L87" s="2439"/>
      <c r="M87" s="2439"/>
      <c r="N87" s="2439"/>
      <c r="O87" s="2439"/>
      <c r="P87" s="2439"/>
      <c r="Q87" s="2439"/>
    </row>
    <row r="88" spans="2:17" s="835" customFormat="1">
      <c r="B88" s="2439"/>
      <c r="C88" s="2439"/>
      <c r="D88" s="2439"/>
      <c r="E88" s="2439"/>
      <c r="F88" s="2439"/>
      <c r="G88" s="2439"/>
      <c r="H88" s="2439"/>
      <c r="I88" s="2439"/>
      <c r="J88" s="2439"/>
      <c r="K88" s="2439"/>
      <c r="L88" s="2439"/>
      <c r="M88" s="2439"/>
      <c r="N88" s="2439"/>
      <c r="O88" s="2439"/>
      <c r="P88" s="2439"/>
      <c r="Q88" s="2439"/>
    </row>
    <row r="89" spans="2:17" s="835" customFormat="1">
      <c r="B89" s="2439"/>
      <c r="C89" s="2439"/>
      <c r="D89" s="2439"/>
      <c r="E89" s="2439"/>
      <c r="F89" s="2439"/>
      <c r="G89" s="2439"/>
      <c r="H89" s="2439"/>
      <c r="I89" s="2439"/>
      <c r="J89" s="2439"/>
      <c r="K89" s="2439"/>
      <c r="L89" s="2439"/>
      <c r="M89" s="2439"/>
      <c r="N89" s="2439"/>
      <c r="O89" s="2439"/>
      <c r="P89" s="2439"/>
      <c r="Q89" s="2439"/>
    </row>
    <row r="90" spans="2:17" s="835" customFormat="1">
      <c r="B90" s="2439"/>
      <c r="C90" s="2439"/>
      <c r="D90" s="2439"/>
      <c r="E90" s="2439"/>
      <c r="F90" s="2439"/>
      <c r="G90" s="2439"/>
      <c r="H90" s="2439"/>
      <c r="I90" s="2439"/>
      <c r="J90" s="2439"/>
      <c r="K90" s="2439"/>
      <c r="L90" s="2439"/>
      <c r="M90" s="2439"/>
      <c r="N90" s="2439"/>
      <c r="O90" s="2439"/>
      <c r="P90" s="2439"/>
      <c r="Q90" s="2439"/>
    </row>
    <row r="91" spans="2:17" s="835" customFormat="1">
      <c r="B91" s="2439"/>
      <c r="C91" s="2439"/>
      <c r="D91" s="2439"/>
      <c r="E91" s="2439"/>
      <c r="F91" s="2439"/>
      <c r="G91" s="2439"/>
      <c r="H91" s="2439"/>
      <c r="I91" s="2439"/>
      <c r="J91" s="2439"/>
      <c r="K91" s="2439"/>
      <c r="L91" s="2439"/>
      <c r="M91" s="2439"/>
      <c r="N91" s="2439"/>
      <c r="O91" s="2439"/>
      <c r="P91" s="2439"/>
      <c r="Q91" s="2439"/>
    </row>
    <row r="92" spans="2:17" s="835" customFormat="1">
      <c r="B92" s="2439"/>
      <c r="C92" s="2439"/>
      <c r="D92" s="2439"/>
      <c r="E92" s="2439"/>
      <c r="F92" s="2439"/>
      <c r="G92" s="2439"/>
      <c r="H92" s="2439"/>
      <c r="I92" s="2439"/>
      <c r="J92" s="2439"/>
      <c r="K92" s="2439"/>
      <c r="L92" s="2439"/>
      <c r="M92" s="2439"/>
      <c r="N92" s="2439"/>
      <c r="O92" s="2439"/>
      <c r="P92" s="2439"/>
      <c r="Q92" s="2439"/>
    </row>
    <row r="93" spans="2:17" s="835" customFormat="1">
      <c r="B93" s="2439"/>
      <c r="C93" s="2439"/>
      <c r="D93" s="2439"/>
      <c r="E93" s="2439"/>
      <c r="F93" s="2439"/>
      <c r="G93" s="2439"/>
      <c r="H93" s="2439"/>
      <c r="I93" s="2439"/>
      <c r="J93" s="2439"/>
      <c r="K93" s="2439"/>
      <c r="L93" s="2439"/>
      <c r="M93" s="2439"/>
      <c r="N93" s="2439"/>
      <c r="O93" s="2439"/>
      <c r="P93" s="2439"/>
      <c r="Q93" s="2439"/>
    </row>
    <row r="94" spans="2:17" s="835" customFormat="1">
      <c r="B94" s="2439"/>
      <c r="C94" s="2439"/>
      <c r="D94" s="2439"/>
      <c r="E94" s="2439"/>
      <c r="F94" s="2439"/>
      <c r="G94" s="2439"/>
      <c r="H94" s="2439"/>
      <c r="I94" s="2439"/>
      <c r="J94" s="2439"/>
      <c r="K94" s="2439"/>
      <c r="L94" s="2439"/>
      <c r="M94" s="2439"/>
      <c r="N94" s="2439"/>
      <c r="O94" s="2439"/>
      <c r="P94" s="2439"/>
      <c r="Q94" s="2439"/>
    </row>
    <row r="95" spans="2:17" s="835" customFormat="1">
      <c r="B95" s="2439"/>
      <c r="C95" s="2439"/>
      <c r="D95" s="2439"/>
      <c r="E95" s="2439"/>
      <c r="F95" s="2439"/>
      <c r="G95" s="2439"/>
      <c r="H95" s="2439"/>
      <c r="I95" s="2439"/>
      <c r="J95" s="2439"/>
      <c r="K95" s="2439"/>
      <c r="L95" s="2439"/>
      <c r="M95" s="2439"/>
      <c r="N95" s="2439"/>
      <c r="O95" s="2439"/>
      <c r="P95" s="2439"/>
      <c r="Q95" s="2439"/>
    </row>
    <row r="96" spans="2:17" s="835" customFormat="1">
      <c r="B96" s="2439"/>
      <c r="C96" s="2439"/>
      <c r="D96" s="2439"/>
      <c r="E96" s="2439"/>
      <c r="F96" s="2439"/>
      <c r="G96" s="2439"/>
      <c r="H96" s="2439"/>
      <c r="I96" s="2439"/>
      <c r="J96" s="2439"/>
      <c r="K96" s="2439"/>
      <c r="L96" s="2439"/>
      <c r="M96" s="2439"/>
      <c r="N96" s="2439"/>
      <c r="O96" s="2439"/>
      <c r="P96" s="2439"/>
      <c r="Q96" s="2439"/>
    </row>
    <row r="97" spans="2:17" s="835" customFormat="1">
      <c r="B97" s="2439"/>
      <c r="C97" s="2439"/>
      <c r="D97" s="2439"/>
      <c r="E97" s="2439"/>
      <c r="F97" s="2439"/>
      <c r="G97" s="2439"/>
      <c r="H97" s="2439"/>
      <c r="I97" s="2439"/>
      <c r="J97" s="2439"/>
      <c r="K97" s="2439"/>
      <c r="L97" s="2439"/>
      <c r="M97" s="2439"/>
      <c r="N97" s="2439"/>
      <c r="O97" s="2439"/>
      <c r="P97" s="2439"/>
      <c r="Q97" s="2439"/>
    </row>
    <row r="98" spans="2:17" s="835" customFormat="1">
      <c r="B98" s="2439"/>
      <c r="C98" s="2439"/>
      <c r="D98" s="2439"/>
      <c r="E98" s="2439"/>
      <c r="F98" s="2439"/>
      <c r="G98" s="2439"/>
      <c r="H98" s="2439"/>
      <c r="I98" s="2439"/>
      <c r="J98" s="2439"/>
      <c r="K98" s="2439"/>
      <c r="L98" s="2439"/>
      <c r="M98" s="2439"/>
      <c r="N98" s="2439"/>
      <c r="O98" s="2439"/>
      <c r="P98" s="2439"/>
      <c r="Q98" s="2439"/>
    </row>
    <row r="99" spans="2:17" s="835" customFormat="1">
      <c r="B99" s="2439"/>
      <c r="C99" s="2439"/>
      <c r="D99" s="2439"/>
      <c r="E99" s="2439"/>
      <c r="F99" s="2439"/>
      <c r="G99" s="2439"/>
      <c r="H99" s="2439"/>
      <c r="I99" s="2439"/>
      <c r="J99" s="2439"/>
      <c r="K99" s="2439"/>
      <c r="L99" s="2439"/>
      <c r="M99" s="2439"/>
      <c r="N99" s="2439"/>
      <c r="O99" s="2439"/>
      <c r="P99" s="2439"/>
      <c r="Q99" s="2439"/>
    </row>
    <row r="100" spans="2:17" s="835" customFormat="1">
      <c r="B100" s="2439"/>
      <c r="C100" s="2439"/>
      <c r="D100" s="2439"/>
      <c r="E100" s="2439"/>
      <c r="F100" s="2439"/>
      <c r="G100" s="2439"/>
      <c r="H100" s="2439"/>
      <c r="I100" s="2439"/>
      <c r="J100" s="2439"/>
      <c r="K100" s="2439"/>
      <c r="L100" s="2439"/>
      <c r="M100" s="2439"/>
      <c r="N100" s="2439"/>
      <c r="O100" s="2439"/>
      <c r="P100" s="2439"/>
      <c r="Q100" s="2439"/>
    </row>
    <row r="101" spans="2:17" s="835" customFormat="1">
      <c r="B101" s="2439"/>
      <c r="C101" s="2439"/>
      <c r="D101" s="2439"/>
      <c r="E101" s="2439"/>
      <c r="F101" s="2439"/>
      <c r="G101" s="2439"/>
      <c r="H101" s="2439"/>
      <c r="I101" s="2439"/>
      <c r="J101" s="2439"/>
      <c r="K101" s="2439"/>
      <c r="L101" s="2439"/>
      <c r="M101" s="2439"/>
      <c r="N101" s="2439"/>
      <c r="O101" s="2439"/>
      <c r="P101" s="2439"/>
      <c r="Q101" s="2439"/>
    </row>
    <row r="102" spans="2:17" s="835" customFormat="1">
      <c r="B102" s="2439"/>
      <c r="C102" s="2439"/>
      <c r="D102" s="2439"/>
      <c r="E102" s="2439"/>
      <c r="F102" s="2439"/>
      <c r="G102" s="2439"/>
      <c r="H102" s="2439"/>
      <c r="I102" s="2439"/>
      <c r="J102" s="2439"/>
      <c r="K102" s="2439"/>
      <c r="L102" s="2439"/>
      <c r="M102" s="2439"/>
      <c r="N102" s="2439"/>
      <c r="O102" s="2439"/>
      <c r="P102" s="2439"/>
      <c r="Q102" s="2439"/>
    </row>
    <row r="103" spans="2:17" s="835" customFormat="1">
      <c r="B103" s="2439"/>
      <c r="C103" s="2439"/>
      <c r="D103" s="2439"/>
      <c r="E103" s="2439"/>
      <c r="F103" s="2439"/>
      <c r="G103" s="2439"/>
      <c r="H103" s="2439"/>
      <c r="I103" s="2439"/>
      <c r="J103" s="2439"/>
      <c r="K103" s="2439"/>
      <c r="L103" s="2439"/>
      <c r="M103" s="2439"/>
      <c r="N103" s="2439"/>
      <c r="O103" s="2439"/>
      <c r="P103" s="2439"/>
      <c r="Q103" s="2439"/>
    </row>
    <row r="104" spans="2:17" s="835" customFormat="1">
      <c r="B104" s="2439"/>
      <c r="C104" s="2439"/>
      <c r="D104" s="2439"/>
      <c r="E104" s="2439"/>
      <c r="F104" s="2439"/>
      <c r="G104" s="2439"/>
      <c r="H104" s="2439"/>
      <c r="I104" s="2439"/>
      <c r="J104" s="2439"/>
      <c r="K104" s="2439"/>
      <c r="L104" s="2439"/>
      <c r="M104" s="2439"/>
      <c r="N104" s="2439"/>
      <c r="O104" s="2439"/>
      <c r="P104" s="2439"/>
      <c r="Q104" s="2439"/>
    </row>
    <row r="105" spans="2:17" s="835" customFormat="1">
      <c r="B105" s="2439"/>
      <c r="C105" s="2439"/>
      <c r="D105" s="2439"/>
      <c r="E105" s="2439"/>
      <c r="F105" s="2439"/>
      <c r="G105" s="2439"/>
      <c r="H105" s="2439"/>
      <c r="I105" s="2439"/>
      <c r="J105" s="2439"/>
      <c r="K105" s="2439"/>
      <c r="L105" s="2439"/>
      <c r="M105" s="2439"/>
      <c r="N105" s="2439"/>
      <c r="O105" s="2439"/>
      <c r="P105" s="2439"/>
      <c r="Q105" s="2439"/>
    </row>
    <row r="106" spans="2:17" s="835" customFormat="1">
      <c r="B106" s="2439"/>
      <c r="C106" s="2439"/>
      <c r="D106" s="2439"/>
      <c r="E106" s="2439"/>
      <c r="F106" s="2439"/>
      <c r="G106" s="2439"/>
      <c r="H106" s="2439"/>
      <c r="I106" s="2439"/>
      <c r="J106" s="2439"/>
      <c r="K106" s="2439"/>
      <c r="L106" s="2439"/>
      <c r="M106" s="2439"/>
      <c r="N106" s="2439"/>
      <c r="O106" s="2439"/>
      <c r="P106" s="2439"/>
      <c r="Q106" s="2439"/>
    </row>
    <row r="107" spans="2:17" s="835" customFormat="1">
      <c r="B107" s="2439"/>
      <c r="C107" s="2439"/>
      <c r="D107" s="2439"/>
      <c r="E107" s="2439"/>
      <c r="F107" s="2439"/>
      <c r="G107" s="2439"/>
      <c r="H107" s="2439"/>
      <c r="I107" s="2439"/>
      <c r="J107" s="2439"/>
      <c r="K107" s="2439"/>
      <c r="L107" s="2439"/>
      <c r="M107" s="2439"/>
      <c r="N107" s="2439"/>
      <c r="O107" s="2439"/>
      <c r="P107" s="2439"/>
      <c r="Q107" s="2439"/>
    </row>
    <row r="108" spans="2:17" s="835" customFormat="1">
      <c r="B108" s="2439"/>
      <c r="C108" s="2439"/>
      <c r="D108" s="2439"/>
      <c r="E108" s="2439"/>
      <c r="F108" s="2439"/>
      <c r="G108" s="2439"/>
      <c r="H108" s="2439"/>
      <c r="I108" s="2439"/>
      <c r="J108" s="2439"/>
      <c r="K108" s="2439"/>
      <c r="L108" s="2439"/>
      <c r="M108" s="2439"/>
      <c r="N108" s="2439"/>
      <c r="O108" s="2439"/>
      <c r="P108" s="2439"/>
      <c r="Q108" s="2439"/>
    </row>
    <row r="109" spans="2:17" s="835" customFormat="1">
      <c r="B109" s="2439"/>
      <c r="C109" s="2439"/>
      <c r="D109" s="2439"/>
      <c r="E109" s="2439"/>
      <c r="F109" s="2439"/>
      <c r="G109" s="2439"/>
      <c r="H109" s="2439"/>
      <c r="I109" s="2439"/>
      <c r="J109" s="2439"/>
      <c r="K109" s="2439"/>
      <c r="L109" s="2439"/>
      <c r="M109" s="2439"/>
      <c r="N109" s="2439"/>
      <c r="O109" s="2439"/>
      <c r="P109" s="2439"/>
      <c r="Q109" s="2439"/>
    </row>
    <row r="110" spans="2:17" s="835" customFormat="1">
      <c r="B110" s="2439"/>
      <c r="C110" s="2439"/>
      <c r="D110" s="2439"/>
      <c r="E110" s="2439"/>
      <c r="F110" s="2439"/>
      <c r="G110" s="2439"/>
      <c r="H110" s="2439"/>
      <c r="I110" s="2439"/>
      <c r="J110" s="2439"/>
      <c r="K110" s="2439"/>
      <c r="L110" s="2439"/>
      <c r="M110" s="2439"/>
      <c r="N110" s="2439"/>
      <c r="O110" s="2439"/>
      <c r="P110" s="2439"/>
      <c r="Q110" s="2439"/>
    </row>
    <row r="111" spans="2:17" s="835" customFormat="1">
      <c r="B111" s="2439"/>
      <c r="C111" s="2439"/>
      <c r="D111" s="2439"/>
      <c r="E111" s="2439"/>
      <c r="F111" s="2439"/>
      <c r="G111" s="2439"/>
      <c r="H111" s="2439"/>
      <c r="I111" s="2439"/>
      <c r="J111" s="2439"/>
      <c r="K111" s="2439"/>
      <c r="L111" s="2439"/>
      <c r="M111" s="2439"/>
      <c r="N111" s="2439"/>
      <c r="O111" s="2439"/>
      <c r="P111" s="2439"/>
      <c r="Q111" s="2439"/>
    </row>
    <row r="112" spans="2:17" s="835" customFormat="1">
      <c r="B112" s="2439"/>
      <c r="C112" s="2439"/>
      <c r="D112" s="2439"/>
      <c r="E112" s="2439"/>
      <c r="F112" s="2439"/>
      <c r="G112" s="2439"/>
      <c r="H112" s="2439"/>
      <c r="I112" s="2439"/>
      <c r="J112" s="2439"/>
      <c r="K112" s="2439"/>
      <c r="L112" s="2439"/>
      <c r="M112" s="2439"/>
      <c r="N112" s="2439"/>
      <c r="O112" s="2439"/>
      <c r="P112" s="2439"/>
      <c r="Q112" s="2439"/>
    </row>
    <row r="113" spans="2:17" s="835" customFormat="1">
      <c r="B113" s="2439"/>
      <c r="C113" s="2439"/>
      <c r="D113" s="2439"/>
      <c r="E113" s="2439"/>
      <c r="F113" s="2439"/>
      <c r="G113" s="2439"/>
      <c r="H113" s="2439"/>
      <c r="I113" s="2439"/>
      <c r="J113" s="2439"/>
      <c r="K113" s="2439"/>
      <c r="L113" s="2439"/>
      <c r="M113" s="2439"/>
      <c r="N113" s="2439"/>
      <c r="O113" s="2439"/>
      <c r="P113" s="2439"/>
      <c r="Q113" s="2439"/>
    </row>
    <row r="114" spans="2:17" s="835" customFormat="1">
      <c r="B114" s="2439"/>
      <c r="C114" s="2439"/>
      <c r="D114" s="2439"/>
      <c r="E114" s="2439"/>
      <c r="F114" s="2439"/>
      <c r="G114" s="2439"/>
      <c r="H114" s="2439"/>
      <c r="I114" s="2439"/>
      <c r="J114" s="2439"/>
      <c r="K114" s="2439"/>
      <c r="L114" s="2439"/>
      <c r="M114" s="2439"/>
      <c r="N114" s="2439"/>
      <c r="O114" s="2439"/>
      <c r="P114" s="2439"/>
      <c r="Q114" s="2439"/>
    </row>
    <row r="115" spans="2:17" s="835" customFormat="1">
      <c r="B115" s="2439"/>
      <c r="C115" s="2439"/>
      <c r="D115" s="2439"/>
      <c r="E115" s="2439"/>
      <c r="F115" s="2439"/>
      <c r="G115" s="2439"/>
      <c r="H115" s="2439"/>
      <c r="I115" s="2439"/>
      <c r="J115" s="2439"/>
      <c r="K115" s="2439"/>
      <c r="L115" s="2439"/>
      <c r="M115" s="2439"/>
      <c r="N115" s="2439"/>
      <c r="O115" s="2439"/>
      <c r="P115" s="2439"/>
      <c r="Q115" s="2439"/>
    </row>
    <row r="116" spans="2:17" s="835" customFormat="1">
      <c r="B116" s="2439"/>
      <c r="C116" s="2439"/>
      <c r="D116" s="2439"/>
      <c r="E116" s="2439"/>
      <c r="F116" s="2439"/>
      <c r="G116" s="2439"/>
      <c r="H116" s="2439"/>
      <c r="I116" s="2439"/>
      <c r="J116" s="2439"/>
      <c r="K116" s="2439"/>
      <c r="L116" s="2439"/>
      <c r="M116" s="2439"/>
      <c r="N116" s="2439"/>
      <c r="O116" s="2439"/>
      <c r="P116" s="2439"/>
      <c r="Q116" s="2439"/>
    </row>
    <row r="117" spans="2:17" s="835" customFormat="1">
      <c r="B117" s="2439"/>
      <c r="C117" s="2439"/>
      <c r="D117" s="2439"/>
      <c r="E117" s="2439"/>
      <c r="F117" s="2439"/>
      <c r="G117" s="2439"/>
      <c r="H117" s="2439"/>
      <c r="I117" s="2439"/>
      <c r="J117" s="2439"/>
      <c r="K117" s="2439"/>
      <c r="L117" s="2439"/>
      <c r="M117" s="2439"/>
      <c r="N117" s="2439"/>
      <c r="O117" s="2439"/>
      <c r="P117" s="2439"/>
      <c r="Q117" s="2439"/>
    </row>
    <row r="118" spans="2:17" s="835" customFormat="1">
      <c r="B118" s="2439"/>
      <c r="C118" s="2439"/>
      <c r="D118" s="2439"/>
      <c r="E118" s="2439"/>
      <c r="F118" s="2439"/>
      <c r="G118" s="2439"/>
      <c r="H118" s="2439"/>
      <c r="I118" s="2439"/>
      <c r="J118" s="2439"/>
      <c r="K118" s="2439"/>
      <c r="L118" s="2439"/>
      <c r="M118" s="2439"/>
      <c r="N118" s="2439"/>
      <c r="O118" s="2439"/>
      <c r="P118" s="2439"/>
      <c r="Q118" s="2439"/>
    </row>
    <row r="119" spans="2:17" s="835" customFormat="1">
      <c r="B119" s="2439"/>
      <c r="C119" s="2439"/>
      <c r="D119" s="2439"/>
      <c r="E119" s="2439"/>
      <c r="F119" s="2439"/>
      <c r="G119" s="2439"/>
      <c r="H119" s="2439"/>
      <c r="I119" s="2439"/>
      <c r="J119" s="2439"/>
      <c r="K119" s="2439"/>
      <c r="L119" s="2439"/>
      <c r="M119" s="2439"/>
      <c r="N119" s="2439"/>
      <c r="O119" s="2439"/>
      <c r="P119" s="2439"/>
      <c r="Q119" s="2439"/>
    </row>
    <row r="120" spans="2:17" s="835" customFormat="1">
      <c r="B120" s="2439"/>
      <c r="C120" s="2439"/>
      <c r="D120" s="2439"/>
      <c r="E120" s="2439"/>
      <c r="F120" s="2439"/>
      <c r="G120" s="2439"/>
      <c r="H120" s="2439"/>
      <c r="I120" s="2439"/>
      <c r="J120" s="2439"/>
      <c r="K120" s="2439"/>
      <c r="L120" s="2439"/>
      <c r="M120" s="2439"/>
      <c r="N120" s="2439"/>
      <c r="O120" s="2439"/>
      <c r="P120" s="2439"/>
      <c r="Q120" s="2439"/>
    </row>
    <row r="121" spans="2:17" s="835" customFormat="1">
      <c r="B121" s="2439"/>
      <c r="C121" s="2439"/>
      <c r="D121" s="2439"/>
      <c r="E121" s="2439"/>
      <c r="F121" s="2439"/>
      <c r="G121" s="2439"/>
      <c r="H121" s="2439"/>
      <c r="I121" s="2439"/>
      <c r="J121" s="2439"/>
      <c r="K121" s="2439"/>
      <c r="L121" s="2439"/>
      <c r="M121" s="2439"/>
      <c r="N121" s="2439"/>
      <c r="O121" s="2439"/>
      <c r="P121" s="2439"/>
      <c r="Q121" s="2439"/>
    </row>
    <row r="122" spans="2:17" s="835" customFormat="1">
      <c r="B122" s="2439"/>
      <c r="C122" s="2439"/>
      <c r="D122" s="2439"/>
      <c r="E122" s="2439"/>
      <c r="F122" s="2439"/>
      <c r="G122" s="2439"/>
      <c r="H122" s="2439"/>
      <c r="I122" s="2439"/>
      <c r="J122" s="2439"/>
      <c r="K122" s="2439"/>
      <c r="L122" s="2439"/>
      <c r="M122" s="2439"/>
      <c r="N122" s="2439"/>
      <c r="O122" s="2439"/>
      <c r="P122" s="2439"/>
      <c r="Q122" s="2439"/>
    </row>
    <row r="123" spans="2:17" s="835" customFormat="1">
      <c r="B123" s="2439"/>
      <c r="C123" s="2439"/>
      <c r="D123" s="2439"/>
      <c r="E123" s="2439"/>
      <c r="F123" s="2439"/>
      <c r="G123" s="2439"/>
      <c r="H123" s="2439"/>
      <c r="I123" s="2439"/>
      <c r="J123" s="2439"/>
      <c r="K123" s="2439"/>
      <c r="L123" s="2439"/>
      <c r="M123" s="2439"/>
      <c r="N123" s="2439"/>
      <c r="O123" s="2439"/>
      <c r="P123" s="2439"/>
      <c r="Q123" s="2439"/>
    </row>
    <row r="124" spans="2:17" s="835" customFormat="1">
      <c r="B124" s="2439"/>
      <c r="C124" s="2439"/>
      <c r="D124" s="2439"/>
      <c r="E124" s="2439"/>
      <c r="F124" s="2439"/>
      <c r="G124" s="2439"/>
      <c r="H124" s="2439"/>
      <c r="I124" s="2439"/>
      <c r="J124" s="2439"/>
      <c r="K124" s="2439"/>
      <c r="L124" s="2439"/>
      <c r="M124" s="2439"/>
      <c r="N124" s="2439"/>
      <c r="O124" s="2439"/>
      <c r="P124" s="2439"/>
      <c r="Q124" s="2439"/>
    </row>
    <row r="125" spans="2:17" s="835" customFormat="1">
      <c r="B125" s="2439"/>
      <c r="C125" s="2439"/>
      <c r="D125" s="2439"/>
      <c r="E125" s="2439"/>
      <c r="F125" s="2439"/>
      <c r="G125" s="2439"/>
      <c r="H125" s="2439"/>
      <c r="I125" s="2439"/>
      <c r="J125" s="2439"/>
      <c r="K125" s="2439"/>
      <c r="L125" s="2439"/>
      <c r="M125" s="2439"/>
      <c r="N125" s="2439"/>
      <c r="O125" s="2439"/>
      <c r="P125" s="2439"/>
      <c r="Q125" s="2439"/>
    </row>
    <row r="126" spans="2:17" s="835" customFormat="1">
      <c r="B126" s="2439"/>
      <c r="C126" s="2439"/>
      <c r="D126" s="2439"/>
      <c r="E126" s="2439"/>
      <c r="F126" s="2439"/>
      <c r="G126" s="2439"/>
      <c r="H126" s="2439"/>
      <c r="I126" s="2439"/>
      <c r="J126" s="2439"/>
      <c r="K126" s="2439"/>
      <c r="L126" s="2439"/>
      <c r="M126" s="2439"/>
      <c r="N126" s="2439"/>
      <c r="O126" s="2439"/>
      <c r="P126" s="2439"/>
      <c r="Q126" s="2439"/>
    </row>
    <row r="127" spans="2:17" s="835" customFormat="1">
      <c r="B127" s="2439"/>
      <c r="C127" s="2439"/>
      <c r="D127" s="2439"/>
      <c r="E127" s="2439"/>
      <c r="F127" s="2439"/>
      <c r="G127" s="2439"/>
      <c r="H127" s="2439"/>
      <c r="I127" s="2439"/>
      <c r="J127" s="2439"/>
      <c r="K127" s="2439"/>
      <c r="L127" s="2439"/>
      <c r="M127" s="2439"/>
      <c r="N127" s="2439"/>
      <c r="O127" s="2439"/>
      <c r="P127" s="2439"/>
      <c r="Q127" s="2439"/>
    </row>
    <row r="128" spans="2:17" s="835" customFormat="1">
      <c r="B128" s="2439"/>
      <c r="C128" s="2439"/>
      <c r="D128" s="2439"/>
      <c r="E128" s="2439"/>
      <c r="F128" s="2439"/>
      <c r="G128" s="2439"/>
      <c r="H128" s="2439"/>
      <c r="I128" s="2439"/>
      <c r="J128" s="2439"/>
      <c r="K128" s="2439"/>
      <c r="L128" s="2439"/>
      <c r="M128" s="2439"/>
      <c r="N128" s="2439"/>
      <c r="O128" s="2439"/>
      <c r="P128" s="2439"/>
      <c r="Q128" s="2439"/>
    </row>
    <row r="129" spans="2:17" s="835" customFormat="1">
      <c r="B129" s="2439"/>
      <c r="C129" s="2439"/>
      <c r="D129" s="2439"/>
      <c r="E129" s="2439"/>
      <c r="F129" s="2439"/>
      <c r="G129" s="2439"/>
      <c r="H129" s="2439"/>
      <c r="I129" s="2439"/>
      <c r="J129" s="2439"/>
      <c r="K129" s="2439"/>
      <c r="L129" s="2439"/>
      <c r="M129" s="2439"/>
      <c r="N129" s="2439"/>
      <c r="O129" s="2439"/>
      <c r="P129" s="2439"/>
      <c r="Q129" s="2439"/>
    </row>
    <row r="130" spans="2:17" s="835" customFormat="1">
      <c r="B130" s="2439"/>
      <c r="C130" s="2439"/>
      <c r="D130" s="2439"/>
      <c r="E130" s="2439"/>
      <c r="F130" s="2439"/>
      <c r="G130" s="2439"/>
      <c r="H130" s="2439"/>
      <c r="I130" s="2439"/>
      <c r="J130" s="2439"/>
      <c r="K130" s="2439"/>
      <c r="L130" s="2439"/>
      <c r="M130" s="2439"/>
      <c r="N130" s="2439"/>
      <c r="O130" s="2439"/>
      <c r="P130" s="2439"/>
      <c r="Q130" s="2439"/>
    </row>
    <row r="131" spans="2:17" s="835" customFormat="1">
      <c r="B131" s="2439"/>
      <c r="C131" s="2439"/>
      <c r="D131" s="2439"/>
      <c r="E131" s="2439"/>
      <c r="F131" s="2439"/>
      <c r="G131" s="2439"/>
      <c r="H131" s="2439"/>
      <c r="I131" s="2439"/>
      <c r="J131" s="2439"/>
      <c r="K131" s="2439"/>
      <c r="L131" s="2439"/>
      <c r="M131" s="2439"/>
      <c r="N131" s="2439"/>
      <c r="O131" s="2439"/>
      <c r="P131" s="2439"/>
      <c r="Q131" s="2439"/>
    </row>
    <row r="132" spans="2:17" s="835" customFormat="1">
      <c r="B132" s="2439"/>
      <c r="C132" s="2439"/>
      <c r="D132" s="2439"/>
      <c r="E132" s="2439"/>
      <c r="F132" s="2439"/>
      <c r="G132" s="2439"/>
      <c r="H132" s="2439"/>
      <c r="I132" s="2439"/>
      <c r="J132" s="2439"/>
      <c r="K132" s="2439"/>
      <c r="L132" s="2439"/>
      <c r="M132" s="2439"/>
      <c r="N132" s="2439"/>
      <c r="O132" s="2439"/>
      <c r="P132" s="2439"/>
      <c r="Q132" s="2439"/>
    </row>
    <row r="133" spans="2:17" s="835" customFormat="1">
      <c r="B133" s="2439"/>
      <c r="C133" s="2439"/>
      <c r="D133" s="2439"/>
      <c r="E133" s="2439"/>
      <c r="F133" s="2439"/>
      <c r="G133" s="2439"/>
      <c r="H133" s="2439"/>
      <c r="I133" s="2439"/>
      <c r="J133" s="2439"/>
      <c r="K133" s="2439"/>
      <c r="L133" s="2439"/>
      <c r="M133" s="2439"/>
      <c r="N133" s="2439"/>
      <c r="O133" s="2439"/>
      <c r="P133" s="2439"/>
      <c r="Q133" s="2439"/>
    </row>
    <row r="134" spans="2:17" s="835" customFormat="1">
      <c r="B134" s="2439"/>
      <c r="C134" s="2439"/>
      <c r="D134" s="2439"/>
      <c r="E134" s="2439"/>
      <c r="F134" s="2439"/>
      <c r="G134" s="2439"/>
      <c r="H134" s="2439"/>
      <c r="I134" s="2439"/>
      <c r="J134" s="2439"/>
      <c r="K134" s="2439"/>
      <c r="L134" s="2439"/>
      <c r="M134" s="2439"/>
      <c r="N134" s="2439"/>
      <c r="O134" s="2439"/>
      <c r="P134" s="2439"/>
      <c r="Q134" s="2439"/>
    </row>
    <row r="135" spans="2:17" s="835" customFormat="1">
      <c r="B135" s="2439"/>
      <c r="C135" s="2439"/>
      <c r="D135" s="2439"/>
      <c r="E135" s="2439"/>
      <c r="F135" s="2439"/>
      <c r="G135" s="2439"/>
      <c r="H135" s="2439"/>
      <c r="I135" s="2439"/>
      <c r="J135" s="2439"/>
      <c r="K135" s="2439"/>
      <c r="L135" s="2439"/>
      <c r="M135" s="2439"/>
      <c r="N135" s="2439"/>
      <c r="O135" s="2439"/>
      <c r="P135" s="2439"/>
      <c r="Q135" s="2439"/>
    </row>
    <row r="136" spans="2:17" s="835" customFormat="1">
      <c r="B136" s="2439"/>
      <c r="C136" s="2439"/>
      <c r="D136" s="2439"/>
      <c r="E136" s="2439"/>
      <c r="F136" s="2439"/>
      <c r="G136" s="2439"/>
      <c r="H136" s="2439"/>
      <c r="I136" s="2439"/>
      <c r="J136" s="2439"/>
      <c r="K136" s="2439"/>
      <c r="L136" s="2439"/>
      <c r="M136" s="2439"/>
      <c r="N136" s="2439"/>
      <c r="O136" s="2439"/>
      <c r="P136" s="2439"/>
      <c r="Q136" s="2439"/>
    </row>
    <row r="137" spans="2:17" s="835" customFormat="1">
      <c r="B137" s="2439"/>
      <c r="C137" s="2439"/>
      <c r="D137" s="2439"/>
      <c r="E137" s="2439"/>
      <c r="F137" s="2439"/>
      <c r="G137" s="2439"/>
      <c r="H137" s="2439"/>
      <c r="I137" s="2439"/>
      <c r="J137" s="2439"/>
      <c r="K137" s="2439"/>
      <c r="L137" s="2439"/>
      <c r="M137" s="2439"/>
      <c r="N137" s="2439"/>
      <c r="O137" s="2439"/>
      <c r="P137" s="2439"/>
      <c r="Q137" s="2439"/>
    </row>
    <row r="138" spans="2:17" s="835" customFormat="1">
      <c r="B138" s="2439"/>
      <c r="C138" s="2439"/>
      <c r="D138" s="2439"/>
      <c r="E138" s="2439"/>
      <c r="F138" s="2439"/>
      <c r="G138" s="2439"/>
      <c r="H138" s="2439"/>
      <c r="I138" s="2439"/>
      <c r="J138" s="2439"/>
      <c r="K138" s="2439"/>
      <c r="L138" s="2439"/>
      <c r="M138" s="2439"/>
      <c r="N138" s="2439"/>
      <c r="O138" s="2439"/>
      <c r="P138" s="2439"/>
      <c r="Q138" s="2439"/>
    </row>
    <row r="139" spans="2:17" s="835" customFormat="1">
      <c r="B139" s="2439"/>
      <c r="C139" s="2439"/>
      <c r="D139" s="2439"/>
      <c r="E139" s="2439"/>
      <c r="F139" s="2439"/>
      <c r="G139" s="2439"/>
      <c r="H139" s="2439"/>
      <c r="I139" s="2439"/>
      <c r="J139" s="2439"/>
      <c r="K139" s="2439"/>
      <c r="L139" s="2439"/>
      <c r="M139" s="2439"/>
      <c r="N139" s="2439"/>
      <c r="O139" s="2439"/>
      <c r="P139" s="2439"/>
      <c r="Q139" s="2439"/>
    </row>
    <row r="140" spans="2:17" s="835" customFormat="1">
      <c r="B140" s="2439"/>
      <c r="C140" s="2439"/>
      <c r="D140" s="2439"/>
      <c r="E140" s="2439"/>
      <c r="F140" s="2439"/>
      <c r="G140" s="2439"/>
      <c r="H140" s="2439"/>
      <c r="I140" s="2439"/>
      <c r="J140" s="2439"/>
      <c r="K140" s="2439"/>
      <c r="L140" s="2439"/>
      <c r="M140" s="2439"/>
      <c r="N140" s="2439"/>
      <c r="O140" s="2439"/>
      <c r="P140" s="2439"/>
      <c r="Q140" s="2439"/>
    </row>
    <row r="141" spans="2:17" s="835" customFormat="1">
      <c r="B141" s="2439"/>
      <c r="C141" s="2439"/>
      <c r="D141" s="2439"/>
      <c r="E141" s="2439"/>
      <c r="F141" s="2439"/>
      <c r="G141" s="2439"/>
      <c r="H141" s="2439"/>
      <c r="I141" s="2439"/>
      <c r="J141" s="2439"/>
      <c r="K141" s="2439"/>
      <c r="L141" s="2439"/>
      <c r="M141" s="2439"/>
      <c r="N141" s="2439"/>
      <c r="O141" s="2439"/>
      <c r="P141" s="2439"/>
      <c r="Q141" s="2439"/>
    </row>
    <row r="142" spans="2:17" s="835" customFormat="1">
      <c r="B142" s="2439"/>
      <c r="C142" s="2439"/>
      <c r="D142" s="2439"/>
      <c r="E142" s="2439"/>
      <c r="F142" s="2439"/>
      <c r="G142" s="2439"/>
      <c r="H142" s="2439"/>
      <c r="I142" s="2439"/>
      <c r="J142" s="2439"/>
      <c r="K142" s="2439"/>
      <c r="L142" s="2439"/>
      <c r="M142" s="2439"/>
      <c r="N142" s="2439"/>
      <c r="O142" s="2439"/>
      <c r="P142" s="2439"/>
      <c r="Q142" s="2439"/>
    </row>
    <row r="143" spans="2:17" s="835" customFormat="1">
      <c r="B143" s="2439"/>
      <c r="C143" s="2439"/>
      <c r="D143" s="2439"/>
      <c r="E143" s="2439"/>
      <c r="F143" s="2439"/>
      <c r="G143" s="2439"/>
      <c r="H143" s="2439"/>
      <c r="I143" s="2439"/>
      <c r="J143" s="2439"/>
      <c r="K143" s="2439"/>
      <c r="L143" s="2439"/>
      <c r="M143" s="2439"/>
      <c r="N143" s="2439"/>
      <c r="O143" s="2439"/>
      <c r="P143" s="2439"/>
      <c r="Q143" s="2439"/>
    </row>
    <row r="144" spans="2:17" s="835" customFormat="1">
      <c r="B144" s="2439"/>
      <c r="C144" s="2439"/>
      <c r="D144" s="2439"/>
      <c r="E144" s="2439"/>
      <c r="F144" s="2439"/>
      <c r="G144" s="2439"/>
      <c r="H144" s="2439"/>
      <c r="I144" s="2439"/>
      <c r="J144" s="2439"/>
      <c r="K144" s="2439"/>
      <c r="L144" s="2439"/>
      <c r="M144" s="2439"/>
      <c r="N144" s="2439"/>
      <c r="O144" s="2439"/>
      <c r="P144" s="2439"/>
      <c r="Q144" s="2439"/>
    </row>
    <row r="145" spans="2:17" s="835" customFormat="1">
      <c r="B145" s="2439"/>
      <c r="C145" s="2439"/>
      <c r="D145" s="2439"/>
      <c r="E145" s="2439"/>
      <c r="F145" s="2439"/>
      <c r="G145" s="2439"/>
      <c r="H145" s="2439"/>
      <c r="I145" s="2439"/>
      <c r="J145" s="2439"/>
      <c r="K145" s="2439"/>
      <c r="L145" s="2439"/>
      <c r="M145" s="2439"/>
      <c r="N145" s="2439"/>
      <c r="O145" s="2439"/>
      <c r="P145" s="2439"/>
      <c r="Q145" s="2439"/>
    </row>
    <row r="146" spans="2:17" s="835" customFormat="1">
      <c r="B146" s="2439"/>
      <c r="C146" s="2439"/>
      <c r="D146" s="2439"/>
      <c r="E146" s="2439"/>
      <c r="F146" s="2439"/>
      <c r="G146" s="2439"/>
      <c r="H146" s="2439"/>
      <c r="I146" s="2439"/>
      <c r="J146" s="2439"/>
      <c r="K146" s="2439"/>
      <c r="L146" s="2439"/>
      <c r="M146" s="2439"/>
      <c r="N146" s="2439"/>
      <c r="O146" s="2439"/>
      <c r="P146" s="2439"/>
      <c r="Q146" s="2439"/>
    </row>
    <row r="147" spans="2:17" s="835" customFormat="1">
      <c r="B147" s="2439"/>
      <c r="C147" s="2439"/>
      <c r="D147" s="2439"/>
      <c r="E147" s="2439"/>
      <c r="F147" s="2439"/>
      <c r="G147" s="2439"/>
      <c r="H147" s="2439"/>
      <c r="I147" s="2439"/>
      <c r="J147" s="2439"/>
      <c r="K147" s="2439"/>
      <c r="L147" s="2439"/>
      <c r="M147" s="2439"/>
      <c r="N147" s="2439"/>
      <c r="O147" s="2439"/>
      <c r="P147" s="2439"/>
      <c r="Q147" s="2439"/>
    </row>
    <row r="148" spans="2:17" s="835" customFormat="1">
      <c r="B148" s="2439"/>
      <c r="C148" s="2439"/>
      <c r="D148" s="2439"/>
      <c r="E148" s="2439"/>
      <c r="F148" s="2439"/>
      <c r="G148" s="2439"/>
      <c r="H148" s="2439"/>
      <c r="I148" s="2439"/>
      <c r="J148" s="2439"/>
      <c r="K148" s="2439"/>
      <c r="L148" s="2439"/>
      <c r="M148" s="2439"/>
      <c r="N148" s="2439"/>
      <c r="O148" s="2439"/>
      <c r="P148" s="2439"/>
      <c r="Q148" s="2439"/>
    </row>
    <row r="149" spans="2:17" s="835" customFormat="1">
      <c r="B149" s="2439"/>
      <c r="C149" s="2439"/>
      <c r="D149" s="2439"/>
      <c r="E149" s="2439"/>
      <c r="F149" s="2439"/>
      <c r="G149" s="2439"/>
      <c r="H149" s="2439"/>
      <c r="I149" s="2439"/>
      <c r="J149" s="2439"/>
      <c r="K149" s="2439"/>
      <c r="L149" s="2439"/>
      <c r="M149" s="2439"/>
      <c r="N149" s="2439"/>
      <c r="O149" s="2439"/>
      <c r="P149" s="2439"/>
      <c r="Q149" s="2439"/>
    </row>
    <row r="150" spans="2:17" s="835" customFormat="1">
      <c r="B150" s="2439"/>
      <c r="C150" s="2439"/>
      <c r="D150" s="2439"/>
      <c r="E150" s="2439"/>
      <c r="F150" s="2439"/>
      <c r="G150" s="2439"/>
      <c r="H150" s="2439"/>
      <c r="I150" s="2439"/>
      <c r="J150" s="2439"/>
      <c r="K150" s="2439"/>
      <c r="L150" s="2439"/>
      <c r="M150" s="2439"/>
      <c r="N150" s="2439"/>
      <c r="O150" s="2439"/>
      <c r="P150" s="2439"/>
      <c r="Q150" s="2439"/>
    </row>
    <row r="151" spans="2:17" s="835" customFormat="1">
      <c r="B151" s="2439"/>
      <c r="C151" s="2439"/>
      <c r="D151" s="2439"/>
      <c r="E151" s="2439"/>
      <c r="F151" s="2439"/>
      <c r="G151" s="2439"/>
      <c r="H151" s="2439"/>
      <c r="I151" s="2439"/>
      <c r="J151" s="2439"/>
      <c r="K151" s="2439"/>
      <c r="L151" s="2439"/>
      <c r="M151" s="2439"/>
      <c r="N151" s="2439"/>
      <c r="O151" s="2439"/>
      <c r="P151" s="2439"/>
      <c r="Q151" s="2439"/>
    </row>
    <row r="152" spans="2:17" s="835" customFormat="1">
      <c r="B152" s="2439"/>
      <c r="C152" s="2439"/>
      <c r="D152" s="2439"/>
      <c r="E152" s="2439"/>
      <c r="F152" s="2439"/>
      <c r="G152" s="2439"/>
      <c r="H152" s="2439"/>
      <c r="I152" s="2439"/>
      <c r="J152" s="2439"/>
      <c r="K152" s="2439"/>
      <c r="L152" s="2439"/>
      <c r="M152" s="2439"/>
      <c r="N152" s="2439"/>
      <c r="O152" s="2439"/>
      <c r="P152" s="2439"/>
      <c r="Q152" s="2439"/>
    </row>
    <row r="153" spans="2:17" s="835" customFormat="1">
      <c r="B153" s="2439"/>
      <c r="C153" s="2439"/>
      <c r="D153" s="2439"/>
      <c r="E153" s="2439"/>
      <c r="F153" s="2439"/>
      <c r="G153" s="2439"/>
      <c r="H153" s="2439"/>
      <c r="I153" s="2439"/>
      <c r="J153" s="2439"/>
      <c r="K153" s="2439"/>
      <c r="L153" s="2439"/>
      <c r="M153" s="2439"/>
      <c r="N153" s="2439"/>
      <c r="O153" s="2439"/>
      <c r="P153" s="2439"/>
      <c r="Q153" s="2439"/>
    </row>
    <row r="154" spans="2:17" s="835" customFormat="1">
      <c r="B154" s="2439"/>
      <c r="C154" s="2439"/>
      <c r="D154" s="2439"/>
      <c r="E154" s="2439"/>
      <c r="F154" s="2439"/>
      <c r="G154" s="2439"/>
      <c r="H154" s="2439"/>
      <c r="I154" s="2439"/>
      <c r="J154" s="2439"/>
      <c r="K154" s="2439"/>
      <c r="L154" s="2439"/>
      <c r="M154" s="2439"/>
      <c r="N154" s="2439"/>
      <c r="O154" s="2439"/>
      <c r="P154" s="2439"/>
      <c r="Q154" s="2439"/>
    </row>
    <row r="155" spans="2:17" s="835" customFormat="1">
      <c r="B155" s="2439"/>
      <c r="C155" s="2439"/>
      <c r="D155" s="2439"/>
      <c r="E155" s="2439"/>
      <c r="F155" s="2439"/>
      <c r="G155" s="2439"/>
      <c r="H155" s="2439"/>
      <c r="I155" s="2439"/>
      <c r="J155" s="2439"/>
      <c r="K155" s="2439"/>
      <c r="L155" s="2439"/>
      <c r="M155" s="2439"/>
      <c r="N155" s="2439"/>
      <c r="O155" s="2439"/>
      <c r="P155" s="2439"/>
      <c r="Q155" s="2439"/>
    </row>
    <row r="156" spans="2:17" s="835" customFormat="1">
      <c r="B156" s="2439"/>
      <c r="C156" s="2439"/>
      <c r="D156" s="2439"/>
      <c r="E156" s="2439"/>
      <c r="F156" s="2439"/>
      <c r="G156" s="2439"/>
      <c r="H156" s="2439"/>
      <c r="I156" s="2439"/>
      <c r="J156" s="2439"/>
      <c r="K156" s="2439"/>
      <c r="L156" s="2439"/>
      <c r="M156" s="2439"/>
      <c r="N156" s="2439"/>
      <c r="O156" s="2439"/>
      <c r="P156" s="2439"/>
      <c r="Q156" s="2439"/>
    </row>
    <row r="157" spans="2:17" s="835" customFormat="1">
      <c r="B157" s="2439"/>
      <c r="C157" s="2439"/>
      <c r="D157" s="2439"/>
      <c r="E157" s="2439"/>
      <c r="F157" s="2439"/>
      <c r="G157" s="2439"/>
      <c r="H157" s="2439"/>
      <c r="I157" s="2439"/>
      <c r="J157" s="2439"/>
      <c r="K157" s="2439"/>
      <c r="L157" s="2439"/>
      <c r="M157" s="2439"/>
      <c r="N157" s="2439"/>
      <c r="O157" s="2439"/>
      <c r="P157" s="2439"/>
      <c r="Q157" s="2439"/>
    </row>
    <row r="158" spans="2:17" s="835" customFormat="1">
      <c r="B158" s="2439"/>
      <c r="C158" s="2439"/>
      <c r="D158" s="2439"/>
      <c r="E158" s="2439"/>
      <c r="F158" s="2439"/>
      <c r="G158" s="2439"/>
      <c r="H158" s="2439"/>
      <c r="I158" s="2439"/>
      <c r="J158" s="2439"/>
      <c r="K158" s="2439"/>
      <c r="L158" s="2439"/>
      <c r="M158" s="2439"/>
      <c r="N158" s="2439"/>
      <c r="O158" s="2439"/>
      <c r="P158" s="2439"/>
      <c r="Q158" s="2439"/>
    </row>
    <row r="159" spans="2:17" s="835" customFormat="1">
      <c r="B159" s="2439"/>
      <c r="C159" s="2439"/>
      <c r="D159" s="2439"/>
      <c r="E159" s="2439"/>
      <c r="F159" s="2439"/>
      <c r="G159" s="2439"/>
      <c r="H159" s="2439"/>
      <c r="I159" s="2439"/>
      <c r="J159" s="2439"/>
      <c r="K159" s="2439"/>
      <c r="L159" s="2439"/>
      <c r="M159" s="2439"/>
      <c r="N159" s="2439"/>
      <c r="O159" s="2439"/>
      <c r="P159" s="2439"/>
      <c r="Q159" s="2439"/>
    </row>
    <row r="160" spans="2:17" s="835" customFormat="1">
      <c r="B160" s="2439"/>
      <c r="C160" s="2439"/>
      <c r="D160" s="2439"/>
      <c r="E160" s="2439"/>
      <c r="F160" s="2439"/>
      <c r="G160" s="2439"/>
      <c r="H160" s="2439"/>
      <c r="I160" s="2439"/>
      <c r="J160" s="2439"/>
      <c r="K160" s="2439"/>
      <c r="L160" s="2439"/>
      <c r="M160" s="2439"/>
      <c r="N160" s="2439"/>
      <c r="O160" s="2439"/>
      <c r="P160" s="2439"/>
      <c r="Q160" s="2439"/>
    </row>
    <row r="161" spans="2:17" s="835" customFormat="1">
      <c r="B161" s="2439"/>
      <c r="C161" s="2439"/>
      <c r="D161" s="2439"/>
      <c r="E161" s="2439"/>
      <c r="F161" s="2439"/>
      <c r="G161" s="2439"/>
      <c r="H161" s="2439"/>
      <c r="I161" s="2439"/>
      <c r="J161" s="2439"/>
      <c r="K161" s="2439"/>
      <c r="L161" s="2439"/>
      <c r="M161" s="2439"/>
      <c r="N161" s="2439"/>
      <c r="O161" s="2439"/>
      <c r="P161" s="2439"/>
      <c r="Q161" s="2439"/>
    </row>
    <row r="162" spans="2:17" s="835" customFormat="1">
      <c r="B162" s="2439"/>
      <c r="C162" s="2439"/>
      <c r="D162" s="2439"/>
      <c r="E162" s="2439"/>
      <c r="F162" s="2439"/>
      <c r="G162" s="2439"/>
      <c r="H162" s="2439"/>
      <c r="I162" s="2439"/>
      <c r="J162" s="2439"/>
      <c r="K162" s="2439"/>
      <c r="L162" s="2439"/>
      <c r="M162" s="2439"/>
      <c r="N162" s="2439"/>
      <c r="O162" s="2439"/>
      <c r="P162" s="2439"/>
      <c r="Q162" s="2439"/>
    </row>
    <row r="163" spans="2:17" s="835" customFormat="1">
      <c r="B163" s="2439"/>
      <c r="C163" s="2439"/>
      <c r="D163" s="2439"/>
      <c r="E163" s="2439"/>
      <c r="F163" s="2439"/>
      <c r="G163" s="2439"/>
      <c r="H163" s="2439"/>
      <c r="I163" s="2439"/>
      <c r="J163" s="2439"/>
      <c r="K163" s="2439"/>
      <c r="L163" s="2439"/>
      <c r="M163" s="2439"/>
      <c r="N163" s="2439"/>
      <c r="O163" s="2439"/>
      <c r="P163" s="2439"/>
      <c r="Q163" s="2439"/>
    </row>
    <row r="164" spans="2:17" s="835" customFormat="1">
      <c r="B164" s="2439"/>
      <c r="C164" s="2439"/>
      <c r="D164" s="2439"/>
      <c r="E164" s="2439"/>
      <c r="F164" s="2439"/>
      <c r="G164" s="2439"/>
      <c r="H164" s="2439"/>
      <c r="I164" s="2439"/>
      <c r="J164" s="2439"/>
      <c r="K164" s="2439"/>
      <c r="L164" s="2439"/>
      <c r="M164" s="2439"/>
      <c r="N164" s="2439"/>
      <c r="O164" s="2439"/>
      <c r="P164" s="2439"/>
      <c r="Q164" s="2439"/>
    </row>
    <row r="165" spans="2:17" s="835" customFormat="1">
      <c r="B165" s="2439"/>
      <c r="C165" s="2439"/>
      <c r="D165" s="2439"/>
      <c r="E165" s="2439"/>
      <c r="F165" s="2439"/>
      <c r="G165" s="2439"/>
      <c r="H165" s="2439"/>
      <c r="I165" s="2439"/>
      <c r="J165" s="2439"/>
      <c r="K165" s="2439"/>
      <c r="L165" s="2439"/>
      <c r="M165" s="2439"/>
      <c r="N165" s="2439"/>
      <c r="O165" s="2439"/>
      <c r="P165" s="2439"/>
      <c r="Q165" s="2439"/>
    </row>
    <row r="166" spans="2:17" s="835" customFormat="1">
      <c r="B166" s="2439"/>
      <c r="C166" s="2439"/>
      <c r="D166" s="2439"/>
      <c r="E166" s="2439"/>
      <c r="F166" s="2439"/>
      <c r="G166" s="2439"/>
      <c r="H166" s="2439"/>
      <c r="I166" s="2439"/>
      <c r="J166" s="2439"/>
      <c r="K166" s="2439"/>
      <c r="L166" s="2439"/>
      <c r="M166" s="2439"/>
      <c r="N166" s="2439"/>
      <c r="O166" s="2439"/>
      <c r="P166" s="2439"/>
      <c r="Q166" s="2439"/>
    </row>
    <row r="167" spans="2:17" s="835" customFormat="1">
      <c r="B167" s="2439"/>
      <c r="C167" s="2439"/>
      <c r="D167" s="2439"/>
      <c r="E167" s="2439"/>
      <c r="F167" s="2439"/>
      <c r="G167" s="2439"/>
      <c r="H167" s="2439"/>
      <c r="I167" s="2439"/>
      <c r="J167" s="2439"/>
      <c r="K167" s="2439"/>
      <c r="L167" s="2439"/>
      <c r="M167" s="2439"/>
      <c r="N167" s="2439"/>
      <c r="O167" s="2439"/>
      <c r="P167" s="2439"/>
      <c r="Q167" s="2439"/>
    </row>
    <row r="168" spans="2:17" s="835" customFormat="1">
      <c r="B168" s="2439"/>
      <c r="C168" s="2439"/>
      <c r="D168" s="2439"/>
      <c r="E168" s="2439"/>
      <c r="F168" s="2439"/>
      <c r="G168" s="2439"/>
      <c r="H168" s="2439"/>
      <c r="I168" s="2439"/>
      <c r="J168" s="2439"/>
      <c r="K168" s="2439"/>
      <c r="L168" s="2439"/>
      <c r="M168" s="2439"/>
      <c r="N168" s="2439"/>
      <c r="O168" s="2439"/>
      <c r="P168" s="2439"/>
      <c r="Q168" s="2439"/>
    </row>
    <row r="169" spans="2:17" s="835" customFormat="1">
      <c r="B169" s="2439"/>
      <c r="C169" s="2439"/>
      <c r="D169" s="2439"/>
      <c r="E169" s="2439"/>
      <c r="F169" s="2439"/>
      <c r="G169" s="2439"/>
      <c r="H169" s="2439"/>
      <c r="I169" s="2439"/>
      <c r="J169" s="2439"/>
      <c r="K169" s="2439"/>
      <c r="L169" s="2439"/>
      <c r="M169" s="2439"/>
      <c r="N169" s="2439"/>
      <c r="O169" s="2439"/>
      <c r="P169" s="2439"/>
      <c r="Q169" s="2439"/>
    </row>
    <row r="170" spans="2:17" s="835" customFormat="1">
      <c r="B170" s="2439"/>
      <c r="C170" s="2439"/>
      <c r="D170" s="2439"/>
      <c r="E170" s="2439"/>
      <c r="F170" s="2439"/>
      <c r="G170" s="2439"/>
      <c r="H170" s="2439"/>
      <c r="I170" s="2439"/>
      <c r="J170" s="2439"/>
      <c r="K170" s="2439"/>
      <c r="L170" s="2439"/>
      <c r="M170" s="2439"/>
      <c r="N170" s="2439"/>
      <c r="O170" s="2439"/>
      <c r="P170" s="2439"/>
      <c r="Q170" s="2439"/>
    </row>
    <row r="171" spans="2:17" s="835" customFormat="1">
      <c r="B171" s="2439"/>
      <c r="C171" s="2439"/>
      <c r="D171" s="2439"/>
      <c r="E171" s="2439"/>
      <c r="F171" s="2439"/>
      <c r="G171" s="2439"/>
      <c r="H171" s="2439"/>
      <c r="I171" s="2439"/>
      <c r="J171" s="2439"/>
      <c r="K171" s="2439"/>
      <c r="L171" s="2439"/>
      <c r="M171" s="2439"/>
      <c r="N171" s="2439"/>
      <c r="O171" s="2439"/>
      <c r="P171" s="2439"/>
      <c r="Q171" s="2439"/>
    </row>
    <row r="172" spans="2:17" s="835" customFormat="1">
      <c r="B172" s="2439"/>
      <c r="C172" s="2439"/>
      <c r="D172" s="2439"/>
      <c r="E172" s="2439"/>
      <c r="F172" s="2439"/>
      <c r="G172" s="2439"/>
      <c r="H172" s="2439"/>
      <c r="I172" s="2439"/>
      <c r="J172" s="2439"/>
      <c r="K172" s="2439"/>
      <c r="L172" s="2439"/>
      <c r="M172" s="2439"/>
      <c r="N172" s="2439"/>
      <c r="O172" s="2439"/>
      <c r="P172" s="2439"/>
      <c r="Q172" s="2439"/>
    </row>
    <row r="173" spans="2:17" s="835" customFormat="1">
      <c r="B173" s="2439"/>
      <c r="C173" s="2439"/>
      <c r="D173" s="2439"/>
      <c r="E173" s="2439"/>
      <c r="F173" s="2439"/>
      <c r="G173" s="2439"/>
      <c r="H173" s="2439"/>
      <c r="I173" s="2439"/>
      <c r="J173" s="2439"/>
      <c r="K173" s="2439"/>
      <c r="L173" s="2439"/>
      <c r="M173" s="2439"/>
      <c r="N173" s="2439"/>
      <c r="O173" s="2439"/>
      <c r="P173" s="2439"/>
      <c r="Q173" s="2439"/>
    </row>
    <row r="174" spans="2:17" s="835" customFormat="1">
      <c r="B174" s="2439"/>
      <c r="C174" s="2439"/>
      <c r="D174" s="2439"/>
      <c r="E174" s="2439"/>
      <c r="F174" s="2439"/>
      <c r="G174" s="2439"/>
      <c r="H174" s="2439"/>
      <c r="I174" s="2439"/>
      <c r="J174" s="2439"/>
      <c r="K174" s="2439"/>
      <c r="L174" s="2439"/>
      <c r="M174" s="2439"/>
      <c r="N174" s="2439"/>
      <c r="O174" s="2439"/>
      <c r="P174" s="2439"/>
      <c r="Q174" s="2439"/>
    </row>
    <row r="175" spans="2:17" s="835" customFormat="1">
      <c r="B175" s="2439"/>
      <c r="C175" s="2439"/>
      <c r="D175" s="2439"/>
      <c r="E175" s="2439"/>
      <c r="F175" s="2439"/>
      <c r="G175" s="2439"/>
      <c r="H175" s="2439"/>
      <c r="I175" s="2439"/>
      <c r="J175" s="2439"/>
      <c r="K175" s="2439"/>
      <c r="L175" s="2439"/>
      <c r="M175" s="2439"/>
      <c r="N175" s="2439"/>
      <c r="O175" s="2439"/>
      <c r="P175" s="2439"/>
      <c r="Q175" s="2439"/>
    </row>
    <row r="176" spans="2:17" s="835" customFormat="1">
      <c r="B176" s="2439"/>
      <c r="C176" s="2439"/>
      <c r="D176" s="2439"/>
      <c r="E176" s="2439"/>
      <c r="F176" s="2439"/>
      <c r="G176" s="2439"/>
      <c r="H176" s="2439"/>
      <c r="I176" s="2439"/>
      <c r="J176" s="2439"/>
      <c r="K176" s="2439"/>
      <c r="L176" s="2439"/>
      <c r="M176" s="2439"/>
      <c r="N176" s="2439"/>
      <c r="O176" s="2439"/>
      <c r="P176" s="2439"/>
      <c r="Q176" s="2439"/>
    </row>
    <row r="177" spans="1:17" s="835" customFormat="1">
      <c r="B177" s="2439"/>
      <c r="C177" s="2439"/>
      <c r="D177" s="2439"/>
      <c r="E177" s="2439"/>
      <c r="F177" s="2439"/>
      <c r="G177" s="2439"/>
      <c r="H177" s="2439"/>
      <c r="I177" s="2439"/>
      <c r="J177" s="2439"/>
      <c r="K177" s="2439"/>
      <c r="L177" s="2439"/>
      <c r="M177" s="2439"/>
      <c r="N177" s="2439"/>
      <c r="O177" s="2439"/>
      <c r="P177" s="2439"/>
      <c r="Q177" s="2439"/>
    </row>
    <row r="178" spans="1:17" s="835" customFormat="1">
      <c r="B178" s="2439"/>
      <c r="C178" s="2439"/>
      <c r="D178" s="2439"/>
      <c r="E178" s="2439"/>
      <c r="F178" s="2439"/>
      <c r="G178" s="2439"/>
      <c r="H178" s="2439"/>
      <c r="I178" s="2439"/>
      <c r="J178" s="2439"/>
      <c r="K178" s="2439"/>
      <c r="L178" s="2439"/>
      <c r="M178" s="2439"/>
      <c r="N178" s="2439"/>
      <c r="O178" s="2439"/>
      <c r="P178" s="2439"/>
      <c r="Q178" s="2439"/>
    </row>
    <row r="179" spans="1:17" s="835" customFormat="1">
      <c r="B179" s="2439"/>
      <c r="C179" s="2439"/>
      <c r="D179" s="2439"/>
      <c r="E179" s="2439"/>
      <c r="F179" s="2439"/>
      <c r="G179" s="2439"/>
      <c r="H179" s="2439"/>
      <c r="I179" s="2439"/>
      <c r="J179" s="2439"/>
      <c r="K179" s="2439"/>
      <c r="L179" s="2439"/>
      <c r="M179" s="2439"/>
      <c r="N179" s="2439"/>
      <c r="O179" s="2439"/>
      <c r="P179" s="2439"/>
      <c r="Q179" s="2439"/>
    </row>
    <row r="180" spans="1:17" s="835" customFormat="1">
      <c r="B180" s="2439"/>
      <c r="C180" s="2439"/>
      <c r="D180" s="2439"/>
      <c r="E180" s="2439"/>
      <c r="F180" s="2439"/>
      <c r="G180" s="2439"/>
      <c r="H180" s="2439"/>
      <c r="I180" s="2439"/>
      <c r="J180" s="2439"/>
      <c r="K180" s="2439"/>
      <c r="L180" s="2439"/>
      <c r="M180" s="2439"/>
      <c r="N180" s="2439"/>
      <c r="O180" s="2439"/>
      <c r="P180" s="2439"/>
      <c r="Q180" s="2439"/>
    </row>
    <row r="181" spans="1:17" s="835" customFormat="1">
      <c r="B181" s="2439"/>
      <c r="C181" s="2439"/>
      <c r="D181" s="2439"/>
      <c r="E181" s="2439"/>
      <c r="F181" s="2439"/>
      <c r="G181" s="2439"/>
      <c r="H181" s="2439"/>
      <c r="I181" s="2439"/>
      <c r="J181" s="2439"/>
      <c r="K181" s="2439"/>
      <c r="L181" s="2439"/>
      <c r="M181" s="2439"/>
      <c r="N181" s="2439"/>
      <c r="O181" s="2439"/>
      <c r="P181" s="2439"/>
      <c r="Q181" s="2439"/>
    </row>
    <row r="182" spans="1:17" s="835" customFormat="1">
      <c r="B182" s="2439"/>
      <c r="C182" s="2439"/>
      <c r="D182" s="2439"/>
      <c r="E182" s="2439"/>
      <c r="F182" s="2439"/>
      <c r="G182" s="2439"/>
      <c r="H182" s="2439"/>
      <c r="I182" s="2439"/>
      <c r="J182" s="2439"/>
      <c r="K182" s="2439"/>
      <c r="L182" s="2439"/>
      <c r="M182" s="2439"/>
      <c r="N182" s="2439"/>
      <c r="O182" s="2439"/>
      <c r="P182" s="2439"/>
      <c r="Q182" s="2439"/>
    </row>
    <row r="183" spans="1:17" s="835" customFormat="1">
      <c r="B183" s="2439"/>
      <c r="C183" s="2439"/>
      <c r="D183" s="2439"/>
      <c r="E183" s="2439"/>
      <c r="F183" s="2439"/>
      <c r="G183" s="2439"/>
      <c r="H183" s="2439"/>
      <c r="I183" s="2439"/>
      <c r="J183" s="2439"/>
      <c r="K183" s="2439"/>
      <c r="L183" s="2439"/>
      <c r="M183" s="2439"/>
      <c r="N183" s="2439"/>
      <c r="O183" s="2439"/>
      <c r="P183" s="2439"/>
      <c r="Q183" s="2439"/>
    </row>
    <row r="184" spans="1:17" s="835" customFormat="1">
      <c r="B184" s="2439"/>
      <c r="C184" s="2439"/>
      <c r="D184" s="2439"/>
      <c r="E184" s="2439"/>
      <c r="F184" s="2439"/>
      <c r="G184" s="2439"/>
      <c r="H184" s="2439"/>
      <c r="I184" s="2439"/>
      <c r="J184" s="2439"/>
      <c r="K184" s="2439"/>
      <c r="L184" s="2439"/>
      <c r="M184" s="2439"/>
      <c r="N184" s="2439"/>
      <c r="O184" s="2439"/>
      <c r="P184" s="2439"/>
      <c r="Q184" s="2439"/>
    </row>
    <row r="185" spans="1:17" s="835" customFormat="1">
      <c r="B185" s="2439"/>
      <c r="C185" s="2439"/>
      <c r="D185" s="2439"/>
      <c r="E185" s="2439"/>
      <c r="F185" s="2439"/>
      <c r="G185" s="2439"/>
      <c r="H185" s="2439"/>
      <c r="I185" s="2439"/>
      <c r="J185" s="2439"/>
      <c r="K185" s="2439"/>
      <c r="L185" s="2439"/>
      <c r="M185" s="2439"/>
      <c r="N185" s="2439"/>
      <c r="O185" s="2439"/>
      <c r="P185" s="2439"/>
      <c r="Q185" s="2439"/>
    </row>
    <row r="186" spans="1:17">
      <c r="A186" s="835"/>
      <c r="B186" s="2439"/>
      <c r="C186" s="2439"/>
      <c r="E186" s="2439"/>
      <c r="F186" s="2439"/>
      <c r="G186" s="2439"/>
    </row>
    <row r="187" spans="1:17">
      <c r="A187" s="835"/>
      <c r="B187" s="2439"/>
      <c r="C187" s="2439"/>
      <c r="E187" s="2439"/>
      <c r="F187" s="2439"/>
      <c r="G187" s="243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8" customWidth="1"/>
    <col min="2" max="9" width="10" style="878" customWidth="1"/>
    <col min="10" max="16384" width="9" style="878"/>
  </cols>
  <sheetData>
    <row r="36" spans="1:9">
      <c r="A36" s="877" t="s">
        <v>637</v>
      </c>
      <c r="B36" s="877" t="s">
        <v>638</v>
      </c>
    </row>
    <row r="37" spans="1:9" ht="27.75" customHeight="1">
      <c r="A37" s="877"/>
      <c r="B37" s="3130" t="str">
        <f>项目基本情况!B1</f>
        <v>北京市丰台区南四环西路186号四区1号楼房地产抵押价值预评估</v>
      </c>
      <c r="C37" s="3130"/>
      <c r="D37" s="3130"/>
      <c r="E37" s="3130"/>
      <c r="F37" s="3130"/>
      <c r="G37" s="3130"/>
      <c r="H37" s="3130"/>
      <c r="I37" s="3130"/>
    </row>
    <row r="38" spans="1:9">
      <c r="A38" s="879"/>
      <c r="B38" s="879"/>
    </row>
    <row r="39" spans="1:9">
      <c r="A39" s="877" t="s">
        <v>637</v>
      </c>
      <c r="B39" s="877" t="s">
        <v>639</v>
      </c>
    </row>
    <row r="40" spans="1:9">
      <c r="A40" s="877"/>
      <c r="B40" s="1508" t="str">
        <f>项目基本情况!B5</f>
        <v>工商银行</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ht="12.75">
      <c r="B46" s="1508" t="str">
        <f ca="1">项目基本情况!K4</f>
        <v>王鹏（注册号：1120050019)、郑燚（注册号：0)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C6" sqref="C6"/>
    </sheetView>
  </sheetViews>
  <sheetFormatPr defaultColWidth="9" defaultRowHeight="13.5"/>
  <cols>
    <col min="1" max="1" width="25" style="2463" customWidth="1"/>
    <col min="2" max="9" width="15.75" style="2463" customWidth="1"/>
    <col min="10" max="16384" width="9" style="2463"/>
  </cols>
  <sheetData>
    <row r="1" spans="1:11" ht="16.5">
      <c r="A1" s="2462" t="s">
        <v>1090</v>
      </c>
      <c r="B1" s="2462">
        <f>SUM(B14:B23)</f>
        <v>176954.78</v>
      </c>
      <c r="C1" s="2623"/>
      <c r="D1" s="2623"/>
      <c r="E1" s="2623"/>
      <c r="F1" s="2623"/>
      <c r="G1" s="2624"/>
      <c r="H1" s="2624"/>
      <c r="I1" s="2624"/>
      <c r="J1" s="2624"/>
      <c r="K1" s="2624"/>
    </row>
    <row r="2" spans="1:11" ht="16.5">
      <c r="A2" s="2462" t="s">
        <v>1078</v>
      </c>
      <c r="B2" s="2462">
        <f>SUM(C14:C23)</f>
        <v>45717.88</v>
      </c>
      <c r="C2" s="2623"/>
      <c r="D2" s="2623"/>
      <c r="E2" s="2623"/>
      <c r="F2" s="2623"/>
      <c r="G2" s="2624"/>
      <c r="H2" s="2624"/>
      <c r="I2" s="2624"/>
      <c r="J2" s="2624"/>
      <c r="K2" s="2624"/>
    </row>
    <row r="3" spans="1:11" ht="16.5">
      <c r="A3" s="2462" t="s">
        <v>1087</v>
      </c>
      <c r="B3" s="2464">
        <f>项目基本情况!D3</f>
        <v>44890</v>
      </c>
      <c r="C3" s="2623"/>
      <c r="D3" s="2623"/>
      <c r="E3" s="2623"/>
      <c r="F3" s="2623"/>
      <c r="G3" s="2624"/>
      <c r="H3" s="2624"/>
      <c r="I3" s="2624"/>
      <c r="J3" s="2624"/>
      <c r="K3" s="2624"/>
    </row>
    <row r="4" spans="1:11" ht="33">
      <c r="A4" s="2462" t="s">
        <v>1086</v>
      </c>
      <c r="B4" s="2462" t="s">
        <v>1085</v>
      </c>
      <c r="C4" s="2462" t="s">
        <v>1084</v>
      </c>
      <c r="D4" s="2462" t="s">
        <v>1083</v>
      </c>
      <c r="E4" s="2623"/>
      <c r="F4" s="2624"/>
      <c r="G4" s="2624"/>
      <c r="H4" s="2624"/>
      <c r="I4" s="2624"/>
      <c r="J4" s="2624"/>
      <c r="K4" s="2624"/>
    </row>
    <row r="5" spans="1:11" ht="16.5">
      <c r="A5" s="2462" t="s">
        <v>1082</v>
      </c>
      <c r="B5" s="2462">
        <f ca="1">SUM(D14:D23)</f>
        <v>429834</v>
      </c>
      <c r="C5" s="2462">
        <f ca="1">ROUND(B5*10000/$B$1,0)</f>
        <v>24291</v>
      </c>
      <c r="D5" s="2462">
        <f ca="1">ROUND(B5*10000/$B$2,0)</f>
        <v>94019</v>
      </c>
      <c r="E5" s="2623"/>
      <c r="F5" s="2624"/>
      <c r="G5" s="2624"/>
      <c r="H5" s="2624"/>
      <c r="I5" s="2624"/>
      <c r="J5" s="2624"/>
      <c r="K5" s="2624"/>
    </row>
    <row r="6" spans="1:11" ht="16.5">
      <c r="A6" s="2462" t="s">
        <v>1081</v>
      </c>
      <c r="B6" s="2462">
        <f ca="1">SUM(G14:G23)</f>
        <v>429834</v>
      </c>
      <c r="C6" s="2462">
        <f ca="1">ROUND(B6*10000/$B$1,0)</f>
        <v>24291</v>
      </c>
      <c r="D6" s="2462">
        <f ca="1">ROUND(B6*10000/$B$2,0)</f>
        <v>94019</v>
      </c>
      <c r="E6" s="2623"/>
      <c r="F6" s="2624"/>
      <c r="G6" s="2624"/>
      <c r="H6" s="2624"/>
      <c r="I6" s="2624"/>
      <c r="J6" s="2624"/>
      <c r="K6" s="2624"/>
    </row>
    <row r="7" spans="1:11" ht="16.5">
      <c r="A7" s="2462" t="s">
        <v>1089</v>
      </c>
      <c r="B7" s="2462">
        <f>SUM(H14:H23)</f>
        <v>0</v>
      </c>
      <c r="C7" s="2462">
        <f>ROUND(B7*10000/$B$1,0)</f>
        <v>0</v>
      </c>
      <c r="D7" s="2462">
        <f>ROUND(B7*10000/$B$2,0)</f>
        <v>0</v>
      </c>
      <c r="E7" s="2623"/>
      <c r="F7" s="2624"/>
      <c r="G7" s="2624"/>
      <c r="H7" s="2624"/>
      <c r="I7" s="2624"/>
      <c r="J7" s="2624"/>
      <c r="K7" s="2624"/>
    </row>
    <row r="8" spans="1:11" ht="16.5">
      <c r="A8" s="2462" t="s">
        <v>1012</v>
      </c>
      <c r="B8" s="2462">
        <f>SUM(I14:I23)</f>
        <v>0</v>
      </c>
      <c r="C8" s="2462">
        <f>ROUND(B8*10000/$B$1,0)</f>
        <v>0</v>
      </c>
      <c r="D8" s="2462">
        <f>ROUND(B8*10000/$B$2,0)</f>
        <v>0</v>
      </c>
      <c r="E8" s="2623"/>
      <c r="F8" s="2624"/>
      <c r="G8" s="2624"/>
      <c r="H8" s="2624"/>
      <c r="I8" s="2624"/>
      <c r="J8" s="2624"/>
      <c r="K8" s="2624"/>
    </row>
    <row r="9" spans="1:11" ht="16.5">
      <c r="A9" s="2462" t="s">
        <v>1080</v>
      </c>
      <c r="B9" s="1359"/>
      <c r="C9" s="2623"/>
      <c r="D9" s="2623"/>
      <c r="E9" s="2623"/>
      <c r="F9" s="2624"/>
      <c r="G9" s="2624"/>
      <c r="H9" s="2624"/>
      <c r="I9" s="2624"/>
      <c r="J9" s="2624"/>
      <c r="K9" s="2624"/>
    </row>
    <row r="10" spans="1:11" ht="16.5">
      <c r="A10" s="2462" t="s">
        <v>1079</v>
      </c>
      <c r="B10" s="1359"/>
      <c r="C10" s="2623"/>
      <c r="D10" s="2623"/>
      <c r="E10" s="2623"/>
      <c r="F10" s="2624"/>
      <c r="G10" s="2624"/>
      <c r="H10" s="2624"/>
      <c r="I10" s="2624"/>
      <c r="J10" s="2624"/>
      <c r="K10" s="2624"/>
    </row>
    <row r="11" spans="1:11" ht="16.5">
      <c r="A11" s="2462" t="s">
        <v>1095</v>
      </c>
      <c r="B11" s="1359"/>
      <c r="C11" s="2623"/>
      <c r="D11" s="2623"/>
      <c r="E11" s="2623"/>
      <c r="F11" s="2624"/>
      <c r="G11" s="2624"/>
      <c r="H11" s="2624"/>
      <c r="I11" s="2624"/>
      <c r="J11" s="2624"/>
      <c r="K11" s="2624"/>
    </row>
    <row r="12" spans="1:11" ht="16.5">
      <c r="A12" s="2623"/>
      <c r="B12" s="2623"/>
      <c r="C12" s="2623"/>
      <c r="D12" s="2623"/>
      <c r="E12" s="2623"/>
      <c r="F12" s="2624"/>
      <c r="G12" s="2624"/>
      <c r="H12" s="2624"/>
      <c r="I12" s="2624"/>
      <c r="J12" s="2624"/>
      <c r="K12" s="2624"/>
    </row>
    <row r="13" spans="1:11" ht="33">
      <c r="A13" s="2465" t="s">
        <v>1094</v>
      </c>
      <c r="B13" s="2466" t="s">
        <v>1091</v>
      </c>
      <c r="C13" s="2466" t="s">
        <v>1093</v>
      </c>
      <c r="D13" s="2466" t="s">
        <v>1092</v>
      </c>
      <c r="E13" s="2462" t="s">
        <v>1084</v>
      </c>
      <c r="F13" s="2462" t="s">
        <v>1083</v>
      </c>
      <c r="G13" s="2466" t="s">
        <v>1077</v>
      </c>
      <c r="H13" s="2466" t="s">
        <v>1088</v>
      </c>
      <c r="I13" s="2466" t="s">
        <v>1076</v>
      </c>
      <c r="J13" s="2624"/>
      <c r="K13" s="2624"/>
    </row>
    <row r="14" spans="1:11" ht="16.5">
      <c r="A14" s="2467" t="s">
        <v>1075</v>
      </c>
      <c r="B14" s="2468">
        <f>结果表!B118</f>
        <v>176954.78</v>
      </c>
      <c r="C14" s="2468">
        <f>结果表!C118</f>
        <v>45717.88</v>
      </c>
      <c r="D14" s="2468">
        <f ca="1">结果表!H118</f>
        <v>429834</v>
      </c>
      <c r="E14" s="2468">
        <f ca="1">ROUND(D14*10000/B14,0)</f>
        <v>24291</v>
      </c>
      <c r="F14" s="2468">
        <f ca="1">ROUND(D14*10000/C14,0)</f>
        <v>94019</v>
      </c>
      <c r="G14" s="2468">
        <f ca="1">结果表!D122</f>
        <v>429834</v>
      </c>
      <c r="H14" s="2468" t="str">
        <f>结果表!D124</f>
        <v>——</v>
      </c>
      <c r="I14" s="2468" t="str">
        <f>结果表!D126</f>
        <v>——</v>
      </c>
      <c r="J14" s="2624"/>
      <c r="K14" s="2624"/>
    </row>
    <row r="15" spans="1:11" ht="16.5">
      <c r="A15" s="2467" t="s">
        <v>1074</v>
      </c>
      <c r="B15" s="2469"/>
      <c r="C15" s="2469"/>
      <c r="D15" s="2469"/>
      <c r="E15" s="2468" t="e">
        <f t="shared" ref="E15:E23" si="0">ROUND(D15*10000/B15,0)</f>
        <v>#DIV/0!</v>
      </c>
      <c r="F15" s="2468" t="e">
        <f t="shared" ref="F15:F23" si="1">ROUND(D15*10000/C15,0)</f>
        <v>#DIV/0!</v>
      </c>
      <c r="G15" s="1359"/>
      <c r="H15" s="1359"/>
      <c r="I15" s="2469"/>
      <c r="J15" s="2624"/>
      <c r="K15" s="2624"/>
    </row>
    <row r="16" spans="1:11" ht="16.5">
      <c r="A16" s="2467" t="s">
        <v>1073</v>
      </c>
      <c r="B16" s="2469"/>
      <c r="C16" s="2469"/>
      <c r="D16" s="2469"/>
      <c r="E16" s="2468" t="e">
        <f t="shared" si="0"/>
        <v>#DIV/0!</v>
      </c>
      <c r="F16" s="2468" t="e">
        <f t="shared" si="1"/>
        <v>#DIV/0!</v>
      </c>
      <c r="G16" s="1359"/>
      <c r="H16" s="1359"/>
      <c r="I16" s="2469"/>
      <c r="J16" s="2624"/>
      <c r="K16" s="2624"/>
    </row>
    <row r="17" spans="1:11" ht="16.5">
      <c r="A17" s="2467" t="s">
        <v>1072</v>
      </c>
      <c r="B17" s="2469"/>
      <c r="C17" s="2469"/>
      <c r="D17" s="2469"/>
      <c r="E17" s="2468" t="e">
        <f t="shared" si="0"/>
        <v>#DIV/0!</v>
      </c>
      <c r="F17" s="2468" t="e">
        <f t="shared" si="1"/>
        <v>#DIV/0!</v>
      </c>
      <c r="G17" s="1359"/>
      <c r="H17" s="1359"/>
      <c r="I17" s="2469"/>
      <c r="J17" s="2624"/>
      <c r="K17" s="2624"/>
    </row>
    <row r="18" spans="1:11" ht="16.5">
      <c r="A18" s="2467" t="s">
        <v>1071</v>
      </c>
      <c r="B18" s="2469"/>
      <c r="C18" s="2469"/>
      <c r="D18" s="2469"/>
      <c r="E18" s="2468" t="e">
        <f t="shared" si="0"/>
        <v>#DIV/0!</v>
      </c>
      <c r="F18" s="2468" t="e">
        <f t="shared" si="1"/>
        <v>#DIV/0!</v>
      </c>
      <c r="G18" s="2469"/>
      <c r="H18" s="2469"/>
      <c r="I18" s="2469"/>
      <c r="J18" s="2624"/>
      <c r="K18" s="2624"/>
    </row>
    <row r="19" spans="1:11" ht="16.5">
      <c r="A19" s="2467" t="s">
        <v>1070</v>
      </c>
      <c r="B19" s="2469"/>
      <c r="C19" s="2469"/>
      <c r="D19" s="2469"/>
      <c r="E19" s="2468" t="e">
        <f t="shared" si="0"/>
        <v>#DIV/0!</v>
      </c>
      <c r="F19" s="2468" t="e">
        <f t="shared" si="1"/>
        <v>#DIV/0!</v>
      </c>
      <c r="G19" s="2469"/>
      <c r="H19" s="2469"/>
      <c r="I19" s="2469"/>
      <c r="J19" s="2624"/>
      <c r="K19" s="2624"/>
    </row>
    <row r="20" spans="1:11" ht="16.5">
      <c r="A20" s="2467" t="s">
        <v>1069</v>
      </c>
      <c r="B20" s="2469"/>
      <c r="C20" s="2469"/>
      <c r="D20" s="2469"/>
      <c r="E20" s="2468" t="e">
        <f t="shared" si="0"/>
        <v>#DIV/0!</v>
      </c>
      <c r="F20" s="2468" t="e">
        <f t="shared" si="1"/>
        <v>#DIV/0!</v>
      </c>
      <c r="G20" s="2469"/>
      <c r="H20" s="2469"/>
      <c r="I20" s="2469"/>
      <c r="J20" s="2624"/>
      <c r="K20" s="2624"/>
    </row>
    <row r="21" spans="1:11" ht="16.5">
      <c r="A21" s="2467" t="s">
        <v>1068</v>
      </c>
      <c r="B21" s="2469"/>
      <c r="C21" s="2469"/>
      <c r="D21" s="2469"/>
      <c r="E21" s="2468" t="e">
        <f t="shared" si="0"/>
        <v>#DIV/0!</v>
      </c>
      <c r="F21" s="2468" t="e">
        <f t="shared" si="1"/>
        <v>#DIV/0!</v>
      </c>
      <c r="G21" s="2469"/>
      <c r="H21" s="2469"/>
      <c r="I21" s="2469"/>
      <c r="J21" s="2624"/>
      <c r="K21" s="2624"/>
    </row>
    <row r="22" spans="1:11" ht="16.5">
      <c r="A22" s="2467" t="s">
        <v>1067</v>
      </c>
      <c r="B22" s="2469"/>
      <c r="C22" s="2469"/>
      <c r="D22" s="2469"/>
      <c r="E22" s="2468" t="e">
        <f t="shared" si="0"/>
        <v>#DIV/0!</v>
      </c>
      <c r="F22" s="2468" t="e">
        <f t="shared" si="1"/>
        <v>#DIV/0!</v>
      </c>
      <c r="G22" s="2469"/>
      <c r="H22" s="2469"/>
      <c r="I22" s="2469"/>
      <c r="J22" s="2624"/>
      <c r="K22" s="2624"/>
    </row>
    <row r="23" spans="1:11" ht="16.5">
      <c r="A23" s="2467" t="s">
        <v>1066</v>
      </c>
      <c r="B23" s="2469"/>
      <c r="C23" s="2469"/>
      <c r="D23" s="2469"/>
      <c r="E23" s="1359" t="e">
        <f t="shared" si="0"/>
        <v>#DIV/0!</v>
      </c>
      <c r="F23" s="1359" t="e">
        <f t="shared" si="1"/>
        <v>#DIV/0!</v>
      </c>
      <c r="G23" s="2469"/>
      <c r="H23" s="2469"/>
      <c r="I23" s="2469"/>
      <c r="J23" s="2624"/>
      <c r="K23" s="2624"/>
    </row>
    <row r="24" spans="1:11">
      <c r="A24" s="2624"/>
      <c r="B24" s="2624"/>
      <c r="C24" s="2624"/>
      <c r="D24" s="2624"/>
      <c r="E24" s="2624"/>
      <c r="F24" s="2624"/>
      <c r="G24" s="2624"/>
      <c r="H24" s="2624"/>
      <c r="I24" s="2624"/>
      <c r="J24" s="2624"/>
      <c r="K24" s="2624"/>
    </row>
    <row r="25" spans="1:11">
      <c r="A25" s="2624"/>
      <c r="B25" s="2624"/>
      <c r="C25" s="2624"/>
      <c r="D25" s="2624"/>
      <c r="E25" s="2624"/>
      <c r="F25" s="2624"/>
      <c r="G25" s="2624"/>
      <c r="H25" s="2624"/>
      <c r="I25" s="2624"/>
      <c r="J25" s="2624"/>
      <c r="K25" s="2624"/>
    </row>
    <row r="26" spans="1:11">
      <c r="A26" s="2624"/>
      <c r="B26" s="2624"/>
      <c r="C26" s="2624"/>
      <c r="D26" s="2624"/>
      <c r="E26" s="2624"/>
      <c r="F26" s="2624"/>
      <c r="G26" s="2624"/>
      <c r="H26" s="2624"/>
      <c r="I26" s="2624"/>
      <c r="J26" s="2624"/>
      <c r="K26" s="262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H27" sqref="H27"/>
    </sheetView>
  </sheetViews>
  <sheetFormatPr defaultColWidth="12.625" defaultRowHeight="21.75" customHeight="1"/>
  <cols>
    <col min="1" max="2" width="12.625" style="1691"/>
    <col min="3" max="4" width="12.625" style="1691" customWidth="1"/>
    <col min="5" max="9" width="12.625" style="1691"/>
    <col min="10" max="11" width="12.625" style="693" customWidth="1"/>
    <col min="12" max="12" width="12.625" style="693"/>
    <col min="13" max="13" width="14.125" style="693" bestFit="1" customWidth="1"/>
    <col min="14" max="26" width="12.625" style="693"/>
    <col min="27" max="35" width="12.625" style="1753"/>
    <col min="36" max="16384" width="12.625" style="1691"/>
  </cols>
  <sheetData>
    <row r="1" spans="1:12" ht="21.75" customHeight="1" thickBot="1">
      <c r="A1" s="1651" t="s">
        <v>1707</v>
      </c>
      <c r="B1" s="655"/>
      <c r="C1" s="1750"/>
      <c r="D1" s="655"/>
      <c r="E1" s="655"/>
      <c r="F1" s="1751" t="s">
        <v>1708</v>
      </c>
      <c r="G1" s="1583"/>
      <c r="H1" s="1751" t="str">
        <f>IF(G1="现房","——","估价对象范围")</f>
        <v>估价对象范围</v>
      </c>
      <c r="I1" s="1752"/>
    </row>
    <row r="2" spans="1:12" ht="21.75" customHeight="1" thickBot="1">
      <c r="A2" s="3313" t="str">
        <f>项目基本情况!S2</f>
        <v>北京市丰台区南四环西路186号四区1号楼房地产</v>
      </c>
      <c r="B2" s="3314"/>
      <c r="C2" s="3314"/>
      <c r="D2" s="3314"/>
      <c r="E2" s="3314"/>
      <c r="F2" s="3314"/>
      <c r="G2" s="3314"/>
      <c r="H2" s="3314"/>
      <c r="I2" s="3315"/>
    </row>
    <row r="3" spans="1:12" ht="12.75">
      <c r="A3" s="3317" t="s">
        <v>1709</v>
      </c>
      <c r="B3" s="3318"/>
      <c r="C3" s="3318"/>
      <c r="D3" s="3318"/>
      <c r="E3" s="3318"/>
      <c r="F3" s="3318"/>
      <c r="G3" s="3318"/>
      <c r="H3" s="3318"/>
      <c r="I3" s="3318"/>
    </row>
    <row r="4" spans="1:12" ht="14.25">
      <c r="A4" s="1754" t="s">
        <v>1710</v>
      </c>
      <c r="B4" s="1755" t="s">
        <v>1711</v>
      </c>
      <c r="C4" s="1756" t="s">
        <v>3760</v>
      </c>
      <c r="D4" s="1756" t="s">
        <v>4223</v>
      </c>
      <c r="E4" s="3322" t="s">
        <v>1712</v>
      </c>
      <c r="F4" s="3323"/>
      <c r="G4" s="3323"/>
      <c r="H4" s="3323"/>
      <c r="I4" s="3324"/>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258" t="s">
        <v>1713</v>
      </c>
      <c r="B5" s="3316">
        <v>25</v>
      </c>
      <c r="C5" s="3319"/>
      <c r="D5" s="3307"/>
      <c r="E5" s="128" t="s">
        <v>1714</v>
      </c>
      <c r="F5" s="1757"/>
      <c r="G5" s="1757"/>
      <c r="H5" s="1757"/>
      <c r="I5" s="1410"/>
    </row>
    <row r="6" spans="1:12" ht="12.75">
      <c r="A6" s="3258"/>
      <c r="B6" s="3316"/>
      <c r="C6" s="3321"/>
      <c r="D6" s="3307"/>
      <c r="E6" s="128" t="s">
        <v>1715</v>
      </c>
      <c r="F6" s="1757"/>
      <c r="G6" s="1757"/>
      <c r="H6" s="1757"/>
      <c r="I6" s="1410"/>
    </row>
    <row r="7" spans="1:12" ht="12.75">
      <c r="A7" s="3258"/>
      <c r="B7" s="3316"/>
      <c r="C7" s="3320"/>
      <c r="D7" s="3307"/>
      <c r="E7" s="128" t="s">
        <v>1716</v>
      </c>
      <c r="F7" s="1757"/>
      <c r="G7" s="1757"/>
      <c r="H7" s="1757"/>
      <c r="I7" s="1410"/>
    </row>
    <row r="8" spans="1:12" ht="12.75">
      <c r="A8" s="3258" t="s">
        <v>1717</v>
      </c>
      <c r="B8" s="3316">
        <v>15</v>
      </c>
      <c r="C8" s="3319"/>
      <c r="D8" s="3307"/>
      <c r="E8" s="128" t="s">
        <v>1718</v>
      </c>
      <c r="F8" s="1757"/>
      <c r="G8" s="1757"/>
      <c r="H8" s="1757"/>
      <c r="I8" s="1410"/>
    </row>
    <row r="9" spans="1:12" ht="12.75">
      <c r="A9" s="3258"/>
      <c r="B9" s="3316"/>
      <c r="C9" s="3320"/>
      <c r="D9" s="3307"/>
      <c r="E9" s="128" t="s">
        <v>1719</v>
      </c>
      <c r="F9" s="1757"/>
      <c r="G9" s="1757"/>
      <c r="H9" s="1757"/>
      <c r="I9" s="1410"/>
    </row>
    <row r="10" spans="1:12" ht="12.75">
      <c r="A10" s="3258" t="s">
        <v>1720</v>
      </c>
      <c r="B10" s="3316">
        <v>15</v>
      </c>
      <c r="C10" s="3319"/>
      <c r="D10" s="3307"/>
      <c r="E10" s="128" t="s">
        <v>1721</v>
      </c>
      <c r="F10" s="1757"/>
      <c r="G10" s="1757"/>
      <c r="H10" s="1757"/>
      <c r="I10" s="1410"/>
    </row>
    <row r="11" spans="1:12" ht="12.75">
      <c r="A11" s="3258"/>
      <c r="B11" s="3316"/>
      <c r="C11" s="3320"/>
      <c r="D11" s="3307"/>
      <c r="E11" s="128" t="s">
        <v>1722</v>
      </c>
      <c r="F11" s="1757"/>
      <c r="G11" s="1757"/>
      <c r="H11" s="1757"/>
      <c r="I11" s="1410"/>
    </row>
    <row r="12" spans="1:12" ht="12.75">
      <c r="A12" s="3258" t="s">
        <v>1723</v>
      </c>
      <c r="B12" s="3316">
        <v>15</v>
      </c>
      <c r="C12" s="3319"/>
      <c r="D12" s="3307"/>
      <c r="E12" s="128" t="s">
        <v>1724</v>
      </c>
      <c r="F12" s="1757"/>
      <c r="G12" s="1757"/>
      <c r="H12" s="1757"/>
      <c r="I12" s="1410"/>
    </row>
    <row r="13" spans="1:12" ht="12.75">
      <c r="A13" s="3258"/>
      <c r="B13" s="3316"/>
      <c r="C13" s="3320"/>
      <c r="D13" s="3307"/>
      <c r="E13" s="128" t="s">
        <v>1725</v>
      </c>
      <c r="F13" s="1757"/>
      <c r="G13" s="1757"/>
      <c r="H13" s="1757"/>
      <c r="I13" s="1410"/>
    </row>
    <row r="14" spans="1:12" ht="12.75">
      <c r="A14" s="3258" t="s">
        <v>1726</v>
      </c>
      <c r="B14" s="3316">
        <v>30</v>
      </c>
      <c r="C14" s="3319">
        <v>5</v>
      </c>
      <c r="D14" s="3307">
        <v>5</v>
      </c>
      <c r="E14" s="128" t="s">
        <v>1727</v>
      </c>
      <c r="F14" s="1757"/>
      <c r="G14" s="1757"/>
      <c r="H14" s="1757"/>
      <c r="I14" s="1410"/>
    </row>
    <row r="15" spans="1:12" ht="12.75">
      <c r="A15" s="3258"/>
      <c r="B15" s="3316"/>
      <c r="C15" s="3321"/>
      <c r="D15" s="3307"/>
      <c r="E15" s="128" t="s">
        <v>1728</v>
      </c>
      <c r="F15" s="1757"/>
      <c r="G15" s="1757"/>
      <c r="H15" s="1757"/>
      <c r="I15" s="1410"/>
    </row>
    <row r="16" spans="1:12" ht="12.75">
      <c r="A16" s="3258"/>
      <c r="B16" s="3316"/>
      <c r="C16" s="3320"/>
      <c r="D16" s="3307"/>
      <c r="E16" s="128" t="s">
        <v>1729</v>
      </c>
      <c r="F16" s="1757"/>
      <c r="G16" s="1757"/>
      <c r="H16" s="1757"/>
      <c r="I16" s="1410"/>
    </row>
    <row r="17" spans="1:36" ht="15">
      <c r="A17" s="1758" t="s">
        <v>1730</v>
      </c>
      <c r="B17" s="58"/>
      <c r="C17" s="129">
        <f>SUM(C5:C16)</f>
        <v>5</v>
      </c>
      <c r="D17" s="129">
        <f>SUM(D5:D16)</f>
        <v>5</v>
      </c>
      <c r="E17" s="126"/>
      <c r="F17" s="126"/>
      <c r="G17" s="126"/>
      <c r="H17" s="126"/>
      <c r="I17" s="126"/>
      <c r="K17" s="300"/>
      <c r="L17" s="300" t="s">
        <v>1731</v>
      </c>
      <c r="M17" s="300" t="s">
        <v>1732</v>
      </c>
    </row>
    <row r="18" spans="1:36" ht="31.9" customHeight="1" thickBot="1">
      <c r="A18" s="1759" t="s">
        <v>1733</v>
      </c>
      <c r="B18" s="1672"/>
      <c r="C18" s="130">
        <f>ROUND(C17/SUM(C17:D17),2)</f>
        <v>0.5</v>
      </c>
      <c r="D18" s="130">
        <f>1-C18</f>
        <v>0.5</v>
      </c>
      <c r="E18" s="3338" t="s">
        <v>2627</v>
      </c>
      <c r="F18" s="3339"/>
      <c r="G18" s="3339"/>
      <c r="H18" s="3339"/>
      <c r="I18" s="3339"/>
      <c r="K18" s="300" t="s">
        <v>1734</v>
      </c>
      <c r="L18" s="300">
        <f>IF(C1="",'数据-汇总表'!E3,SUMIF(项目类型,C1,'数据-汇总表'!E17:E26)+SUMIF(项目类型,C1,'数据-汇总表'!I17:I26))</f>
        <v>176954.78</v>
      </c>
      <c r="M18" s="300">
        <f>IF(C1="",'数据-汇总表'!E3,SUMIF(项目类型,C1,'数据-汇总表'!E17:E26))</f>
        <v>176954.78</v>
      </c>
    </row>
    <row r="19" spans="1:36" ht="15">
      <c r="A19" s="1760" t="s">
        <v>1735</v>
      </c>
      <c r="B19" s="1761" t="s">
        <v>1736</v>
      </c>
      <c r="C19" s="131">
        <f ca="1">SUMIF(INDIRECT("'"&amp;C4&amp;"'"&amp;"!A:A"),结果表!B19,INDIRECT("'"&amp;C4&amp;"'"&amp;"!B:B"))</f>
        <v>449723</v>
      </c>
      <c r="D19" s="132">
        <f ca="1">SUMIF(INDIRECT("'"&amp;D4&amp;"'"&amp;"!A:A"),结果表!B19,INDIRECT("'"&amp;D4&amp;"'"&amp;"!B:B"))</f>
        <v>409945</v>
      </c>
      <c r="E19" s="1760" t="s">
        <v>1737</v>
      </c>
      <c r="F19" s="1761" t="s">
        <v>1736</v>
      </c>
      <c r="G19" s="133">
        <f ca="1">ROUND(C19*$C$18+D19*$D$18,0)</f>
        <v>429834</v>
      </c>
      <c r="H19" s="1762" t="s">
        <v>1738</v>
      </c>
      <c r="I19" s="126"/>
      <c r="K19" s="300" t="s">
        <v>1739</v>
      </c>
      <c r="L19" s="300">
        <f>IF(C1="",'数据-汇总表'!D3,SUMIF(项目类型,C1,'数据-汇总表'!D17:D26)+SUMIF(项目类型,C1,'数据-汇总表'!H17:H27))</f>
        <v>45717.88</v>
      </c>
      <c r="M19" s="300">
        <f>IF(C1="",'数据-汇总表'!D3,SUMIF(项目类型,C1,'数据-汇总表'!D17:D26))</f>
        <v>45717.88</v>
      </c>
    </row>
    <row r="20" spans="1:36" ht="15">
      <c r="A20" s="1763"/>
      <c r="B20" s="46" t="s">
        <v>1740</v>
      </c>
      <c r="C20" s="134">
        <f ca="1">SUMIF(INDIRECT("'"&amp;C4&amp;"'"&amp;"!A:A"),结果表!B20,INDIRECT("'"&amp;C4&amp;"'"&amp;"!B:B"))</f>
        <v>25415</v>
      </c>
      <c r="D20" s="135">
        <f ca="1">SUMIF(INDIRECT("'"&amp;D4&amp;"'"&amp;"!A:A"),结果表!B20,INDIRECT("'"&amp;D4&amp;"'"&amp;"!B:B"))</f>
        <v>23167</v>
      </c>
      <c r="E20" s="1763"/>
      <c r="F20" s="46" t="s">
        <v>1740</v>
      </c>
      <c r="G20" s="136">
        <f ca="1">ROUND(C20*$C$18+D20*$D$18,0)</f>
        <v>24291</v>
      </c>
      <c r="H20" s="845" t="s">
        <v>1741</v>
      </c>
      <c r="I20" s="126">
        <f ca="1">G19/'数据-汇总表'!F19*10000</f>
        <v>36836.165900121385</v>
      </c>
    </row>
    <row r="21" spans="1:36" ht="15" customHeight="1" thickBot="1">
      <c r="A21" s="457"/>
      <c r="B21" s="98" t="s">
        <v>1742</v>
      </c>
      <c r="C21" s="687">
        <f ca="1">ROUND(C19*10000/L19,0)</f>
        <v>98369</v>
      </c>
      <c r="D21" s="688">
        <f ca="1">ROUND(D19*10000/L19,0)</f>
        <v>89668</v>
      </c>
      <c r="E21" s="457"/>
      <c r="F21" s="98" t="s">
        <v>1742</v>
      </c>
      <c r="G21" s="137">
        <f ca="1">ROUND(G19*10000/L19,0)</f>
        <v>94019</v>
      </c>
      <c r="H21" s="1764" t="s">
        <v>1741</v>
      </c>
      <c r="I21" s="126"/>
      <c r="J21" s="693" t="s">
        <v>4228</v>
      </c>
      <c r="K21" s="3128" t="s">
        <v>4226</v>
      </c>
      <c r="L21" s="3128" t="s">
        <v>4227</v>
      </c>
      <c r="M21" s="3128" t="s">
        <v>4229</v>
      </c>
    </row>
    <row r="22" spans="1:36" ht="15" thickBot="1">
      <c r="A22" s="1694" t="s">
        <v>1743</v>
      </c>
      <c r="B22" s="1765"/>
      <c r="C22" s="1766"/>
      <c r="D22" s="689">
        <f ca="1">IF(C19&lt;D19,D19/C19-1,C19/D19-1)</f>
        <v>9.703252875385715E-2</v>
      </c>
      <c r="E22" s="126"/>
      <c r="F22" s="126"/>
      <c r="G22" s="126"/>
      <c r="H22" s="126"/>
      <c r="I22" s="126"/>
      <c r="J22" s="693" t="s">
        <v>3762</v>
      </c>
      <c r="K22" s="693">
        <v>628076</v>
      </c>
      <c r="L22" s="693">
        <v>417443</v>
      </c>
      <c r="M22" s="693">
        <v>512228</v>
      </c>
      <c r="N22" s="693" t="s">
        <v>4230</v>
      </c>
    </row>
    <row r="23" spans="1:36" ht="13.5" thickBot="1">
      <c r="A23" s="655"/>
      <c r="B23" s="655"/>
      <c r="C23" s="655"/>
      <c r="D23" s="655"/>
      <c r="E23" s="126"/>
      <c r="F23" s="126"/>
      <c r="G23" s="126"/>
      <c r="H23" s="126"/>
      <c r="I23" s="126"/>
      <c r="J23" s="693" t="s">
        <v>4224</v>
      </c>
      <c r="K23" s="693">
        <v>35494</v>
      </c>
      <c r="L23" s="693">
        <v>23590</v>
      </c>
      <c r="M23" s="693">
        <v>28947</v>
      </c>
      <c r="N23" s="693" t="s">
        <v>4231</v>
      </c>
      <c r="O23" s="693">
        <f>M22/'数据-汇总表'!F19*10000</f>
        <v>43897.215173037446</v>
      </c>
    </row>
    <row r="24" spans="1:36" ht="14.25">
      <c r="A24" s="3331" t="s">
        <v>1744</v>
      </c>
      <c r="B24" s="1761" t="s">
        <v>1736</v>
      </c>
      <c r="C24" s="133">
        <f>IF(B30=0,0,D30)</f>
        <v>0</v>
      </c>
      <c r="D24" s="1767"/>
      <c r="E24" s="126"/>
      <c r="F24" s="126"/>
      <c r="G24" s="126"/>
      <c r="H24" s="126"/>
      <c r="I24" s="126"/>
      <c r="J24" s="693" t="s">
        <v>4225</v>
      </c>
      <c r="K24" s="693">
        <v>137381</v>
      </c>
      <c r="L24" s="693">
        <v>91308</v>
      </c>
      <c r="M24" s="693">
        <v>112041</v>
      </c>
      <c r="N24" s="693" t="s">
        <v>4231</v>
      </c>
    </row>
    <row r="25" spans="1:36" ht="14.25">
      <c r="A25" s="3332"/>
      <c r="B25" s="46" t="s">
        <v>1740</v>
      </c>
      <c r="C25" s="138">
        <f>IF(B30=0,0,C30)</f>
        <v>0</v>
      </c>
      <c r="D25" s="1768"/>
      <c r="E25" s="126"/>
      <c r="F25" s="126"/>
      <c r="G25" s="126"/>
      <c r="H25" s="126"/>
      <c r="I25" s="126"/>
    </row>
    <row r="26" spans="1:36" ht="13.5" customHeight="1">
      <c r="A26" s="1769" t="s">
        <v>1745</v>
      </c>
      <c r="B26" s="139" t="s">
        <v>1746</v>
      </c>
      <c r="C26" s="139" t="s">
        <v>1747</v>
      </c>
      <c r="D26" s="140" t="s">
        <v>1748</v>
      </c>
      <c r="E26" s="126"/>
      <c r="F26" s="126"/>
      <c r="G26" s="126"/>
      <c r="H26" s="126"/>
      <c r="I26" s="126"/>
    </row>
    <row r="27" spans="1:36" ht="14.25">
      <c r="A27" s="1769"/>
      <c r="B27" s="139">
        <v>0</v>
      </c>
      <c r="C27" s="139">
        <v>0</v>
      </c>
      <c r="D27" s="140">
        <f>ROUND(C27*B27/10000,0)</f>
        <v>0</v>
      </c>
      <c r="E27" s="126"/>
      <c r="F27" s="126"/>
      <c r="G27" s="126"/>
      <c r="H27" s="126"/>
      <c r="I27" s="126"/>
    </row>
    <row r="28" spans="1:36" ht="14.25">
      <c r="A28" s="1769"/>
      <c r="B28" s="139"/>
      <c r="C28" s="139"/>
      <c r="D28" s="140"/>
      <c r="E28" s="126"/>
      <c r="F28" s="126"/>
      <c r="G28" s="126"/>
      <c r="H28" s="126"/>
      <c r="I28" s="126"/>
    </row>
    <row r="29" spans="1:36" ht="14.25">
      <c r="A29" s="1769"/>
      <c r="B29" s="139"/>
      <c r="C29" s="139"/>
      <c r="D29" s="140"/>
      <c r="E29" s="126"/>
      <c r="F29" s="126"/>
      <c r="G29" s="126"/>
      <c r="H29" s="126"/>
      <c r="I29" s="126"/>
    </row>
    <row r="30" spans="1:36" ht="15" thickBot="1">
      <c r="A30" s="139" t="s">
        <v>1749</v>
      </c>
      <c r="B30" s="139"/>
      <c r="C30" s="139"/>
      <c r="D30" s="139"/>
      <c r="E30" s="2284" t="s">
        <v>2628</v>
      </c>
      <c r="F30" s="126"/>
      <c r="G30" s="126"/>
      <c r="H30" s="126"/>
      <c r="I30" s="126"/>
    </row>
    <row r="31" spans="1:36" s="2290" customFormat="1" ht="26.45" customHeight="1" thickTop="1" thickBot="1">
      <c r="A31" s="2285"/>
      <c r="B31" s="2286"/>
      <c r="C31" s="2286"/>
      <c r="D31" s="2286"/>
      <c r="E31" s="2286"/>
      <c r="F31" s="2286"/>
      <c r="G31" s="2286"/>
      <c r="H31" s="2286"/>
      <c r="I31" s="2287" t="s">
        <v>2629</v>
      </c>
      <c r="J31" s="2625"/>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6.5" thickTop="1" thickBot="1">
      <c r="A32" s="1770" t="s">
        <v>1750</v>
      </c>
      <c r="B32" s="1665"/>
      <c r="C32" s="141">
        <f ca="1">IF(D32="总价",G19-C24,G20-C25)</f>
        <v>429834</v>
      </c>
      <c r="D32" s="1771" t="s">
        <v>3762</v>
      </c>
      <c r="E32" s="126"/>
      <c r="F32" s="126"/>
      <c r="G32" s="126"/>
      <c r="H32" s="126"/>
      <c r="I32" s="126"/>
    </row>
    <row r="33" spans="1:15" ht="15">
      <c r="A33" s="824" t="s">
        <v>1751</v>
      </c>
      <c r="B33" s="128"/>
      <c r="C33" s="1772" t="s">
        <v>3761</v>
      </c>
      <c r="D33" s="1773" t="s">
        <v>3760</v>
      </c>
      <c r="E33" s="1774" t="s">
        <v>1752</v>
      </c>
      <c r="F33" s="1775" t="str">
        <f>IF(D32="楼面单价","取值（单价）","取值（总价）")</f>
        <v>取值（总价）</v>
      </c>
      <c r="G33" s="126"/>
      <c r="H33" s="126"/>
      <c r="I33" s="126"/>
    </row>
    <row r="34" spans="1:15" ht="15">
      <c r="A34" s="1776"/>
      <c r="B34" s="1777" t="s">
        <v>1753</v>
      </c>
      <c r="C34" s="145">
        <f ca="1">IF(C33="自定义",F34,C32-C35)</f>
        <v>316358</v>
      </c>
      <c r="D34" s="893">
        <f ca="1">IF(C33="自定义",ROUND(C34/C32,3),IF(C33="收益比率",SUMIF(INDIRECT("'"&amp;D33&amp;"'"&amp;"!b:b"),"土地收益比率",INDIRECT("'"&amp;D33&amp;"'"&amp;"!c:c")),SUMIF(INDIRECT("'"&amp;D33&amp;"'"&amp;"!b:b"),"土地成本比率",INDIRECT("'"&amp;D33&amp;"'"&amp;"!c:c"))))</f>
        <v>0.73599999999999999</v>
      </c>
      <c r="E34" s="1778" t="s">
        <v>1754</v>
      </c>
      <c r="F34" s="1358"/>
      <c r="G34" s="126"/>
      <c r="H34" s="126"/>
      <c r="I34" s="126"/>
    </row>
    <row r="35" spans="1:15" ht="15.75" thickBot="1">
      <c r="A35" s="1779"/>
      <c r="B35" s="1780" t="s">
        <v>1755</v>
      </c>
      <c r="C35" s="1200">
        <f ca="1">IF(C33="自定义",F35,ROUND(C32*D35,0))</f>
        <v>113476</v>
      </c>
      <c r="D35" s="1201">
        <f ca="1">IF(C33="自定义",ROUND(C35/C32,3),IF(C33="收益比率",SUMIF(INDIRECT("'"&amp;D33&amp;"'"&amp;"!b:b"),"建筑物收益比率",INDIRECT("'"&amp;D33&amp;"'"&amp;"!c:c")),SUMIF(INDIRECT("'"&amp;D33&amp;"'"&amp;"!b:b"),"建筑物成本比率",INDIRECT("'"&amp;D33&amp;"'"&amp;"!c:c"))))</f>
        <v>0.26400000000000001</v>
      </c>
      <c r="E35" s="1781" t="s">
        <v>1756</v>
      </c>
      <c r="F35" s="151"/>
      <c r="G35" s="126"/>
      <c r="H35" s="126"/>
      <c r="I35" s="126"/>
    </row>
    <row r="36" spans="1:15" ht="15.75" thickBot="1">
      <c r="A36" s="3308" t="s">
        <v>1757</v>
      </c>
      <c r="B36" s="1782" t="s">
        <v>1758</v>
      </c>
      <c r="C36" s="142"/>
      <c r="D36" s="1783"/>
      <c r="E36" s="1697"/>
      <c r="F36" s="1784"/>
      <c r="G36" s="126"/>
      <c r="H36" s="126"/>
      <c r="I36" s="126"/>
    </row>
    <row r="37" spans="1:15" ht="15.75" thickBot="1">
      <c r="A37" s="3309"/>
      <c r="B37" s="1685" t="s">
        <v>1759</v>
      </c>
      <c r="C37" s="144"/>
      <c r="D37" s="1181"/>
      <c r="E37" s="1181"/>
      <c r="F37" s="1784"/>
      <c r="G37" s="126"/>
      <c r="H37" s="126"/>
      <c r="I37" s="126"/>
    </row>
    <row r="38" spans="1:15" ht="15.75" thickBot="1">
      <c r="A38" s="3310"/>
      <c r="B38" s="1785" t="s">
        <v>1760</v>
      </c>
      <c r="C38" s="650"/>
      <c r="D38" s="1786" t="s">
        <v>1761</v>
      </c>
      <c r="E38" s="1181"/>
      <c r="F38" s="1784"/>
      <c r="G38" s="126"/>
      <c r="H38" s="126"/>
      <c r="I38" s="126"/>
    </row>
    <row r="39" spans="1:15" ht="15">
      <c r="A39" s="1763" t="s">
        <v>1762</v>
      </c>
      <c r="B39" s="1787" t="s">
        <v>1763</v>
      </c>
      <c r="C39" s="1788" t="s">
        <v>1764</v>
      </c>
      <c r="D39" s="1788" t="s">
        <v>1765</v>
      </c>
      <c r="E39" s="1789" t="s">
        <v>1766</v>
      </c>
      <c r="F39" s="1784"/>
      <c r="G39" s="126"/>
      <c r="H39" s="126"/>
      <c r="I39" s="126"/>
    </row>
    <row r="40" spans="1:15" ht="14.25">
      <c r="A40" s="1790" t="s">
        <v>1767</v>
      </c>
      <c r="B40" s="146"/>
      <c r="C40" s="147"/>
      <c r="D40" s="147"/>
      <c r="E40" s="148"/>
      <c r="F40" s="1784"/>
      <c r="G40" s="126"/>
      <c r="H40" s="126"/>
      <c r="I40" s="126"/>
    </row>
    <row r="41" spans="1:15" ht="14.25">
      <c r="A41" s="1790" t="s">
        <v>1768</v>
      </c>
      <c r="B41" s="146"/>
      <c r="C41" s="147"/>
      <c r="D41" s="147"/>
      <c r="E41" s="148"/>
      <c r="F41" s="1784"/>
      <c r="G41" s="126"/>
      <c r="H41" s="126"/>
      <c r="I41" s="126"/>
    </row>
    <row r="42" spans="1:15" ht="15" thickBot="1">
      <c r="A42" s="1791"/>
      <c r="B42" s="149"/>
      <c r="C42" s="150"/>
      <c r="D42" s="150"/>
      <c r="E42" s="151"/>
      <c r="F42" s="1784"/>
      <c r="G42" s="126"/>
      <c r="H42" s="126"/>
      <c r="I42" s="126"/>
    </row>
    <row r="43" spans="1:15" ht="12.75">
      <c r="A43" s="1597"/>
      <c r="B43" s="1597"/>
      <c r="C43" s="1597"/>
      <c r="D43" s="1597"/>
      <c r="E43" s="1597"/>
      <c r="F43" s="1792"/>
      <c r="G43" s="1792"/>
      <c r="H43" s="1792"/>
      <c r="I43" s="1793"/>
    </row>
    <row r="44" spans="1:15" ht="18.75">
      <c r="A44" s="1594" t="s">
        <v>1769</v>
      </c>
      <c r="B44" s="1794"/>
      <c r="C44" s="1794"/>
      <c r="D44" s="1795"/>
      <c r="E44" s="1795"/>
      <c r="F44" s="1796"/>
      <c r="G44" s="1796"/>
      <c r="H44" s="1796"/>
      <c r="I44" s="1796"/>
      <c r="J44" s="1797" t="s">
        <v>1770</v>
      </c>
      <c r="K44" s="7"/>
      <c r="L44" s="7"/>
      <c r="M44" s="7"/>
      <c r="N44" s="7"/>
      <c r="O44" s="7"/>
    </row>
    <row r="45" spans="1:15" ht="14.25" customHeight="1" thickBot="1">
      <c r="A45" s="3328" t="s">
        <v>1771</v>
      </c>
      <c r="B45" s="3329"/>
      <c r="C45" s="3330"/>
      <c r="D45" s="152">
        <f ca="1">ROUND(H101*F45,0)</f>
        <v>429834</v>
      </c>
      <c r="E45" s="153" t="s">
        <v>1772</v>
      </c>
      <c r="F45" s="154">
        <v>1</v>
      </c>
      <c r="G45" s="155" t="s">
        <v>1773</v>
      </c>
      <c r="H45" s="126"/>
      <c r="I45" s="126"/>
      <c r="J45" s="3245" t="s">
        <v>1774</v>
      </c>
      <c r="K45" s="3245"/>
      <c r="L45" s="3245"/>
      <c r="M45" s="3245"/>
      <c r="N45" s="3245"/>
      <c r="O45" s="3245"/>
    </row>
    <row r="46" spans="1:15" ht="14.25" customHeight="1">
      <c r="A46" s="3325" t="s">
        <v>1775</v>
      </c>
      <c r="B46" s="3326"/>
      <c r="C46" s="3326"/>
      <c r="D46" s="3326"/>
      <c r="E46" s="3326"/>
      <c r="F46" s="3326"/>
      <c r="G46" s="3327"/>
      <c r="H46" s="1798"/>
      <c r="I46" s="156"/>
      <c r="J46" s="2472">
        <v>1</v>
      </c>
      <c r="K46" s="3246" t="s">
        <v>1776</v>
      </c>
      <c r="L46" s="3246"/>
      <c r="M46" s="3247"/>
      <c r="N46" s="3247"/>
      <c r="O46" s="3247"/>
    </row>
    <row r="47" spans="1:15" ht="12" customHeight="1">
      <c r="A47" s="157" t="s">
        <v>1777</v>
      </c>
      <c r="B47" s="158"/>
      <c r="C47" s="159"/>
      <c r="D47" s="1132" t="s">
        <v>1778</v>
      </c>
      <c r="E47" s="300" t="s">
        <v>1779</v>
      </c>
      <c r="F47" s="160" t="s">
        <v>1780</v>
      </c>
      <c r="G47" s="2495" t="s">
        <v>1781</v>
      </c>
      <c r="H47" s="2496"/>
      <c r="I47" s="156"/>
      <c r="J47" s="2472">
        <v>2</v>
      </c>
      <c r="K47" s="3246" t="s">
        <v>1782</v>
      </c>
      <c r="L47" s="3246"/>
      <c r="M47" s="3248">
        <f>'数据-取费表'!B2</f>
        <v>44890</v>
      </c>
      <c r="N47" s="3248"/>
      <c r="O47" s="3248"/>
    </row>
    <row r="48" spans="1:15" ht="25.5">
      <c r="A48" s="3311" t="s">
        <v>1783</v>
      </c>
      <c r="B48" s="3312"/>
      <c r="C48" s="3312"/>
      <c r="D48" s="15" t="b">
        <f>IF(H48="情况1",0,IF(H48="情况2",D52,IF(H48="情况3",D53,IF(H48="情况4",D54))))</f>
        <v>0</v>
      </c>
      <c r="E48" s="1385" t="str">
        <f>IF(H48="情况4","(销售额-原购置价)×税（费）率","销售额×税（费）率")</f>
        <v>销售额×税（费）率</v>
      </c>
      <c r="F48" s="2497">
        <f>IF(H48="情况1","免征",'数据-取费表'!B41)</f>
        <v>5.6000000000000001E-2</v>
      </c>
      <c r="G48" s="2498" t="s">
        <v>1784</v>
      </c>
      <c r="H48" s="2499"/>
      <c r="I48" s="1798"/>
      <c r="J48" s="2472">
        <v>3</v>
      </c>
      <c r="K48" s="3246" t="s">
        <v>1785</v>
      </c>
      <c r="L48" s="3246"/>
      <c r="M48" s="3249">
        <f ca="1">H101</f>
        <v>429834</v>
      </c>
      <c r="N48" s="3249"/>
      <c r="O48" s="3249"/>
    </row>
    <row r="49" spans="1:35" ht="25.5" customHeight="1">
      <c r="A49" s="2314" t="s">
        <v>1786</v>
      </c>
      <c r="B49" s="3294" t="s">
        <v>1787</v>
      </c>
      <c r="C49" s="3294"/>
      <c r="D49" s="1608">
        <v>0</v>
      </c>
      <c r="E49" s="322" t="s">
        <v>1788</v>
      </c>
      <c r="F49" s="2394" t="s">
        <v>34</v>
      </c>
      <c r="G49" s="3277"/>
      <c r="H49" s="2291" t="s">
        <v>2630</v>
      </c>
      <c r="I49" s="2292"/>
      <c r="J49" s="2472">
        <v>4</v>
      </c>
      <c r="K49" s="3246" t="str">
        <f>IF(项目基本情况!E8="房地产抵押价值","房地产抵押价值","抵押担保权已注销时的房地产抵押价值")</f>
        <v>房地产抵押价值</v>
      </c>
      <c r="L49" s="3246"/>
      <c r="M49" s="3249">
        <f ca="1">IF(项目基本情况!E8="房地产抵押价值",H107,H109)</f>
        <v>429834</v>
      </c>
      <c r="N49" s="3249"/>
      <c r="O49" s="3249"/>
    </row>
    <row r="50" spans="1:35" ht="25.5" customHeight="1">
      <c r="A50" s="2500"/>
      <c r="B50" s="3294" t="s">
        <v>1789</v>
      </c>
      <c r="C50" s="3294"/>
      <c r="D50" s="2351"/>
      <c r="E50" s="329"/>
      <c r="F50" s="2394"/>
      <c r="G50" s="3278"/>
      <c r="H50" s="2293" t="s">
        <v>2631</v>
      </c>
      <c r="I50" s="2292"/>
      <c r="J50" s="3245" t="s">
        <v>1790</v>
      </c>
      <c r="K50" s="3245"/>
      <c r="L50" s="3245"/>
      <c r="M50" s="3245"/>
      <c r="N50" s="3245"/>
      <c r="O50" s="3245"/>
    </row>
    <row r="51" spans="1:35" ht="20.45" customHeight="1">
      <c r="A51" s="2501"/>
      <c r="B51" s="3294" t="s">
        <v>1791</v>
      </c>
      <c r="C51" s="3294"/>
      <c r="D51" s="1132"/>
      <c r="E51" s="325"/>
      <c r="F51" s="2394"/>
      <c r="G51" s="3279"/>
      <c r="H51" s="2293" t="s">
        <v>2632</v>
      </c>
      <c r="I51" s="2292"/>
      <c r="J51" s="2473" t="s">
        <v>1792</v>
      </c>
      <c r="K51" s="3246" t="s">
        <v>1793</v>
      </c>
      <c r="L51" s="3246"/>
      <c r="M51" s="2473" t="s">
        <v>1794</v>
      </c>
      <c r="N51" s="2473" t="s">
        <v>1795</v>
      </c>
      <c r="O51" s="2473" t="s">
        <v>1796</v>
      </c>
    </row>
    <row r="52" spans="1:35" ht="24" customHeight="1">
      <c r="A52" s="2315" t="s">
        <v>1797</v>
      </c>
      <c r="B52" s="3294" t="s">
        <v>1798</v>
      </c>
      <c r="C52" s="3294"/>
      <c r="D52" s="1132">
        <f ca="1">ROUND(D45*'数据-取费表'!B41/(1+'数据-取费表'!C42),0)</f>
        <v>22924</v>
      </c>
      <c r="E52" s="1385" t="s">
        <v>1799</v>
      </c>
      <c r="F52" s="2502">
        <f>'数据-取费表'!B41</f>
        <v>5.6000000000000001E-2</v>
      </c>
      <c r="G52" s="2503"/>
      <c r="H52" s="2493"/>
      <c r="I52" s="1799"/>
      <c r="J52" s="2472">
        <v>1</v>
      </c>
      <c r="K52" s="3271" t="s">
        <v>1800</v>
      </c>
      <c r="L52" s="3271"/>
      <c r="M52" s="2474" t="b">
        <f>D48</f>
        <v>0</v>
      </c>
      <c r="N52" s="2472" t="str">
        <f>E48</f>
        <v>销售额×税（费）率</v>
      </c>
      <c r="O52" s="2475">
        <f>F48</f>
        <v>5.6000000000000001E-2</v>
      </c>
    </row>
    <row r="53" spans="1:35" ht="12" customHeight="1">
      <c r="A53" s="2315" t="s">
        <v>1801</v>
      </c>
      <c r="B53" s="3295" t="s">
        <v>2785</v>
      </c>
      <c r="C53" s="3296"/>
      <c r="D53" s="1132">
        <f ca="1">ROUND(D45*'数据-取费表'!B41/(1+'数据-取费表'!C42),0)</f>
        <v>22924</v>
      </c>
      <c r="E53" s="1385" t="s">
        <v>1799</v>
      </c>
      <c r="F53" s="2502">
        <f>'数据-取费表'!B41</f>
        <v>5.6000000000000001E-2</v>
      </c>
      <c r="G53" s="2503"/>
      <c r="H53" s="2493"/>
      <c r="I53" s="1799"/>
      <c r="J53" s="2472">
        <v>2</v>
      </c>
      <c r="K53" s="3271" t="s">
        <v>1802</v>
      </c>
      <c r="L53" s="3271"/>
      <c r="M53" s="2474">
        <f t="shared" ref="M53:O54" ca="1" si="0">D55</f>
        <v>215</v>
      </c>
      <c r="N53" s="2472" t="str">
        <f t="shared" si="0"/>
        <v>销售额×税（费）率</v>
      </c>
      <c r="O53" s="2475" t="str">
        <f t="shared" si="0"/>
        <v>免征</v>
      </c>
    </row>
    <row r="54" spans="1:35" ht="12" customHeight="1">
      <c r="A54" s="2315" t="s">
        <v>1803</v>
      </c>
      <c r="B54" s="3295" t="s">
        <v>2786</v>
      </c>
      <c r="C54" s="3296"/>
      <c r="D54" s="1132">
        <f ca="1">C68</f>
        <v>22924</v>
      </c>
      <c r="E54" s="325" t="s">
        <v>1804</v>
      </c>
      <c r="F54" s="2502">
        <f>'数据-取费表'!B41</f>
        <v>5.6000000000000001E-2</v>
      </c>
      <c r="G54" s="2503"/>
      <c r="H54" s="2504"/>
      <c r="I54" s="1799"/>
      <c r="J54" s="2472">
        <v>3</v>
      </c>
      <c r="K54" s="3271" t="s">
        <v>1805</v>
      </c>
      <c r="L54" s="3271"/>
      <c r="M54" s="2474">
        <f t="shared" ca="1" si="0"/>
        <v>243286</v>
      </c>
      <c r="N54" s="2472" t="str">
        <f t="shared" si="0"/>
        <v>增值额×税（费）率</v>
      </c>
      <c r="O54" s="2476" t="str">
        <f t="shared" si="0"/>
        <v>免征</v>
      </c>
    </row>
    <row r="55" spans="1:35" ht="24" customHeight="1">
      <c r="A55" s="3334" t="s">
        <v>1806</v>
      </c>
      <c r="B55" s="3312"/>
      <c r="C55" s="3312"/>
      <c r="D55" s="15">
        <f ca="1">IF(H55="个人住宅",0,ROUND(D45*I55,0))</f>
        <v>215</v>
      </c>
      <c r="E55" s="1385" t="s">
        <v>1807</v>
      </c>
      <c r="F55" s="2502" t="str">
        <f>IF(H55="正常",I55,"免征")</f>
        <v>免征</v>
      </c>
      <c r="G55" s="2503"/>
      <c r="H55" s="2499"/>
      <c r="I55" s="162">
        <f>'数据-取费表'!B49</f>
        <v>5.0000000000000001E-4</v>
      </c>
      <c r="J55" s="2472">
        <f>IF(H59="非个人房产","",4)</f>
        <v>4</v>
      </c>
      <c r="K55" s="3271" t="str">
        <f>IF(H59="非个人房产","——","个人所得税")</f>
        <v>个人所得税</v>
      </c>
      <c r="L55" s="3271"/>
      <c r="M55" s="2477">
        <f ca="1">D59</f>
        <v>4094</v>
      </c>
      <c r="N55" s="2014" t="str">
        <f>E59</f>
        <v>差额计税</v>
      </c>
      <c r="O55" s="2478">
        <f>F59</f>
        <v>0.01</v>
      </c>
    </row>
    <row r="56" spans="1:35" ht="24.75">
      <c r="A56" s="3334" t="s">
        <v>1808</v>
      </c>
      <c r="B56" s="3312"/>
      <c r="C56" s="3312"/>
      <c r="D56" s="15">
        <f ca="1">IF(H56="个人住宅",D57,D58)</f>
        <v>243286</v>
      </c>
      <c r="E56" s="1385" t="s">
        <v>1809</v>
      </c>
      <c r="F56" s="2502" t="str">
        <f>IF(H56="正常",F58,"免征")</f>
        <v>免征</v>
      </c>
      <c r="G56" s="2505" t="s">
        <v>1810</v>
      </c>
      <c r="H56" s="2506"/>
      <c r="I56" s="1800"/>
      <c r="J56" s="2472" t="str">
        <f>IF(项目基本情况!K6="上海银行",IF(J55="",4,J55+1),"")</f>
        <v/>
      </c>
      <c r="K56" s="3252" t="str">
        <f>IF(项目基本情况!K6="上海银行","其他处置费用","")</f>
        <v/>
      </c>
      <c r="L56" s="3253"/>
      <c r="M56" s="2474" t="str">
        <f>IF(项目基本情况!K6="上海银行",M69,"")</f>
        <v/>
      </c>
      <c r="N56" s="3252" t="str">
        <f>IF(项目基本情况!K6="上海银行","包含处置中涉及的律师、诉讼、拍卖、评估等费用","")</f>
        <v/>
      </c>
      <c r="O56" s="3255"/>
    </row>
    <row r="57" spans="1:35" ht="12.75">
      <c r="A57" s="2315" t="s">
        <v>1786</v>
      </c>
      <c r="B57" s="3295" t="s">
        <v>1811</v>
      </c>
      <c r="C57" s="3296"/>
      <c r="D57" s="1608">
        <v>0</v>
      </c>
      <c r="E57" s="322" t="s">
        <v>1788</v>
      </c>
      <c r="F57" s="300"/>
      <c r="G57" s="2503"/>
      <c r="H57" s="2507"/>
      <c r="I57" s="1800"/>
      <c r="J57" s="3271">
        <f>IF(AND(J55="",J56=""),4,IF(项目基本情况!K6="上海银行",结果表!J56+1,结果表!J55+1))</f>
        <v>5</v>
      </c>
      <c r="K57" s="3271" t="s">
        <v>1812</v>
      </c>
      <c r="L57" s="2479" t="s">
        <v>1813</v>
      </c>
      <c r="M57" s="2480"/>
      <c r="N57" s="2481">
        <f ca="1">SUMIF(M52:M56,"&lt;9e307")</f>
        <v>247595</v>
      </c>
      <c r="O57" s="2482"/>
      <c r="P57" s="2626">
        <f ca="1">N57/M49</f>
        <v>0.57602469790663369</v>
      </c>
    </row>
    <row r="58" spans="1:35" ht="24.75">
      <c r="A58" s="2315" t="s">
        <v>1797</v>
      </c>
      <c r="B58" s="3295" t="s">
        <v>1814</v>
      </c>
      <c r="C58" s="3294"/>
      <c r="D58" s="15">
        <f ca="1">IF(H58="转让取得",C81,C97)</f>
        <v>243286</v>
      </c>
      <c r="E58" s="1385" t="s">
        <v>1809</v>
      </c>
      <c r="F58" s="300" t="s">
        <v>34</v>
      </c>
      <c r="G58" s="2503"/>
      <c r="H58" s="2506"/>
      <c r="I58" s="1800"/>
      <c r="J58" s="3271"/>
      <c r="K58" s="3271"/>
      <c r="L58" s="2479" t="s">
        <v>1815</v>
      </c>
      <c r="M58" s="2483"/>
      <c r="N58" s="2484" t="str">
        <f ca="1">NUMBERSTRING(INT(N57*10000),2)&amp;"元整"</f>
        <v>贰拾肆亿柒仟伍佰玖拾伍万元整</v>
      </c>
      <c r="O58" s="2485"/>
    </row>
    <row r="59" spans="1:35" ht="24.75" thickBot="1">
      <c r="A59" s="3275" t="s">
        <v>1816</v>
      </c>
      <c r="B59" s="3276"/>
      <c r="C59" s="3276"/>
      <c r="D59" s="2508">
        <f ca="1">IF(H59="非个人房产","——",IF(H59="个人住宅（满五唯一有凭证）",0,IF(H59="个人其他（无凭证）",ROUND(D45*F59,0),ROUND(C67*F59,0))))</f>
        <v>4094</v>
      </c>
      <c r="E59" s="2509" t="str">
        <f>IF(H59="非个人房产","——",IF(H59="个人其他（无凭证）","销售额×税（费）率",IF(H59="个人住宅（满五唯一有凭证）","免征","差额计税")))</f>
        <v>差额计税</v>
      </c>
      <c r="F59" s="2510">
        <f>IF(OR(H59="非个人房产",H59="个人住宅（满五唯一有凭证）"),"——",IF(H59="个人其他（有凭证）",20%,1%))</f>
        <v>0.01</v>
      </c>
      <c r="G59" s="2511" t="s">
        <v>1810</v>
      </c>
      <c r="H59" s="2295"/>
      <c r="I59" s="2294" t="s">
        <v>2633</v>
      </c>
      <c r="J59" s="3273">
        <f>J57+1</f>
        <v>6</v>
      </c>
      <c r="K59" s="3271" t="s">
        <v>1817</v>
      </c>
      <c r="L59" s="2472" t="s">
        <v>1813</v>
      </c>
      <c r="M59" s="2486"/>
      <c r="N59" s="2487">
        <f ca="1">M49-N57</f>
        <v>182239</v>
      </c>
      <c r="O59" s="2488"/>
    </row>
    <row r="60" spans="1:35" ht="12" customHeight="1">
      <c r="A60" s="1801"/>
      <c r="B60" s="655"/>
      <c r="C60" s="655"/>
      <c r="D60" s="655"/>
      <c r="E60" s="1596"/>
      <c r="F60" s="1800"/>
      <c r="G60" s="1800"/>
      <c r="H60" s="156"/>
      <c r="I60" s="126"/>
      <c r="J60" s="3274"/>
      <c r="K60" s="3271"/>
      <c r="L60" s="2479" t="s">
        <v>1815</v>
      </c>
      <c r="M60" s="2483"/>
      <c r="N60" s="2484" t="str">
        <f ca="1">NUMBERSTRING(INT(N59*10000),2)&amp;"元整"</f>
        <v>壹拾捌亿贰仟贰佰叁拾玖万元整</v>
      </c>
      <c r="O60" s="2485"/>
    </row>
    <row r="61" spans="1:35" ht="13.5" thickBot="1">
      <c r="A61" s="3333" t="s">
        <v>1818</v>
      </c>
      <c r="B61" s="3333"/>
      <c r="C61" s="3333"/>
      <c r="D61" s="3333"/>
      <c r="E61" s="3333"/>
      <c r="F61" s="1800"/>
      <c r="G61" s="1800"/>
      <c r="H61" s="156"/>
      <c r="I61" s="126"/>
      <c r="J61" s="2472">
        <f>J59+1</f>
        <v>7</v>
      </c>
      <c r="K61" s="3271" t="s">
        <v>1819</v>
      </c>
      <c r="L61" s="3271"/>
      <c r="M61" s="2489"/>
      <c r="N61" s="2490">
        <f ca="1">ROUND(N59*10000/'数据-汇总表'!E3,0)</f>
        <v>10299</v>
      </c>
      <c r="O61" s="2491"/>
    </row>
    <row r="62" spans="1:35" ht="12.75">
      <c r="A62" s="3290" t="s">
        <v>1820</v>
      </c>
      <c r="B62" s="3291"/>
      <c r="C62" s="1997"/>
      <c r="D62" s="1997" t="s">
        <v>1821</v>
      </c>
      <c r="E62" s="163" t="s">
        <v>1822</v>
      </c>
      <c r="F62" s="1800"/>
      <c r="G62" s="1800"/>
      <c r="H62" s="156"/>
      <c r="I62" s="126"/>
    </row>
    <row r="63" spans="1:35" ht="12.75">
      <c r="A63" s="170" t="s">
        <v>594</v>
      </c>
      <c r="B63" s="164" t="s">
        <v>1823</v>
      </c>
      <c r="C63" s="2512">
        <f ca="1">ROUND((C64+C65)/(1+'数据-取费表'!C42),0)</f>
        <v>409366</v>
      </c>
      <c r="D63" s="164"/>
      <c r="E63" s="165"/>
      <c r="F63" s="1800"/>
      <c r="G63" s="1800"/>
      <c r="H63" s="156"/>
      <c r="I63" s="126"/>
      <c r="J63" s="3254" t="s">
        <v>1824</v>
      </c>
      <c r="K63" s="1360" t="s">
        <v>1825</v>
      </c>
      <c r="L63" s="1360">
        <f ca="1">IF(M49&gt;10000,M49*0.5%,IF(AND(M49&gt;1000,M49&lt;=10000),M49*1%,IF(AND(M49&gt;100,M49&lt;=1000),M49*3%,IF(AND(M49&gt;10,M49&lt;=100),M49*5%,M49*8%))))</f>
        <v>2149.17</v>
      </c>
      <c r="M63" s="300">
        <f ca="1">ROUND(L63,1)</f>
        <v>2149.1999999999998</v>
      </c>
      <c r="N63" s="2492"/>
      <c r="Z63" s="1753"/>
      <c r="AI63" s="1691"/>
    </row>
    <row r="64" spans="1:35" ht="14.25" customHeight="1">
      <c r="A64" s="166" t="s">
        <v>589</v>
      </c>
      <c r="B64" s="167" t="s">
        <v>1826</v>
      </c>
      <c r="C64" s="2513">
        <f ca="1">D45</f>
        <v>429834</v>
      </c>
      <c r="D64" s="167" t="s">
        <v>32</v>
      </c>
      <c r="E64" s="169"/>
      <c r="F64" s="1800"/>
      <c r="G64" s="1800"/>
      <c r="H64" s="156"/>
      <c r="I64" s="126"/>
      <c r="J64" s="3254"/>
      <c r="K64" s="1360" t="s">
        <v>1827</v>
      </c>
      <c r="L64" s="1360">
        <f ca="1">IF(M49&gt;2000,M49*0.5%,IF(AND(M49&gt;1000,M49&lt;=2000),M49*0.6%,IF(AND(M49&gt;500,M49&lt;=1000),M49*0.7%,IF(AND(M49&gt;200,M49&lt;=500),M49*0.8%,IF(AND(M49&gt;100,M49&lt;=200),M49*0.9%,IF(AND(M49&gt;50,M49&lt;=100),M49*1%,IF(AND(M49&gt;20,M49&lt;=50),M49*1.5%,IF(AND(M49&gt;10,M49&lt;=20),M49*2%,IF(AND(M49&gt;1,M49&lt;=10),M49*2.5%)))))))))</f>
        <v>2149.17</v>
      </c>
      <c r="M64" s="300">
        <f t="shared" ref="M64:M65" ca="1" si="1">ROUND(L64,1)</f>
        <v>2149.1999999999998</v>
      </c>
      <c r="N64" s="2493" t="s">
        <v>1828</v>
      </c>
      <c r="Z64" s="1753"/>
      <c r="AI64" s="1691"/>
    </row>
    <row r="65" spans="1:35" ht="14.25" customHeight="1">
      <c r="A65" s="166" t="s">
        <v>590</v>
      </c>
      <c r="B65" s="167" t="s">
        <v>1829</v>
      </c>
      <c r="C65" s="2514"/>
      <c r="D65" s="167"/>
      <c r="E65" s="169"/>
      <c r="F65" s="1800"/>
      <c r="G65" s="1800"/>
      <c r="H65" s="156"/>
      <c r="I65" s="126"/>
      <c r="J65" s="3254"/>
      <c r="K65" s="1360" t="s">
        <v>1830</v>
      </c>
      <c r="L65" s="1360">
        <f ca="1">IF(M49&gt;1000,M49*0.1%,IF(AND(M49&gt;500,M49&lt;=1000),M49*0.5%,IF(AND(M49&gt;50,M49&lt;=500),M49*1%,IF(AND(M49&gt;1,M49&lt;=50),M49*1.5%))))</f>
        <v>429.834</v>
      </c>
      <c r="M65" s="300">
        <f t="shared" ca="1" si="1"/>
        <v>429.8</v>
      </c>
      <c r="N65" s="2493" t="s">
        <v>1828</v>
      </c>
      <c r="Z65" s="1753"/>
      <c r="AI65" s="1691"/>
    </row>
    <row r="66" spans="1:35" ht="14.25" customHeight="1">
      <c r="A66" s="170" t="s">
        <v>591</v>
      </c>
      <c r="B66" s="171" t="s">
        <v>1831</v>
      </c>
      <c r="C66" s="2515"/>
      <c r="D66" s="171" t="s">
        <v>32</v>
      </c>
      <c r="E66" s="1367" t="s">
        <v>1096</v>
      </c>
      <c r="F66" s="1800"/>
      <c r="G66" s="1800"/>
      <c r="H66" s="156"/>
      <c r="I66" s="126"/>
      <c r="J66" s="3254"/>
      <c r="K66" s="1360" t="s">
        <v>1832</v>
      </c>
      <c r="L66" s="1360">
        <f ca="1">M49*0.5%</f>
        <v>2149.17</v>
      </c>
      <c r="M66" s="300">
        <f ca="1">IF(L66&gt;0.5,0.5,ROUND(L66,0))</f>
        <v>0.5</v>
      </c>
      <c r="N66" s="2493" t="s">
        <v>1833</v>
      </c>
      <c r="Z66" s="1753"/>
      <c r="AI66" s="1691"/>
    </row>
    <row r="67" spans="1:35" ht="14.25" customHeight="1">
      <c r="A67" s="170" t="s">
        <v>592</v>
      </c>
      <c r="B67" s="171" t="s">
        <v>1834</v>
      </c>
      <c r="C67" s="2516">
        <f ca="1">C63-C66</f>
        <v>409366</v>
      </c>
      <c r="D67" s="167" t="s">
        <v>32</v>
      </c>
      <c r="E67" s="169"/>
      <c r="F67" s="1800"/>
      <c r="G67" s="1800"/>
      <c r="H67" s="156"/>
      <c r="I67" s="126"/>
      <c r="J67" s="3254"/>
      <c r="K67" s="1360" t="s">
        <v>1835</v>
      </c>
      <c r="L67" s="1360">
        <f ca="1">IF(M49&gt;=10000,(8.25+(M49-10000)*0.01%),IF(AND(M49&gt;=8000,M49&lt;10000),(7.85+(M49-8000)*0.02%),IF(AND(M49&gt;=5000,M49&lt;8000),(6.65+(M49-5000)*0.04%),IF(AND(M49&gt;=2000,M49&lt;5000),(4.25+(PM49-2000)*0.08%),IF(AND(M49&gt;=1000,M49&lt;2000),(2.75+(M49-1000)*0.15%),IF(AND(M49&gt;=100,M49&lt;1000),(0.5+(M49-100)*0.25%),IF(AND(M49&gt;0,M49&lt;100),M49*0.5%)))))))</f>
        <v>50.233400000000003</v>
      </c>
      <c r="M67" s="300">
        <f ca="1">ROUND(L67*0.9,1)</f>
        <v>45.2</v>
      </c>
      <c r="N67" s="2492"/>
      <c r="Z67" s="1753"/>
      <c r="AI67" s="1691"/>
    </row>
    <row r="68" spans="1:35" ht="14.25" customHeight="1" thickBot="1">
      <c r="A68" s="173" t="s">
        <v>593</v>
      </c>
      <c r="B68" s="174" t="s">
        <v>1836</v>
      </c>
      <c r="C68" s="2517">
        <f ca="1">IF(C67&lt;=0,0,ROUND(C67*D68,0))</f>
        <v>22924</v>
      </c>
      <c r="D68" s="2518">
        <f>'数据-取费表'!B41</f>
        <v>5.6000000000000001E-2</v>
      </c>
      <c r="E68" s="176"/>
      <c r="F68" s="1800"/>
      <c r="G68" s="1800"/>
      <c r="H68" s="156"/>
      <c r="I68" s="126"/>
      <c r="J68" s="3254"/>
      <c r="K68" s="1360" t="s">
        <v>1837</v>
      </c>
      <c r="L68" s="1360">
        <f ca="1">IF(M49&gt;10000,M49*0.5%,IF(AND(M49&gt;5000,M49&lt;=10000),M49*1%,IF(AND(M49&gt;1000,M49&lt;=5000),M49*2%,IF(AND(M49&gt;200,M49&lt;=1000),M49*3%,M49*5%))))</f>
        <v>2149.17</v>
      </c>
      <c r="M68" s="300">
        <f ca="1">ROUND(L68,1)</f>
        <v>2149.1999999999998</v>
      </c>
      <c r="N68" s="2492"/>
      <c r="Z68" s="1753"/>
      <c r="AI68" s="1691"/>
    </row>
    <row r="69" spans="1:35" ht="16.5" customHeight="1">
      <c r="A69" s="1802"/>
      <c r="B69" s="1803"/>
      <c r="C69" s="1804"/>
      <c r="D69" s="1805"/>
      <c r="E69" s="1806"/>
      <c r="F69" s="1596"/>
      <c r="G69" s="1596"/>
      <c r="H69" s="1597"/>
      <c r="I69" s="655"/>
      <c r="J69" s="3254"/>
      <c r="K69" s="1360" t="s">
        <v>1838</v>
      </c>
      <c r="L69" s="1360"/>
      <c r="M69" s="300">
        <f ca="1">ROUND(SUM(M63:M68),0)</f>
        <v>6923</v>
      </c>
      <c r="N69" s="2494">
        <f ca="1">M69/M49</f>
        <v>1.6106217749177591E-2</v>
      </c>
      <c r="Z69" s="1753"/>
      <c r="AI69" s="1691"/>
    </row>
    <row r="70" spans="1:35" s="651" customFormat="1" ht="15" thickBot="1">
      <c r="A70" s="3298" t="s">
        <v>1839</v>
      </c>
      <c r="B70" s="3299"/>
      <c r="C70" s="3299"/>
      <c r="D70" s="3299"/>
      <c r="E70" s="3299"/>
      <c r="F70" s="3299"/>
      <c r="G70" s="3299"/>
      <c r="H70" s="3299"/>
      <c r="I70" s="1807"/>
      <c r="J70" s="467"/>
      <c r="K70" s="467"/>
      <c r="L70" s="467"/>
      <c r="M70" s="467"/>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651" customFormat="1" ht="14.25">
      <c r="A71" s="3290" t="s">
        <v>1820</v>
      </c>
      <c r="B71" s="3291"/>
      <c r="C71" s="1997"/>
      <c r="D71" s="1997" t="s">
        <v>1821</v>
      </c>
      <c r="E71" s="177" t="s">
        <v>1822</v>
      </c>
      <c r="F71" s="178"/>
      <c r="G71" s="178"/>
      <c r="H71" s="179"/>
      <c r="I71" s="1810"/>
      <c r="J71" s="467"/>
      <c r="K71" s="467"/>
      <c r="L71" s="467"/>
      <c r="M71" s="467"/>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651" customFormat="1" ht="14.25">
      <c r="A72" s="170" t="s">
        <v>594</v>
      </c>
      <c r="B72" s="171" t="s">
        <v>1840</v>
      </c>
      <c r="C72" s="2516">
        <f ca="1">ROUND(D45/(1+'数据-取费表'!C42),0)</f>
        <v>409366</v>
      </c>
      <c r="D72" s="167" t="s">
        <v>32</v>
      </c>
      <c r="E72" s="1386"/>
      <c r="F72" s="1384"/>
      <c r="G72" s="1384"/>
      <c r="H72" s="180"/>
      <c r="I72" s="1810"/>
      <c r="J72" s="467"/>
      <c r="K72" s="467"/>
      <c r="L72" s="467"/>
      <c r="M72" s="467"/>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651" customFormat="1" ht="14.25">
      <c r="A73" s="170" t="s">
        <v>591</v>
      </c>
      <c r="B73" s="160" t="s">
        <v>1841</v>
      </c>
      <c r="C73" s="2516">
        <f ca="1">C74+C78</f>
        <v>2456</v>
      </c>
      <c r="D73" s="167" t="s">
        <v>32</v>
      </c>
      <c r="E73" s="1386"/>
      <c r="F73" s="1384"/>
      <c r="G73" s="1384"/>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651" customFormat="1" ht="24">
      <c r="A74" s="166" t="s">
        <v>589</v>
      </c>
      <c r="B74" s="167" t="s">
        <v>1842</v>
      </c>
      <c r="C74" s="167">
        <f>ROUND(IF(G77="2016年5月1日后购买",C75/(1+'数据-取费表'!C42)+C76+C77,C75+C76+C77),0)</f>
        <v>0</v>
      </c>
      <c r="D74" s="167" t="s">
        <v>32</v>
      </c>
      <c r="E74" s="1386"/>
      <c r="F74" s="1384"/>
      <c r="G74" s="1384"/>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651" customFormat="1" ht="14.25">
      <c r="A75" s="166" t="s">
        <v>595</v>
      </c>
      <c r="B75" s="167" t="s">
        <v>1843</v>
      </c>
      <c r="C75" s="2519"/>
      <c r="D75" s="167" t="s">
        <v>32</v>
      </c>
      <c r="E75" s="182" t="s">
        <v>1844</v>
      </c>
      <c r="F75" s="2520"/>
      <c r="G75" s="182" t="s">
        <v>1845</v>
      </c>
      <c r="H75" s="2521"/>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651" customFormat="1" ht="24.75" customHeight="1">
      <c r="A76" s="166" t="s">
        <v>596</v>
      </c>
      <c r="B76" s="183" t="s">
        <v>1846</v>
      </c>
      <c r="C76" s="167">
        <f>IF(F75="购房发票",ROUND(C75*H75*D76,0),0)</f>
        <v>0</v>
      </c>
      <c r="D76" s="2522">
        <v>0.05</v>
      </c>
      <c r="E76" s="3295" t="s">
        <v>1847</v>
      </c>
      <c r="F76" s="3294"/>
      <c r="G76" s="3294"/>
      <c r="H76" s="3297"/>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651" customFormat="1" ht="24.75" customHeight="1">
      <c r="A77" s="166" t="s">
        <v>597</v>
      </c>
      <c r="B77" s="167" t="s">
        <v>1848</v>
      </c>
      <c r="C77" s="167">
        <f>ROUND(IF(G77="个人住宅",0,IF(G77="2016年5月1日前购买",C75*D77,C75*D77/(1+'数据-取费表'!C42))),0)</f>
        <v>0</v>
      </c>
      <c r="D77" s="2523">
        <f>'数据-取费表'!B48+'数据-取费表'!B49</f>
        <v>3.0499999999999999E-2</v>
      </c>
      <c r="E77" s="15" t="s">
        <v>1849</v>
      </c>
      <c r="F77" s="184"/>
      <c r="G77" s="1812"/>
      <c r="H77" s="2313"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651" customFormat="1" ht="24.75" customHeight="1">
      <c r="A78" s="166" t="s">
        <v>590</v>
      </c>
      <c r="B78" s="167" t="s">
        <v>1850</v>
      </c>
      <c r="C78" s="2524">
        <f ca="1">ROUND(D45*D78/(1+'数据-取费表'!C42),0)</f>
        <v>2456</v>
      </c>
      <c r="D78" s="2525">
        <f>'数据-取费表'!B43</f>
        <v>6.000000000000001E-3</v>
      </c>
      <c r="E78" s="3287" t="s">
        <v>1851</v>
      </c>
      <c r="F78" s="3288"/>
      <c r="G78" s="3288"/>
      <c r="H78" s="3289"/>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651" customFormat="1" ht="14.25">
      <c r="A79" s="170" t="s">
        <v>598</v>
      </c>
      <c r="B79" s="171" t="s">
        <v>1852</v>
      </c>
      <c r="C79" s="2516">
        <f ca="1">C72-C73</f>
        <v>406910</v>
      </c>
      <c r="D79" s="167" t="s">
        <v>32</v>
      </c>
      <c r="E79" s="1386"/>
      <c r="F79" s="1384"/>
      <c r="G79" s="1384"/>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651" customFormat="1" ht="24">
      <c r="A80" s="170" t="s">
        <v>599</v>
      </c>
      <c r="B80" s="171" t="s">
        <v>1853</v>
      </c>
      <c r="C80" s="2526">
        <f ca="1">IF(C79&lt;=0,0,C79/C73)</f>
        <v>165.67996742671011</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4"/>
      <c r="G80" s="1384"/>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651" customFormat="1" ht="24.75" thickBot="1">
      <c r="A81" s="173" t="s">
        <v>600</v>
      </c>
      <c r="B81" s="174" t="s">
        <v>1854</v>
      </c>
      <c r="C81" s="2527">
        <f ca="1">ROUND(IF(C79&lt;=0,0,IF(C80&gt;=200%,C79*60%-C73*35%,IF(C80&gt;=100%,C79*50%-C73*15%,IF(C80&gt;=50%,C79*40%-C73*5%,IF(C80&lt;50%,C79*30%,0))))),0)</f>
        <v>243286</v>
      </c>
      <c r="D81" s="252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651" customFormat="1" ht="7.5" customHeight="1">
      <c r="A82" s="7"/>
      <c r="B82" s="656"/>
      <c r="C82" s="7"/>
      <c r="D82" s="7"/>
      <c r="E82" s="656"/>
      <c r="F82" s="656"/>
      <c r="G82" s="656"/>
      <c r="H82" s="657"/>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651" customFormat="1" ht="15" thickBot="1">
      <c r="A83" s="3298" t="s">
        <v>1855</v>
      </c>
      <c r="B83" s="3299"/>
      <c r="C83" s="3299"/>
      <c r="D83" s="3299"/>
      <c r="E83" s="3299"/>
      <c r="F83" s="3299"/>
      <c r="G83" s="3299"/>
      <c r="H83" s="3299"/>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651" customFormat="1" ht="14.25">
      <c r="A84" s="3290" t="s">
        <v>1820</v>
      </c>
      <c r="B84" s="3291"/>
      <c r="C84" s="1997"/>
      <c r="D84" s="1997" t="s">
        <v>1821</v>
      </c>
      <c r="E84" s="177" t="s">
        <v>1822</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651" customFormat="1" ht="14.25">
      <c r="A85" s="170" t="s">
        <v>594</v>
      </c>
      <c r="B85" s="171" t="s">
        <v>1840</v>
      </c>
      <c r="C85" s="2516">
        <f ca="1">ROUND(D45/(1+'数据-取费表'!C42),0)</f>
        <v>409366</v>
      </c>
      <c r="D85" s="167" t="s">
        <v>32</v>
      </c>
      <c r="E85" s="1386"/>
      <c r="F85" s="1384"/>
      <c r="G85" s="1384"/>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651" customFormat="1" ht="14.25">
      <c r="A86" s="170" t="s">
        <v>591</v>
      </c>
      <c r="B86" s="160" t="s">
        <v>1841</v>
      </c>
      <c r="C86" s="2516">
        <f ca="1">IF(H88="仅含出让金",C87+C90+C91+C92+C93+C94,C87+C91+C92+C93+C94)</f>
        <v>2456</v>
      </c>
      <c r="D86" s="2529"/>
      <c r="E86" s="1386"/>
      <c r="F86" s="1384"/>
      <c r="G86" s="1384"/>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651" customFormat="1" ht="14.25">
      <c r="A87" s="166" t="s">
        <v>589</v>
      </c>
      <c r="B87" s="167" t="s">
        <v>1856</v>
      </c>
      <c r="C87" s="2524">
        <f>C88+C89</f>
        <v>0</v>
      </c>
      <c r="D87" s="2525"/>
      <c r="E87" s="2309"/>
      <c r="F87" s="2310"/>
      <c r="G87" s="2310"/>
      <c r="H87" s="231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651" customFormat="1" ht="14.25">
      <c r="A88" s="166" t="s">
        <v>595</v>
      </c>
      <c r="B88" s="167" t="s">
        <v>1857</v>
      </c>
      <c r="C88" s="2530"/>
      <c r="D88" s="2525"/>
      <c r="E88" s="191" t="s">
        <v>1858</v>
      </c>
      <c r="F88" s="2310"/>
      <c r="G88" s="192" t="s">
        <v>1859</v>
      </c>
      <c r="H88" s="1814"/>
      <c r="I88" s="1811"/>
      <c r="J88" s="2470" t="s">
        <v>2782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651" customFormat="1" ht="14.25">
      <c r="A89" s="166" t="s">
        <v>596</v>
      </c>
      <c r="B89" s="167" t="s">
        <v>1848</v>
      </c>
      <c r="C89" s="2524">
        <f>ROUND(C88*D89,0)</f>
        <v>0</v>
      </c>
      <c r="D89" s="2525">
        <f>'数据-取费表'!B48+'数据-取费表'!B49</f>
        <v>3.0499999999999999E-2</v>
      </c>
      <c r="E89" s="191" t="s">
        <v>1860</v>
      </c>
      <c r="F89" s="2310"/>
      <c r="G89" s="2310"/>
      <c r="H89" s="231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651" customFormat="1" ht="14.25">
      <c r="A90" s="166" t="s">
        <v>590</v>
      </c>
      <c r="B90" s="167" t="s">
        <v>1861</v>
      </c>
      <c r="C90" s="2530"/>
      <c r="D90" s="2525"/>
      <c r="E90" s="191" t="str">
        <f>IF(H88="-","土地取得成本中已包含该笔费用"," ")</f>
        <v xml:space="preserve"> </v>
      </c>
      <c r="F90" s="2310"/>
      <c r="G90" s="3256" t="s">
        <v>2625</v>
      </c>
      <c r="H90" s="3257"/>
      <c r="I90" s="1811"/>
      <c r="J90" s="2470" t="s">
        <v>2783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651" customFormat="1" ht="27.75" customHeight="1">
      <c r="A91" s="166" t="s">
        <v>1862</v>
      </c>
      <c r="B91" s="167" t="s">
        <v>1863</v>
      </c>
      <c r="C91" s="2524">
        <f>IF(H91="——",成本法!C33,I91)</f>
        <v>0</v>
      </c>
      <c r="D91" s="2525"/>
      <c r="E91" s="3287" t="s">
        <v>1864</v>
      </c>
      <c r="F91" s="3288"/>
      <c r="G91" s="3288"/>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651" customFormat="1" ht="25.5" customHeight="1">
      <c r="A92" s="166" t="s">
        <v>1865</v>
      </c>
      <c r="B92" s="167" t="s">
        <v>1866</v>
      </c>
      <c r="C92" s="2524">
        <f>ROUND((C87+C90+C91)*D92,0)</f>
        <v>0</v>
      </c>
      <c r="D92" s="2531"/>
      <c r="E92" s="3287" t="s">
        <v>1867</v>
      </c>
      <c r="F92" s="3288"/>
      <c r="G92" s="3288"/>
      <c r="H92" s="3289"/>
      <c r="I92" s="1811"/>
      <c r="J92" s="2471" t="s">
        <v>2784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651" customFormat="1" ht="25.5" customHeight="1">
      <c r="A93" s="166" t="s">
        <v>1868</v>
      </c>
      <c r="B93" s="167" t="s">
        <v>1850</v>
      </c>
      <c r="C93" s="2524">
        <f ca="1">ROUND(D45*D93/(1+'数据-取费表'!C42),0)</f>
        <v>2456</v>
      </c>
      <c r="D93" s="2525">
        <f>'数据-取费表'!B43</f>
        <v>6.000000000000001E-3</v>
      </c>
      <c r="E93" s="3287" t="s">
        <v>1851</v>
      </c>
      <c r="F93" s="3288"/>
      <c r="G93" s="3288"/>
      <c r="H93" s="3289"/>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651" customFormat="1" ht="36.75" customHeight="1">
      <c r="A94" s="166" t="s">
        <v>1869</v>
      </c>
      <c r="B94" s="167" t="s">
        <v>1870</v>
      </c>
      <c r="C94" s="2530">
        <f>ROUND((C87+C90+C91)*D94,0)</f>
        <v>0</v>
      </c>
      <c r="D94" s="2525">
        <v>0.2</v>
      </c>
      <c r="E94" s="3335" t="s">
        <v>1871</v>
      </c>
      <c r="F94" s="3336"/>
      <c r="G94" s="3336"/>
      <c r="H94" s="3337"/>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651" customFormat="1" ht="14.25">
      <c r="A95" s="170" t="s">
        <v>598</v>
      </c>
      <c r="B95" s="171" t="s">
        <v>1852</v>
      </c>
      <c r="C95" s="2516">
        <f ca="1">ROUND(C85-C86,0)</f>
        <v>406910</v>
      </c>
      <c r="D95" s="167" t="s">
        <v>32</v>
      </c>
      <c r="E95" s="1386"/>
      <c r="F95" s="1384"/>
      <c r="G95" s="1384"/>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651" customFormat="1" ht="24">
      <c r="A96" s="170" t="s">
        <v>599</v>
      </c>
      <c r="B96" s="171" t="s">
        <v>1853</v>
      </c>
      <c r="C96" s="2526">
        <f ca="1">IF(C95&lt;=0,0,C95/C86)</f>
        <v>165.67996742671011</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4"/>
      <c r="G96" s="1384"/>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651" customFormat="1" ht="24.75" thickBot="1">
      <c r="A97" s="173" t="s">
        <v>600</v>
      </c>
      <c r="B97" s="174" t="s">
        <v>1854</v>
      </c>
      <c r="C97" s="2527">
        <f ca="1">ROUND(IF(C95&lt;=0,0,IF(C96&gt;=200%,C95*60%-C86*35%,IF(C96&gt;=100%,C95*50%-C86*15%,IF(C96&gt;=50%,C95*40%-C86*5%,IF(C96&lt;50%,C95*30%,0))))),0)</f>
        <v>243286</v>
      </c>
      <c r="D97" s="252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801"/>
      <c r="B98" s="655"/>
      <c r="C98" s="655"/>
      <c r="D98" s="655"/>
      <c r="E98" s="1596"/>
      <c r="F98" s="1596"/>
      <c r="G98" s="1596"/>
      <c r="H98" s="1597"/>
      <c r="I98" s="126"/>
    </row>
    <row r="99" spans="1:35" ht="21.75" customHeight="1" thickBot="1">
      <c r="A99" s="1594" t="s">
        <v>1872</v>
      </c>
      <c r="B99" s="655"/>
      <c r="C99" s="655"/>
      <c r="D99" s="655"/>
      <c r="E99" s="1596"/>
      <c r="F99" s="1596"/>
      <c r="G99" s="1596"/>
      <c r="H99" s="1597"/>
      <c r="I99" s="126"/>
    </row>
    <row r="100" spans="1:35" ht="18.75" customHeight="1">
      <c r="A100" s="3237" t="s">
        <v>1873</v>
      </c>
      <c r="B100" s="3238"/>
      <c r="C100" s="3238"/>
      <c r="D100" s="3272"/>
      <c r="E100" s="3238" t="s">
        <v>1874</v>
      </c>
      <c r="F100" s="3238"/>
      <c r="G100" s="3238"/>
      <c r="H100" s="3272"/>
      <c r="I100" s="126"/>
    </row>
    <row r="101" spans="1:35" ht="18.75" customHeight="1">
      <c r="A101" s="3280" t="s">
        <v>1875</v>
      </c>
      <c r="B101" s="3281"/>
      <c r="C101" s="2533" t="str">
        <f>C4</f>
        <v>成本法</v>
      </c>
      <c r="D101" s="2534" t="str">
        <f>D4</f>
        <v>收益法（汇总）</v>
      </c>
      <c r="E101" s="3250" t="s">
        <v>1876</v>
      </c>
      <c r="F101" s="3251"/>
      <c r="G101" s="1817" t="s">
        <v>1877</v>
      </c>
      <c r="H101" s="2543">
        <f ca="1">H118</f>
        <v>429834</v>
      </c>
      <c r="I101" s="126"/>
    </row>
    <row r="102" spans="1:35" ht="18.75" customHeight="1">
      <c r="A102" s="3282" t="s">
        <v>1878</v>
      </c>
      <c r="B102" s="2532" t="s">
        <v>1877</v>
      </c>
      <c r="C102" s="2533">
        <f ca="1">C19</f>
        <v>449723</v>
      </c>
      <c r="D102" s="2534">
        <f ca="1">D19</f>
        <v>409945</v>
      </c>
      <c r="E102" s="3250"/>
      <c r="F102" s="3251"/>
      <c r="G102" s="1817" t="s">
        <v>1879</v>
      </c>
      <c r="H102" s="2503">
        <f ca="1">I118</f>
        <v>24291</v>
      </c>
      <c r="I102" s="126"/>
    </row>
    <row r="103" spans="1:35" ht="42.75" customHeight="1">
      <c r="A103" s="3282"/>
      <c r="B103" s="2532" t="s">
        <v>1879</v>
      </c>
      <c r="C103" s="2535">
        <f ca="1">C20</f>
        <v>25415</v>
      </c>
      <c r="D103" s="2536">
        <f ca="1">D20</f>
        <v>23167</v>
      </c>
      <c r="E103" s="3243" t="s">
        <v>1880</v>
      </c>
      <c r="F103" s="3244"/>
      <c r="G103" s="1818" t="s">
        <v>1881</v>
      </c>
      <c r="H103" s="2543">
        <f>IF(D36="正常操作",H104+H105+H106,H105+H106)</f>
        <v>0</v>
      </c>
      <c r="I103" s="126"/>
    </row>
    <row r="104" spans="1:35" ht="18.75" customHeight="1">
      <c r="A104" s="3282" t="s">
        <v>1882</v>
      </c>
      <c r="B104" s="2537" t="s">
        <v>1877</v>
      </c>
      <c r="C104" s="2538">
        <f ca="1">H118</f>
        <v>429834</v>
      </c>
      <c r="D104" s="2539"/>
      <c r="E104" s="1685" t="s">
        <v>1883</v>
      </c>
      <c r="F104" s="1678"/>
      <c r="G104" s="1818" t="s">
        <v>1881</v>
      </c>
      <c r="H104" s="2544">
        <f>IF(D36="同一抵押权人同一抵押物续贷",C36&amp;"（续贷，未扣减，详见特别提示）",C36)</f>
        <v>0</v>
      </c>
      <c r="I104" s="126"/>
    </row>
    <row r="105" spans="1:35" ht="18.75" customHeight="1" thickBot="1">
      <c r="A105" s="3292"/>
      <c r="B105" s="2540" t="s">
        <v>1879</v>
      </c>
      <c r="C105" s="2541">
        <f ca="1">I118</f>
        <v>24291</v>
      </c>
      <c r="D105" s="2542"/>
      <c r="E105" s="1685" t="s">
        <v>1884</v>
      </c>
      <c r="F105" s="1678"/>
      <c r="G105" s="1818" t="s">
        <v>1881</v>
      </c>
      <c r="H105" s="2545">
        <f>C37</f>
        <v>0</v>
      </c>
      <c r="I105" s="126"/>
    </row>
    <row r="106" spans="1:35" ht="18.75" customHeight="1">
      <c r="A106" s="655" t="s">
        <v>1885</v>
      </c>
      <c r="B106" s="655"/>
      <c r="C106" s="655"/>
      <c r="D106" s="655"/>
      <c r="E106" s="1819" t="s">
        <v>1886</v>
      </c>
      <c r="F106" s="1678"/>
      <c r="G106" s="1818" t="s">
        <v>1881</v>
      </c>
      <c r="H106" s="2545">
        <f>C38</f>
        <v>0</v>
      </c>
      <c r="I106" s="126"/>
    </row>
    <row r="107" spans="1:35" ht="18.75" customHeight="1">
      <c r="A107" s="126"/>
      <c r="B107" s="126"/>
      <c r="C107" s="126"/>
      <c r="D107" s="126"/>
      <c r="E107" s="3283" t="str">
        <f>IF(项目基本情况!E8="已注销","——","3.房地产抵押价值")</f>
        <v>3.房地产抵押价值</v>
      </c>
      <c r="F107" s="3251"/>
      <c r="G107" s="1817" t="s">
        <v>1877</v>
      </c>
      <c r="H107" s="2543">
        <f ca="1">IF(E107="——","——",H101-H103)</f>
        <v>429834</v>
      </c>
      <c r="I107" s="126"/>
    </row>
    <row r="108" spans="1:35" ht="18.75" customHeight="1">
      <c r="A108" s="126"/>
      <c r="B108" s="126"/>
      <c r="C108" s="126"/>
      <c r="D108" s="126"/>
      <c r="E108" s="3283"/>
      <c r="F108" s="3251"/>
      <c r="G108" s="1817" t="s">
        <v>1879</v>
      </c>
      <c r="H108" s="2503">
        <f ca="1">ROUND(H107*10000/'数据-汇总表'!E3,0)</f>
        <v>24291</v>
      </c>
      <c r="I108" s="126"/>
    </row>
    <row r="109" spans="1:35" ht="18.75" customHeight="1">
      <c r="A109" s="126"/>
      <c r="B109" s="126"/>
      <c r="C109" s="126"/>
      <c r="D109" s="126"/>
      <c r="E109" s="3283" t="str">
        <f>IF(项目基本情况!E8="已注销及未注销","4.抵押担保权已注销时的房地产抵押价值",IF(项目基本情况!E8="已注销","3.抵押担保权已注销时的房地产抵押价值","——"))</f>
        <v>——</v>
      </c>
      <c r="F109" s="3251"/>
      <c r="G109" s="1817" t="s">
        <v>1877</v>
      </c>
      <c r="H109" s="2546" t="str">
        <f>IF(E109="——","——",H101-H105-H106)</f>
        <v>——</v>
      </c>
      <c r="I109" s="126"/>
    </row>
    <row r="110" spans="1:35" ht="18.75" customHeight="1">
      <c r="A110" s="126"/>
      <c r="B110" s="126"/>
      <c r="C110" s="126"/>
      <c r="D110" s="126"/>
      <c r="E110" s="3283"/>
      <c r="F110" s="3251"/>
      <c r="G110" s="1817" t="s">
        <v>1879</v>
      </c>
      <c r="H110" s="2503" t="str">
        <f>IF(H109="——","——",ROUND(H109*10000/'数据-汇总表'!E3,0))</f>
        <v>——</v>
      </c>
      <c r="I110" s="126"/>
    </row>
    <row r="111" spans="1:35" ht="18.75" customHeight="1">
      <c r="A111" s="126"/>
      <c r="B111" s="126"/>
      <c r="C111" s="126"/>
      <c r="D111" s="126"/>
      <c r="E111" s="3284" t="str">
        <f>IF(项目基本情况!E9="抵押净值",IF(OR(项目基本情况!E8="已注销",项目基本情况!E8="房地产抵押价值"),"4.抵押净值","5.抵押净值"),"——")</f>
        <v>——</v>
      </c>
      <c r="F111" s="3270"/>
      <c r="G111" s="1817" t="s">
        <v>1877</v>
      </c>
      <c r="H111" s="2543" t="str">
        <f>IF(E111="——","——",N59)</f>
        <v>——</v>
      </c>
      <c r="I111" s="126"/>
    </row>
    <row r="112" spans="1:35" ht="18.75" customHeight="1" thickBot="1">
      <c r="A112" s="126"/>
      <c r="B112" s="126"/>
      <c r="C112" s="126"/>
      <c r="D112" s="126"/>
      <c r="E112" s="3285"/>
      <c r="F112" s="3286"/>
      <c r="G112" s="1820" t="s">
        <v>1879</v>
      </c>
      <c r="H112" s="2547" t="str">
        <f>IF(E111="——","——",N61)</f>
        <v>——</v>
      </c>
      <c r="I112" s="126"/>
    </row>
    <row r="113" spans="1:27" ht="18.75" customHeight="1">
      <c r="A113" s="126"/>
      <c r="B113" s="126"/>
      <c r="C113" s="126"/>
      <c r="D113" s="126"/>
      <c r="E113" s="3293" t="s">
        <v>1885</v>
      </c>
      <c r="F113" s="3293"/>
      <c r="G113" s="3293"/>
      <c r="H113" s="3293"/>
      <c r="I113" s="126"/>
    </row>
    <row r="114" spans="1:27" ht="3.75" customHeight="1">
      <c r="A114" s="655"/>
      <c r="B114" s="655"/>
      <c r="C114" s="655"/>
      <c r="D114" s="655"/>
      <c r="E114" s="1801"/>
      <c r="F114" s="1801"/>
      <c r="G114" s="1801"/>
      <c r="H114" s="1801"/>
      <c r="I114" s="655"/>
    </row>
    <row r="115" spans="1:27" ht="18.75" customHeight="1">
      <c r="A115" s="3304" t="s">
        <v>1887</v>
      </c>
      <c r="B115" s="3305"/>
      <c r="C115" s="3305"/>
      <c r="D115" s="3305"/>
      <c r="E115" s="3305"/>
      <c r="F115" s="3305"/>
      <c r="G115" s="3305"/>
      <c r="H115" s="3305"/>
      <c r="I115" s="3306"/>
    </row>
    <row r="116" spans="1:27" ht="27" customHeight="1">
      <c r="A116" s="3258" t="s">
        <v>1888</v>
      </c>
      <c r="B116" s="3262" t="s">
        <v>4232</v>
      </c>
      <c r="C116" s="3262" t="s">
        <v>4233</v>
      </c>
      <c r="D116" s="3268" t="s">
        <v>4234</v>
      </c>
      <c r="E116" s="3269"/>
      <c r="F116" s="3300" t="s">
        <v>4235</v>
      </c>
      <c r="G116" s="3300"/>
      <c r="H116" s="3258" t="s">
        <v>1889</v>
      </c>
      <c r="I116" s="3258"/>
    </row>
    <row r="117" spans="1:27" ht="18.75" customHeight="1">
      <c r="A117" s="3258"/>
      <c r="B117" s="3263"/>
      <c r="C117" s="3263"/>
      <c r="D117" s="2312" t="s">
        <v>1890</v>
      </c>
      <c r="E117" s="2312" t="s">
        <v>1891</v>
      </c>
      <c r="F117" s="2312" t="s">
        <v>1890</v>
      </c>
      <c r="G117" s="2312" t="s">
        <v>1892</v>
      </c>
      <c r="H117" s="2312" t="s">
        <v>1890</v>
      </c>
      <c r="I117" s="2312" t="s">
        <v>1892</v>
      </c>
    </row>
    <row r="118" spans="1:27" ht="24.75" customHeight="1">
      <c r="A118" s="2548" t="str">
        <f>项目基本情况!S2</f>
        <v>北京市丰台区南四环西路186号四区1号楼房地产</v>
      </c>
      <c r="B118" s="2312">
        <f>M18</f>
        <v>176954.78</v>
      </c>
      <c r="C118" s="2312">
        <f>M19</f>
        <v>45717.88</v>
      </c>
      <c r="D118" s="2312">
        <f ca="1">ROUND(IF(D32="总价",C34,E118*B118/10000),0)</f>
        <v>316358</v>
      </c>
      <c r="E118" s="2312">
        <f ca="1">ROUND(IF(C33="自定义",IF(D32="楼面单价",C34,D118*10000/B118),I118-G118),0)</f>
        <v>17878</v>
      </c>
      <c r="F118" s="2312">
        <f ca="1">ROUND(IF(D32="总价",C35,G118*B118/10000),0)</f>
        <v>113476</v>
      </c>
      <c r="G118" s="2312">
        <f ca="1">ROUND(IF(D32="楼面单价",C35,F118*10000/B118),0)</f>
        <v>6413</v>
      </c>
      <c r="H118" s="2312">
        <f ca="1">ROUND(IF(D32="总价",C32,I118*B118/10000),0)</f>
        <v>429834</v>
      </c>
      <c r="I118" s="2312">
        <f ca="1">ROUND(IF(D32="楼面单价",C32,H118*10000/B118),0)</f>
        <v>24291</v>
      </c>
    </row>
    <row r="119" spans="1:27" ht="18.75" customHeight="1">
      <c r="A119" s="3258" t="s">
        <v>1893</v>
      </c>
      <c r="B119" s="3258"/>
      <c r="C119" s="3258"/>
      <c r="D119" s="3264" t="str">
        <f ca="1">NUMBERSTRING(INT(D118*10000),2)&amp;"元整"</f>
        <v>叁拾壹亿陆仟叁佰伍拾捌万元整</v>
      </c>
      <c r="E119" s="3265"/>
      <c r="F119" s="3264" t="str">
        <f ca="1">NUMBERSTRING(INT(F118*10000),2)&amp;"元整"</f>
        <v>壹拾壹亿叁仟肆佰柒拾陆万元整</v>
      </c>
      <c r="G119" s="3265"/>
      <c r="H119" s="3264" t="str">
        <f ca="1">NUMBERSTRING(INT(H118*10000),2)&amp;"元整"</f>
        <v>肆拾贰亿玖仟捌佰叁拾肆万元整</v>
      </c>
      <c r="I119" s="3265"/>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753"/>
      <c r="K120" s="1753" t="str">
        <f>IF(D120=0,"故，本次评估不存在"&amp;A120,"故，本次评估"&amp;A120&amp;"为人民币"&amp;D120&amp;"万元整。")</f>
        <v>故，本次评估不存在估价师知悉的法定优先受偿款</v>
      </c>
      <c r="L120" s="1753"/>
      <c r="M120" s="1753"/>
      <c r="N120" s="1753"/>
      <c r="O120" s="1753"/>
      <c r="P120" s="1753"/>
      <c r="Q120" s="1753"/>
      <c r="R120" s="1753"/>
      <c r="S120" s="1753"/>
    </row>
    <row r="121" spans="1:27" ht="18.75" customHeight="1">
      <c r="A121" s="3301" t="s">
        <v>1893</v>
      </c>
      <c r="B121" s="3302"/>
      <c r="C121" s="3303"/>
      <c r="D121" s="3264" t="str">
        <f>IF(D120=0,"零元整",NUMBERSTRING(INT(D120*10000),2)&amp;"元整")</f>
        <v>零元整</v>
      </c>
      <c r="E121" s="3266"/>
      <c r="F121" s="3266"/>
      <c r="G121" s="3266"/>
      <c r="H121" s="3266"/>
      <c r="I121" s="3265"/>
      <c r="AA121" s="693"/>
    </row>
    <row r="122" spans="1:27" ht="18.75" customHeight="1">
      <c r="A122" s="3270" t="str">
        <f>IF(项目基本情况!B9="房地产市场价值","",MID(E107,3,LEN(E107)-2))</f>
        <v>房地产抵押价值</v>
      </c>
      <c r="B122" s="3270"/>
      <c r="C122" s="3270"/>
      <c r="D122" s="3259">
        <f ca="1">H107</f>
        <v>429834</v>
      </c>
      <c r="E122" s="3260"/>
      <c r="F122" s="3260"/>
      <c r="G122" s="3260"/>
      <c r="H122" s="3260"/>
      <c r="I122" s="3261"/>
      <c r="AA122" s="693"/>
    </row>
    <row r="123" spans="1:27" ht="18.75" customHeight="1">
      <c r="A123" s="3258" t="s">
        <v>1893</v>
      </c>
      <c r="B123" s="3258"/>
      <c r="C123" s="3258"/>
      <c r="D123" s="3264" t="str">
        <f ca="1">NUMBERSTRING(INT(D122*10000),2)&amp;"元整"</f>
        <v>肆拾贰亿玖仟捌佰叁拾肆万元整</v>
      </c>
      <c r="E123" s="3266"/>
      <c r="F123" s="3266"/>
      <c r="G123" s="3266"/>
      <c r="H123" s="3266"/>
      <c r="I123" s="3265"/>
      <c r="AA123" s="693"/>
    </row>
    <row r="124" spans="1:27" ht="18.75" customHeight="1">
      <c r="A124" s="3270" t="str">
        <f>IF(项目基本情况!B9="房地产市场价值","",MID(E109,3,LEN(E109)-2))</f>
        <v/>
      </c>
      <c r="B124" s="3270"/>
      <c r="C124" s="3270"/>
      <c r="D124" s="3259" t="str">
        <f>H109</f>
        <v>——</v>
      </c>
      <c r="E124" s="3260"/>
      <c r="F124" s="3260"/>
      <c r="G124" s="3260"/>
      <c r="H124" s="3260"/>
      <c r="I124" s="3261"/>
      <c r="AA124" s="693"/>
    </row>
    <row r="125" spans="1:27" ht="18.75" customHeight="1">
      <c r="A125" s="3258" t="s">
        <v>1893</v>
      </c>
      <c r="B125" s="3258"/>
      <c r="C125" s="3258"/>
      <c r="D125" s="3264" t="e">
        <f>NUMBERSTRING(INT(D124*10000),2)&amp;"元整"</f>
        <v>#VALUE!</v>
      </c>
      <c r="E125" s="3266"/>
      <c r="F125" s="3266"/>
      <c r="G125" s="3266"/>
      <c r="H125" s="3266"/>
      <c r="I125" s="3265"/>
      <c r="AA125" s="693"/>
    </row>
    <row r="126" spans="1:27" ht="18.75" customHeight="1">
      <c r="A126" s="3270" t="str">
        <f>IF(项目基本情况!B9="房地产市场价值","",MID(E111,3,LEN(E111)-2))</f>
        <v/>
      </c>
      <c r="B126" s="3270"/>
      <c r="C126" s="3270"/>
      <c r="D126" s="3259" t="str">
        <f>H111</f>
        <v>——</v>
      </c>
      <c r="E126" s="3260"/>
      <c r="F126" s="3260"/>
      <c r="G126" s="3260"/>
      <c r="H126" s="3260"/>
      <c r="I126" s="3261"/>
      <c r="AA126" s="693"/>
    </row>
    <row r="127" spans="1:27" ht="18.75" customHeight="1">
      <c r="A127" s="3258" t="s">
        <v>1893</v>
      </c>
      <c r="B127" s="3258"/>
      <c r="C127" s="3258"/>
      <c r="D127" s="3264" t="e">
        <f>NUMBERSTRING(INT(D126*10000),2)&amp;"元整"</f>
        <v>#VALUE!</v>
      </c>
      <c r="E127" s="3266"/>
      <c r="F127" s="3266"/>
      <c r="G127" s="3266"/>
      <c r="H127" s="3266"/>
      <c r="I127" s="3265"/>
      <c r="AA127" s="693"/>
    </row>
    <row r="128" spans="1:27" ht="21.75" customHeight="1">
      <c r="A128" s="3267" t="s">
        <v>1894</v>
      </c>
      <c r="B128" s="3267"/>
      <c r="C128" s="3267"/>
      <c r="D128" s="3267"/>
      <c r="E128" s="3267"/>
      <c r="F128" s="3267"/>
      <c r="G128" s="3267"/>
      <c r="H128" s="3267"/>
      <c r="I128" s="3267"/>
      <c r="AA128" s="693"/>
    </row>
    <row r="129" spans="1:35" ht="21.75" customHeight="1">
      <c r="A129" s="1821" t="s">
        <v>1895</v>
      </c>
      <c r="B129" s="1822"/>
      <c r="C129" s="1823" t="s">
        <v>1896</v>
      </c>
      <c r="D129" s="1824"/>
      <c r="E129" s="1824"/>
      <c r="F129" s="1824"/>
      <c r="G129" s="1824"/>
      <c r="H129" s="1825"/>
      <c r="I129" s="1826"/>
      <c r="AA129" s="693"/>
    </row>
    <row r="130" spans="1:35" ht="21.75" customHeight="1">
      <c r="A130" s="1827">
        <v>1</v>
      </c>
      <c r="B130" s="1828"/>
      <c r="C130" s="1828"/>
      <c r="D130" s="697"/>
      <c r="E130" s="697"/>
      <c r="F130" s="697"/>
      <c r="G130" s="697"/>
      <c r="H130" s="696"/>
      <c r="I130" s="1829"/>
      <c r="AA130" s="693"/>
    </row>
    <row r="131" spans="1:35" ht="21.75" customHeight="1">
      <c r="A131" s="1827">
        <v>2</v>
      </c>
      <c r="B131" s="1828"/>
      <c r="C131" s="1828"/>
      <c r="D131" s="697"/>
      <c r="E131" s="697"/>
      <c r="F131" s="697"/>
      <c r="G131" s="697"/>
      <c r="H131" s="696"/>
      <c r="I131" s="1829"/>
      <c r="AA131" s="693"/>
    </row>
    <row r="132" spans="1:35" ht="21.75" customHeight="1">
      <c r="A132" s="1827">
        <v>3</v>
      </c>
      <c r="B132" s="1828"/>
      <c r="C132" s="1828"/>
      <c r="D132" s="697"/>
      <c r="E132" s="697"/>
      <c r="F132" s="697"/>
      <c r="G132" s="697"/>
      <c r="H132" s="696"/>
      <c r="I132" s="1829"/>
      <c r="AA132" s="693"/>
    </row>
    <row r="133" spans="1:35" ht="21.75" customHeight="1">
      <c r="A133" s="1830"/>
      <c r="B133" s="1831"/>
      <c r="C133" s="1831"/>
      <c r="D133" s="1832"/>
      <c r="E133" s="1832"/>
      <c r="F133" s="1832"/>
      <c r="G133" s="1832"/>
      <c r="H133" s="1833"/>
      <c r="I133" s="1834"/>
    </row>
    <row r="134" spans="1:35" ht="21.75" customHeight="1">
      <c r="A134" s="1828"/>
      <c r="B134" s="1828"/>
      <c r="C134" s="1828"/>
      <c r="D134" s="697"/>
      <c r="E134" s="697"/>
      <c r="F134" s="697"/>
      <c r="G134" s="697"/>
      <c r="H134" s="696"/>
      <c r="I134" s="693"/>
    </row>
    <row r="135" spans="1:35" ht="21.75" customHeight="1">
      <c r="A135" s="693"/>
      <c r="B135" s="693"/>
      <c r="C135" s="693"/>
      <c r="D135" s="693"/>
      <c r="E135" s="693"/>
      <c r="F135" s="1835" t="s">
        <v>1897</v>
      </c>
      <c r="G135" s="1836"/>
      <c r="H135" s="1836"/>
      <c r="I135" s="1837" t="s">
        <v>1898</v>
      </c>
    </row>
    <row r="136" spans="1:35" ht="21.75" customHeight="1">
      <c r="A136" s="693"/>
      <c r="B136" s="1838" t="s">
        <v>1899</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6"/>
      <c r="C138" s="1836"/>
      <c r="D138" s="1836"/>
      <c r="E138" s="1836"/>
      <c r="F138" s="1836"/>
      <c r="G138" s="1836"/>
      <c r="H138" s="1836"/>
      <c r="I138" s="1837" t="s">
        <v>1900</v>
      </c>
    </row>
    <row r="139" spans="1:35" ht="21.75" customHeight="1">
      <c r="A139" s="693"/>
      <c r="B139" s="1838" t="s">
        <v>1901</v>
      </c>
      <c r="C139" s="693"/>
      <c r="D139" s="693"/>
      <c r="E139" s="693"/>
      <c r="F139" s="693"/>
      <c r="G139" s="693"/>
      <c r="H139" s="693"/>
      <c r="I139" s="693"/>
    </row>
    <row r="140" spans="1:35" ht="21.75" customHeight="1">
      <c r="A140" s="693"/>
      <c r="B140" s="1838"/>
      <c r="C140" s="693"/>
      <c r="D140" s="693"/>
      <c r="E140" s="693"/>
      <c r="F140" s="693"/>
      <c r="G140" s="693"/>
      <c r="H140" s="693"/>
      <c r="I140" s="693"/>
    </row>
    <row r="141" spans="1:35" ht="21.75" customHeight="1">
      <c r="A141" s="693"/>
      <c r="B141" s="1836"/>
      <c r="C141" s="1836"/>
      <c r="D141" s="1836"/>
      <c r="E141" s="1836"/>
      <c r="F141" s="1836"/>
      <c r="G141" s="1836"/>
      <c r="H141" s="1836"/>
      <c r="I141" s="1837" t="s">
        <v>1900</v>
      </c>
    </row>
    <row r="142" spans="1:35" ht="21.75" customHeight="1">
      <c r="A142" s="693"/>
      <c r="B142" s="1838"/>
      <c r="C142" s="1839"/>
      <c r="D142" s="1840"/>
      <c r="E142" s="1840"/>
      <c r="F142" s="1744"/>
      <c r="G142" s="693"/>
      <c r="H142" s="693"/>
      <c r="I142" s="693"/>
    </row>
    <row r="143" spans="1:35" s="127" customFormat="1" ht="21.75" customHeight="1">
      <c r="A143" s="693"/>
      <c r="B143" s="1838"/>
      <c r="C143" s="1839"/>
      <c r="D143" s="1840"/>
      <c r="E143" s="1840"/>
      <c r="F143" s="1744"/>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3"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3"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3"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3"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3"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3"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3"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3"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3"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3"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3"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3"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3"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3"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3"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3"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3"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3"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3"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3"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3"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3"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3"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3"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3"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3"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3"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3"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3"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3"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3"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3"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3"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3"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3"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3"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3"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3"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3"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3"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3"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3"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3"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3"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3"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3"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3"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3"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3"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3"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3"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3"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3"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3"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3"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3"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3"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3"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3"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3"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3"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3"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3"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3"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3"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3"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3"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3"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3"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3"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3"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3"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3"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3"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3"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3"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3"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3"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3"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3"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3"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3"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3"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3"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3"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3"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3"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3"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3"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3"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3"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3"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3"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3"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3"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3"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3"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3"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3"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3"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3"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3"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3"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3"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1902</v>
      </c>
      <c r="B1" s="1503"/>
      <c r="C1" s="196"/>
      <c r="D1" s="196"/>
      <c r="E1" s="196"/>
      <c r="F1" s="196"/>
      <c r="G1" s="1172">
        <f>MATCH(B1,'数据-取费表'!A6:A16,0)+5</f>
        <v>8</v>
      </c>
    </row>
    <row r="2" spans="1:9" s="198" customFormat="1" ht="18" customHeight="1">
      <c r="A2" s="199" t="s">
        <v>1903</v>
      </c>
      <c r="B2" s="200">
        <f ca="1">IF(D2="——",C52,C52-E2)</f>
        <v>449723</v>
      </c>
      <c r="C2" s="197" t="s">
        <v>1904</v>
      </c>
      <c r="D2" s="1841" t="s">
        <v>70</v>
      </c>
      <c r="E2" s="1199" t="e">
        <f ca="1">SUMIF(INDIRECT("'"&amp;G2&amp;"'"&amp;"!A:A"),"承租人权益价值",INDIRECT("'"&amp;G2&amp;"'"&amp;"!c:c"))</f>
        <v>#REF!</v>
      </c>
      <c r="F2" s="1842" t="s">
        <v>1904</v>
      </c>
      <c r="G2" s="1843"/>
    </row>
    <row r="3" spans="1:9" s="198" customFormat="1" ht="18" customHeight="1" thickBot="1">
      <c r="A3" s="201" t="s">
        <v>1905</v>
      </c>
      <c r="B3" s="202">
        <f ca="1">ROUND(B2*10000/(IF(B1="",'数据-汇总表'!E3,INDIRECT("'数据-取费表'!k"&amp;$G$1))),0)</f>
        <v>25415</v>
      </c>
      <c r="C3" s="197" t="s">
        <v>1906</v>
      </c>
      <c r="D3" s="197"/>
      <c r="E3" s="197"/>
      <c r="F3" s="197"/>
      <c r="G3" s="197"/>
    </row>
    <row r="4" spans="1:9" s="206" customFormat="1" ht="15.75">
      <c r="A4" s="203" t="s">
        <v>1907</v>
      </c>
      <c r="B4" s="204"/>
      <c r="C4" s="204"/>
      <c r="D4" s="204"/>
      <c r="E4" s="204"/>
      <c r="F4" s="204"/>
      <c r="G4" s="205"/>
    </row>
    <row r="5" spans="1:9" s="212" customFormat="1" ht="13.5" customHeight="1">
      <c r="A5" s="253" t="s">
        <v>1908</v>
      </c>
      <c r="B5" s="208" t="s">
        <v>1909</v>
      </c>
      <c r="C5" s="209">
        <f ca="1">C6+C7+C8</f>
        <v>225252</v>
      </c>
      <c r="D5" s="209" t="s">
        <v>1910</v>
      </c>
      <c r="E5" s="210" t="s">
        <v>1911</v>
      </c>
      <c r="F5" s="210" t="s">
        <v>1912</v>
      </c>
      <c r="G5" s="211"/>
    </row>
    <row r="6" spans="1:9" s="212" customFormat="1" ht="13.5" customHeight="1">
      <c r="A6" s="816" t="s">
        <v>1913</v>
      </c>
      <c r="B6" s="213" t="s">
        <v>1914</v>
      </c>
      <c r="C6" s="214">
        <f>'土地比较法-住宅、综合'!B2</f>
        <v>215151</v>
      </c>
      <c r="D6" s="215"/>
      <c r="E6" s="216"/>
      <c r="F6" s="216"/>
      <c r="G6" s="217"/>
    </row>
    <row r="7" spans="1:9" s="212" customFormat="1" ht="13.5" customHeight="1">
      <c r="A7" s="816" t="s">
        <v>1915</v>
      </c>
      <c r="B7" s="213" t="s">
        <v>1916</v>
      </c>
      <c r="C7" s="218">
        <f>ROUND(C6*F7,0)</f>
        <v>6562</v>
      </c>
      <c r="D7" s="218"/>
      <c r="E7" s="216"/>
      <c r="F7" s="219">
        <f>IF(项目基本情况!B8="出让",0,'数据-取费表'!B48+'数据-取费表'!B49)</f>
        <v>3.0499999999999999E-2</v>
      </c>
      <c r="G7" s="217"/>
    </row>
    <row r="8" spans="1:9" s="221" customFormat="1">
      <c r="A8" s="816" t="s">
        <v>1917</v>
      </c>
      <c r="B8" s="213" t="s">
        <v>1918</v>
      </c>
      <c r="C8" s="218">
        <f ca="1">IF(G8="已包含在土地购买价格中","0",IF(B1="",'数据-取费表'!B29,IF(G9="全部缴纳",C9+C10,H9)))</f>
        <v>3539</v>
      </c>
      <c r="D8" s="220"/>
      <c r="E8" s="218"/>
      <c r="F8" s="219"/>
      <c r="G8" s="1844" t="s">
        <v>3763</v>
      </c>
    </row>
    <row r="9" spans="1:9" s="212" customFormat="1" ht="13.5" customHeight="1">
      <c r="A9" s="817" t="s">
        <v>619</v>
      </c>
      <c r="B9" s="222" t="s">
        <v>1919</v>
      </c>
      <c r="C9" s="223">
        <f ca="1">ROUND(D9*E9/10000,0)</f>
        <v>0</v>
      </c>
      <c r="D9" s="880">
        <f ca="1">IF(B1="",'数据-汇总表'!E5,IF(INDIRECT("'数据-取费表'!c"&amp;$G$1)="住宅",INDIRECT("'数据-取费表'!k"&amp;$G$1),0))</f>
        <v>0</v>
      </c>
      <c r="E9" s="223">
        <f>'数据-取费表'!B27</f>
        <v>160</v>
      </c>
      <c r="F9" s="219"/>
      <c r="G9" s="1845" t="s">
        <v>3764</v>
      </c>
      <c r="H9" s="1180"/>
      <c r="I9" s="1846" t="s">
        <v>1920</v>
      </c>
    </row>
    <row r="10" spans="1:9" s="212" customFormat="1" ht="13.5" customHeight="1">
      <c r="A10" s="817" t="s">
        <v>620</v>
      </c>
      <c r="B10" s="222" t="s">
        <v>1921</v>
      </c>
      <c r="C10" s="223">
        <f ca="1">ROUND(D10*E10/10000,0)</f>
        <v>3539</v>
      </c>
      <c r="D10" s="880">
        <f ca="1">IF(B1="",'数据-汇总表'!E6,IF(INDIRECT("'数据-取费表'!c"&amp;$G$1)="住宅",INDIRECT("'数据-取费表'!s"&amp;$G$1),INDIRECT("'数据-取费表'!k"&amp;$G$1)+INDIRECT("'数据-取费表'!s"&amp;$G$1)))</f>
        <v>176954.78</v>
      </c>
      <c r="E10" s="223">
        <f>'数据-取费表'!B28</f>
        <v>200</v>
      </c>
      <c r="F10" s="219"/>
      <c r="G10" s="224"/>
    </row>
    <row r="11" spans="1:9" s="212" customFormat="1" ht="13.5" hidden="1" customHeight="1">
      <c r="A11" s="225" t="s">
        <v>7</v>
      </c>
      <c r="B11" s="213" t="s">
        <v>1922</v>
      </c>
      <c r="C11" s="209"/>
      <c r="D11" s="216"/>
      <c r="E11" s="216"/>
      <c r="F11" s="216"/>
      <c r="G11" s="217"/>
    </row>
    <row r="12" spans="1:9" s="212" customFormat="1" ht="13.5" hidden="1" customHeight="1">
      <c r="A12" s="225" t="s">
        <v>8</v>
      </c>
      <c r="B12" s="213" t="s">
        <v>1923</v>
      </c>
      <c r="C12" s="209">
        <v>0</v>
      </c>
      <c r="D12" s="216"/>
      <c r="E12" s="226"/>
      <c r="F12" s="219">
        <v>3.0499999999999999E-2</v>
      </c>
      <c r="G12" s="217"/>
    </row>
    <row r="13" spans="1:9" s="212" customFormat="1" ht="13.5" hidden="1" customHeight="1">
      <c r="A13" s="225" t="s">
        <v>9</v>
      </c>
      <c r="B13" s="213" t="s">
        <v>1924</v>
      </c>
      <c r="C13" s="209"/>
      <c r="D13" s="216"/>
      <c r="E13" s="216"/>
      <c r="F13" s="216"/>
      <c r="G13" s="217"/>
    </row>
    <row r="14" spans="1:9" s="212" customFormat="1" ht="13.5" hidden="1" customHeight="1">
      <c r="A14" s="225" t="s">
        <v>10</v>
      </c>
      <c r="B14" s="213" t="s">
        <v>1925</v>
      </c>
      <c r="C14" s="209"/>
      <c r="D14" s="216"/>
      <c r="E14" s="216"/>
      <c r="F14" s="216"/>
      <c r="G14" s="217" t="s">
        <v>1926</v>
      </c>
    </row>
    <row r="15" spans="1:9" s="212" customFormat="1" ht="13.5" hidden="1" customHeight="1">
      <c r="A15" s="225" t="s">
        <v>11</v>
      </c>
      <c r="B15" s="213" t="s">
        <v>1927</v>
      </c>
      <c r="C15" s="218"/>
      <c r="D15" s="216"/>
      <c r="E15" s="216"/>
      <c r="F15" s="216"/>
      <c r="G15" s="217" t="s">
        <v>1928</v>
      </c>
    </row>
    <row r="16" spans="1:9" s="212" customFormat="1" ht="13.5" hidden="1" customHeight="1">
      <c r="A16" s="225" t="s">
        <v>12</v>
      </c>
      <c r="B16" s="213" t="s">
        <v>1925</v>
      </c>
      <c r="C16" s="218"/>
      <c r="D16" s="216"/>
      <c r="E16" s="216"/>
      <c r="F16" s="216"/>
      <c r="G16" s="217"/>
    </row>
    <row r="17" spans="1:7" s="212" customFormat="1" ht="13.5" hidden="1" customHeight="1">
      <c r="A17" s="225" t="s">
        <v>13</v>
      </c>
      <c r="B17" s="213" t="s">
        <v>1929</v>
      </c>
      <c r="C17" s="227"/>
      <c r="D17" s="227"/>
      <c r="E17" s="227"/>
      <c r="F17" s="227"/>
      <c r="G17" s="217" t="s">
        <v>1928</v>
      </c>
    </row>
    <row r="18" spans="1:7" s="212" customFormat="1" ht="13.5" hidden="1" customHeight="1">
      <c r="A18" s="225" t="s">
        <v>14</v>
      </c>
      <c r="B18" s="213" t="s">
        <v>1930</v>
      </c>
      <c r="C18" s="218">
        <v>0</v>
      </c>
      <c r="D18" s="216"/>
      <c r="E18" s="216"/>
      <c r="F18" s="219">
        <v>3.0499999999999999E-2</v>
      </c>
      <c r="G18" s="217" t="s">
        <v>1931</v>
      </c>
    </row>
    <row r="19" spans="1:7" s="221" customFormat="1" ht="13.5" customHeight="1">
      <c r="A19" s="253" t="s">
        <v>1932</v>
      </c>
      <c r="B19" s="208" t="s">
        <v>1933</v>
      </c>
      <c r="C19" s="209" t="str">
        <f>IF(G19="已包含在土地取得成本中","0",ROUND(D19*E19/10000,0))</f>
        <v>0</v>
      </c>
      <c r="D19" s="210">
        <f ca="1">D9+D10</f>
        <v>176954.78</v>
      </c>
      <c r="E19" s="209">
        <f>'数据-取费表'!B31</f>
        <v>200</v>
      </c>
      <c r="F19" s="229"/>
      <c r="G19" s="1844" t="s">
        <v>3765</v>
      </c>
    </row>
    <row r="20" spans="1:7" s="212" customFormat="1" ht="13.5" customHeight="1">
      <c r="A20" s="253" t="s">
        <v>1934</v>
      </c>
      <c r="B20" s="208" t="s">
        <v>1935</v>
      </c>
      <c r="C20" s="230">
        <f ca="1">ROUND((C5+C19)*F20,0)</f>
        <v>6758</v>
      </c>
      <c r="D20" s="230"/>
      <c r="E20" s="230"/>
      <c r="F20" s="231">
        <f>'数据-取费表'!B37</f>
        <v>0.03</v>
      </c>
      <c r="G20" s="232" t="s">
        <v>1936</v>
      </c>
    </row>
    <row r="21" spans="1:7" s="212" customFormat="1" ht="13.5" customHeight="1">
      <c r="A21" s="253" t="s">
        <v>1937</v>
      </c>
      <c r="B21" s="208" t="s">
        <v>1938</v>
      </c>
      <c r="C21" s="233">
        <f>F21</f>
        <v>0.03</v>
      </c>
      <c r="D21" s="234" t="s">
        <v>1939</v>
      </c>
      <c r="E21" s="230"/>
      <c r="F21" s="231">
        <f>'数据-取费表'!B38</f>
        <v>0.03</v>
      </c>
      <c r="G21" s="232" t="s">
        <v>1940</v>
      </c>
    </row>
    <row r="22" spans="1:7" s="212" customFormat="1" ht="13.5" customHeight="1">
      <c r="A22" s="253" t="s">
        <v>1941</v>
      </c>
      <c r="B22" s="208" t="s">
        <v>1942</v>
      </c>
      <c r="C22" s="1149">
        <f ca="1">ROUND(SUM(C23:C25),0)</f>
        <v>29649</v>
      </c>
      <c r="D22" s="233">
        <f ca="1">C26</f>
        <v>1.9E-3</v>
      </c>
      <c r="E22" s="234" t="s">
        <v>1939</v>
      </c>
      <c r="F22" s="235">
        <f ca="1">'数据-取费表'!B40</f>
        <v>4.1499999999999995E-2</v>
      </c>
      <c r="G22" s="232" t="str">
        <f>IF('数据-取费表'!B22&lt;=1,"单利计息","复利计息")</f>
        <v>复利计息</v>
      </c>
    </row>
    <row r="23" spans="1:7" s="212" customFormat="1" ht="13.5" customHeight="1">
      <c r="A23" s="818" t="s">
        <v>1943</v>
      </c>
      <c r="B23" s="213" t="s">
        <v>1944</v>
      </c>
      <c r="C23" s="1150">
        <f ca="1">ROUND(IF('数据-取费表'!B22&lt;=1,C5*F22*'数据-取费表'!B23,C5*(POWER((1+F22),'数据-取费表'!B23)-1)),0)</f>
        <v>29224</v>
      </c>
      <c r="D23" s="236"/>
      <c r="E23" s="236"/>
      <c r="F23" s="237"/>
      <c r="G23" s="238" t="s">
        <v>1945</v>
      </c>
    </row>
    <row r="24" spans="1:7" s="212" customFormat="1" ht="13.5" customHeight="1">
      <c r="A24" s="818" t="s">
        <v>1946</v>
      </c>
      <c r="B24" s="213" t="s">
        <v>1947</v>
      </c>
      <c r="C24" s="1150">
        <f ca="1">ROUND(IF('数据-取费表'!B22&lt;=1,C19*F22*('数据-取费表'!B19/2+'数据-取费表'!B21),C19*(POWER((1+F22),('数据-取费表'!B19/2+'数据-取费表'!B21))-1)),0)</f>
        <v>0</v>
      </c>
      <c r="D24" s="236"/>
      <c r="E24" s="236"/>
      <c r="F24" s="237"/>
      <c r="G24" s="238" t="s">
        <v>1948</v>
      </c>
    </row>
    <row r="25" spans="1:7" s="212" customFormat="1" ht="24">
      <c r="A25" s="818" t="s">
        <v>1949</v>
      </c>
      <c r="B25" s="213" t="s">
        <v>1950</v>
      </c>
      <c r="C25" s="1150">
        <f ca="1">ROUND(IF('数据-取费表'!B22&lt;=1,C20*F22*'数据-取费表'!B23/2,C20*(POWER((1+F22),'数据-取费表'!B23/2)-1)),0)</f>
        <v>425</v>
      </c>
      <c r="D25" s="236"/>
      <c r="E25" s="239"/>
      <c r="F25" s="237"/>
      <c r="G25" s="240" t="s">
        <v>1951</v>
      </c>
    </row>
    <row r="26" spans="1:7" s="212" customFormat="1">
      <c r="A26" s="818" t="s">
        <v>614</v>
      </c>
      <c r="B26" s="213" t="s">
        <v>1952</v>
      </c>
      <c r="C26" s="236">
        <f ca="1">ROUND(IF('数据-取费表'!B22&lt;=1,F21*F22*'数据-取费表'!B23/2,F21*(POWER((1+F22),'数据-取费表'!B23/2)-1)),4)</f>
        <v>1.9E-3</v>
      </c>
      <c r="D26" s="236"/>
      <c r="E26" s="239"/>
      <c r="F26" s="237"/>
      <c r="G26" s="241"/>
    </row>
    <row r="27" spans="1:7" s="212" customFormat="1" ht="24.75">
      <c r="A27" s="253" t="s">
        <v>1953</v>
      </c>
      <c r="B27" s="242" t="s">
        <v>1954</v>
      </c>
      <c r="C27" s="243">
        <f ca="1">C28</f>
        <v>39442</v>
      </c>
      <c r="D27" s="233">
        <f ca="1">C29</f>
        <v>5.1000000000000004E-3</v>
      </c>
      <c r="E27" s="234" t="s">
        <v>1955</v>
      </c>
      <c r="F27" s="244">
        <f ca="1">IF(B1="",'数据-取费表'!Q16,INDIRECT("'数据-取费表'!q"&amp;$G$1))</f>
        <v>0.17</v>
      </c>
      <c r="G27" s="245" t="s">
        <v>1956</v>
      </c>
    </row>
    <row r="28" spans="1:7" s="212" customFormat="1" ht="13.5" customHeight="1">
      <c r="A28" s="818" t="s">
        <v>610</v>
      </c>
      <c r="B28" s="246" t="s">
        <v>1957</v>
      </c>
      <c r="C28" s="247">
        <f ca="1">ROUND((C5+C19+C20)*F27*'数据-取费表'!B21/'数据-取费表'!B20,0)</f>
        <v>39442</v>
      </c>
      <c r="D28" s="233"/>
      <c r="E28" s="234"/>
      <c r="F28" s="244"/>
      <c r="G28" s="245"/>
    </row>
    <row r="29" spans="1:7" s="212" customFormat="1" ht="13.5" customHeight="1">
      <c r="A29" s="818" t="s">
        <v>611</v>
      </c>
      <c r="B29" s="246" t="s">
        <v>1958</v>
      </c>
      <c r="C29" s="236">
        <f ca="1">ROUND(C21*F27*'数据-取费表'!B21/'数据-取费表'!B20,4)</f>
        <v>5.1000000000000004E-3</v>
      </c>
      <c r="D29" s="233"/>
      <c r="E29" s="234"/>
      <c r="F29" s="244"/>
      <c r="G29" s="245"/>
    </row>
    <row r="30" spans="1:7" s="212" customFormat="1" ht="13.5" customHeight="1">
      <c r="A30" s="253" t="s">
        <v>1959</v>
      </c>
      <c r="B30" s="208" t="s">
        <v>1960</v>
      </c>
      <c r="C30" s="233">
        <f>ROUND(F30/(1+'数据-取费表'!C42),4)</f>
        <v>5.33E-2</v>
      </c>
      <c r="D30" s="234" t="s">
        <v>1955</v>
      </c>
      <c r="E30" s="239"/>
      <c r="F30" s="235">
        <f>'数据-取费表'!B41</f>
        <v>5.6000000000000001E-2</v>
      </c>
      <c r="G30" s="232" t="s">
        <v>1961</v>
      </c>
    </row>
    <row r="31" spans="1:7" ht="16.5" customHeight="1">
      <c r="A31" s="207">
        <v>1</v>
      </c>
      <c r="B31" s="208" t="s">
        <v>1962</v>
      </c>
      <c r="C31" s="209">
        <f ca="1">ROUND((C5+C19+C20+C22+C27)/(1-C21-D22-D27-C30),0)</f>
        <v>330989</v>
      </c>
      <c r="D31" s="228"/>
      <c r="E31" s="209"/>
      <c r="F31" s="248"/>
      <c r="G31" s="232" t="s">
        <v>1963</v>
      </c>
    </row>
    <row r="32" spans="1:7" s="206" customFormat="1" ht="15.75">
      <c r="A32" s="250" t="s">
        <v>1964</v>
      </c>
      <c r="B32" s="251"/>
      <c r="C32" s="251"/>
      <c r="D32" s="251"/>
      <c r="E32" s="251"/>
      <c r="F32" s="251"/>
      <c r="G32" s="252"/>
    </row>
    <row r="33" spans="1:7" s="212" customFormat="1" ht="13.5" customHeight="1">
      <c r="A33" s="253" t="s">
        <v>601</v>
      </c>
      <c r="B33" s="208" t="s">
        <v>1965</v>
      </c>
      <c r="C33" s="254">
        <f ca="1">SUM(C34:C38)</f>
        <v>97767</v>
      </c>
      <c r="D33" s="230"/>
      <c r="E33" s="210"/>
      <c r="F33" s="239"/>
      <c r="G33" s="232"/>
    </row>
    <row r="34" spans="1:7" s="256" customFormat="1" ht="13.5" customHeight="1">
      <c r="A34" s="818" t="s">
        <v>610</v>
      </c>
      <c r="B34" s="213" t="s">
        <v>1966</v>
      </c>
      <c r="C34" s="218">
        <f ca="1">IF(B1="",IF(F34=100%,'数据-取费表'!M16,'数据-取费表'!O16),IF(F34=100%,INDIRECT("'数据-取费表'!m"&amp;$G$1)+INDIRECT("'数据-取费表'!t"&amp;$G$1),INDIRECT("'数据-取费表'!o"&amp;$G$1)+INDIRECT("'数据-取费表'!aq"&amp;$G$1)))</f>
        <v>88477</v>
      </c>
      <c r="D34" s="215"/>
      <c r="E34" s="218"/>
      <c r="F34" s="255">
        <f ca="1">IF('数据-取费表'!B24=0,1,IF(B1="",'数据-取费表'!N16,INDIRECT("'数据-取费表'!n"&amp;$G$1)))</f>
        <v>1</v>
      </c>
      <c r="G34" s="217" t="s">
        <v>1967</v>
      </c>
    </row>
    <row r="35" spans="1:7" ht="13.5" customHeight="1">
      <c r="A35" s="818" t="s">
        <v>615</v>
      </c>
      <c r="B35" s="213" t="s">
        <v>1968</v>
      </c>
      <c r="C35" s="218">
        <f ca="1">ROUND(C34*F35,0)</f>
        <v>4424</v>
      </c>
      <c r="D35" s="218"/>
      <c r="E35" s="218"/>
      <c r="F35" s="257">
        <f>'数据-取费表'!B33</f>
        <v>0.05</v>
      </c>
      <c r="G35" s="217" t="s">
        <v>1969</v>
      </c>
    </row>
    <row r="36" spans="1:7" ht="24">
      <c r="A36" s="818" t="s">
        <v>616</v>
      </c>
      <c r="B36" s="213" t="s">
        <v>1970</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1971</v>
      </c>
    </row>
    <row r="37" spans="1:7" s="256" customFormat="1" ht="13.5" customHeight="1">
      <c r="A37" s="818" t="s">
        <v>617</v>
      </c>
      <c r="B37" s="213" t="s">
        <v>1972</v>
      </c>
      <c r="C37" s="247">
        <f ca="1">ROUND(E37*D37*F34/10000,0)</f>
        <v>3539</v>
      </c>
      <c r="D37" s="215">
        <f ca="1">D19</f>
        <v>176954.78</v>
      </c>
      <c r="E37" s="247">
        <f>'数据-取费表'!B35</f>
        <v>200</v>
      </c>
      <c r="F37" s="257"/>
      <c r="G37" s="259" t="s">
        <v>1973</v>
      </c>
    </row>
    <row r="38" spans="1:7" ht="13.5" customHeight="1">
      <c r="A38" s="818" t="s">
        <v>618</v>
      </c>
      <c r="B38" s="213" t="s">
        <v>1974</v>
      </c>
      <c r="C38" s="218">
        <f ca="1">ROUND(C34*F38,0)</f>
        <v>1327</v>
      </c>
      <c r="D38" s="218"/>
      <c r="E38" s="218"/>
      <c r="F38" s="257">
        <f>'数据-取费表'!B36</f>
        <v>1.4999999999999999E-2</v>
      </c>
      <c r="G38" s="217" t="s">
        <v>1969</v>
      </c>
    </row>
    <row r="39" spans="1:7" s="212" customFormat="1" ht="13.5" customHeight="1">
      <c r="A39" s="253" t="s">
        <v>1975</v>
      </c>
      <c r="B39" s="208" t="s">
        <v>1976</v>
      </c>
      <c r="C39" s="230">
        <f ca="1">ROUND(C33*F20,0)</f>
        <v>2933</v>
      </c>
      <c r="D39" s="230"/>
      <c r="E39" s="230"/>
      <c r="F39" s="2298">
        <f>F20</f>
        <v>0.03</v>
      </c>
      <c r="G39" s="232" t="s">
        <v>1977</v>
      </c>
    </row>
    <row r="40" spans="1:7" s="212" customFormat="1" ht="13.5" customHeight="1">
      <c r="A40" s="253" t="s">
        <v>1978</v>
      </c>
      <c r="B40" s="208" t="s">
        <v>1979</v>
      </c>
      <c r="C40" s="233">
        <f>F21</f>
        <v>0.03</v>
      </c>
      <c r="D40" s="234" t="s">
        <v>1980</v>
      </c>
      <c r="E40" s="230"/>
      <c r="F40" s="2298">
        <f>F21</f>
        <v>0.03</v>
      </c>
      <c r="G40" s="232" t="s">
        <v>1981</v>
      </c>
    </row>
    <row r="41" spans="1:7" s="212" customFormat="1" ht="13.5" customHeight="1">
      <c r="A41" s="253" t="s">
        <v>1982</v>
      </c>
      <c r="B41" s="208" t="s">
        <v>1983</v>
      </c>
      <c r="C41" s="230">
        <f ca="1">ROUND(SUM(C42:C43),0)</f>
        <v>6333</v>
      </c>
      <c r="D41" s="233">
        <f ca="1">C44</f>
        <v>1.9E-3</v>
      </c>
      <c r="E41" s="234" t="s">
        <v>1980</v>
      </c>
      <c r="F41" s="2299">
        <f ca="1">F22</f>
        <v>4.1499999999999995E-2</v>
      </c>
      <c r="G41" s="232" t="str">
        <f>IF('数据-取费表'!B22&lt;=1,"单利计息","复利计息")</f>
        <v>复利计息</v>
      </c>
    </row>
    <row r="42" spans="1:7" ht="13.5" customHeight="1">
      <c r="A42" s="818" t="s">
        <v>610</v>
      </c>
      <c r="B42" s="213" t="s">
        <v>1984</v>
      </c>
      <c r="C42" s="236">
        <f ca="1">ROUND(IF('数据-取费表'!B22&lt;=1,C33*F22*'数据-取费表'!B21/2,C33*(POWER((1+F22),'数据-取费表'!B21/2)-1)),0)</f>
        <v>6149</v>
      </c>
      <c r="D42" s="236"/>
      <c r="E42" s="236"/>
      <c r="F42" s="237"/>
      <c r="G42" s="3340" t="s">
        <v>1985</v>
      </c>
    </row>
    <row r="43" spans="1:7" ht="13.5" customHeight="1">
      <c r="A43" s="818" t="s">
        <v>611</v>
      </c>
      <c r="B43" s="213" t="s">
        <v>1986</v>
      </c>
      <c r="C43" s="236">
        <f ca="1">ROUND(IF('数据-取费表'!B22&lt;=1,C39*F22*'数据-取费表'!B21/2,C39*(POWER((1+F22),'数据-取费表'!B21/2)-1)),0)</f>
        <v>184</v>
      </c>
      <c r="D43" s="236"/>
      <c r="E43" s="236"/>
      <c r="F43" s="237"/>
      <c r="G43" s="3341"/>
    </row>
    <row r="44" spans="1:7" ht="13.5" customHeight="1">
      <c r="A44" s="818" t="s">
        <v>612</v>
      </c>
      <c r="B44" s="213" t="s">
        <v>1987</v>
      </c>
      <c r="C44" s="236">
        <f ca="1">ROUND(IF('数据-取费表'!B22&lt;=1,C40*F22*'数据-取费表'!B21/2,C40*(POWER((1+F22),'数据-取费表'!B21/2)-1)),4)</f>
        <v>1.9E-3</v>
      </c>
      <c r="D44" s="236"/>
      <c r="E44" s="236"/>
      <c r="F44" s="237"/>
      <c r="G44" s="3342"/>
    </row>
    <row r="45" spans="1:7" s="212" customFormat="1" ht="13.5" customHeight="1">
      <c r="A45" s="253" t="s">
        <v>1988</v>
      </c>
      <c r="B45" s="242" t="s">
        <v>1954</v>
      </c>
      <c r="C45" s="243">
        <f ca="1">C46</f>
        <v>17119</v>
      </c>
      <c r="D45" s="233">
        <f ca="1">C47</f>
        <v>5.1000000000000004E-3</v>
      </c>
      <c r="E45" s="234" t="s">
        <v>1980</v>
      </c>
      <c r="F45" s="2300">
        <f ca="1">F27</f>
        <v>0.17</v>
      </c>
      <c r="G45" s="245" t="s">
        <v>1989</v>
      </c>
    </row>
    <row r="46" spans="1:7" s="212" customFormat="1" ht="13.5" customHeight="1">
      <c r="A46" s="818" t="s">
        <v>610</v>
      </c>
      <c r="B46" s="246" t="s">
        <v>1990</v>
      </c>
      <c r="C46" s="247">
        <f ca="1">ROUND((C33+C39)*F27,0)</f>
        <v>17119</v>
      </c>
      <c r="D46" s="261"/>
      <c r="E46" s="234"/>
      <c r="F46" s="244"/>
      <c r="G46" s="245"/>
    </row>
    <row r="47" spans="1:7" s="212" customFormat="1" ht="13.5" customHeight="1">
      <c r="A47" s="818" t="s">
        <v>611</v>
      </c>
      <c r="B47" s="246" t="s">
        <v>1991</v>
      </c>
      <c r="C47" s="236">
        <f ca="1">ROUND(C40*F27,4)</f>
        <v>5.1000000000000004E-3</v>
      </c>
      <c r="D47" s="261"/>
      <c r="E47" s="234"/>
      <c r="F47" s="244"/>
      <c r="G47" s="245"/>
    </row>
    <row r="48" spans="1:7" s="212" customFormat="1" ht="13.5" customHeight="1">
      <c r="A48" s="253" t="s">
        <v>1953</v>
      </c>
      <c r="B48" s="208" t="s">
        <v>1992</v>
      </c>
      <c r="C48" s="233">
        <f>ROUND(F30/(1+'数据-取费表'!C42),4)</f>
        <v>5.33E-2</v>
      </c>
      <c r="D48" s="234" t="s">
        <v>1980</v>
      </c>
      <c r="E48" s="230"/>
      <c r="F48" s="2299">
        <f>F30</f>
        <v>5.6000000000000001E-2</v>
      </c>
      <c r="G48" s="232" t="s">
        <v>1993</v>
      </c>
    </row>
    <row r="49" spans="1:7" ht="16.5" customHeight="1">
      <c r="A49" s="253" t="s">
        <v>1959</v>
      </c>
      <c r="B49" s="208" t="s">
        <v>1994</v>
      </c>
      <c r="C49" s="230">
        <f ca="1">ROUND((C33+C39+C41+C45)/(1-C40-D41-D45-C48),0)</f>
        <v>136476</v>
      </c>
      <c r="D49" s="230"/>
      <c r="E49" s="230"/>
      <c r="F49" s="262"/>
      <c r="G49" s="232" t="s">
        <v>1995</v>
      </c>
    </row>
    <row r="50" spans="1:7" s="256" customFormat="1" ht="24">
      <c r="A50" s="253" t="s">
        <v>1996</v>
      </c>
      <c r="B50" s="208" t="s">
        <v>1997</v>
      </c>
      <c r="C50" s="230"/>
      <c r="D50" s="230"/>
      <c r="E50" s="230"/>
      <c r="F50" s="262">
        <f>IF('数据-取费表'!B24=0,'数据-取费表'!N16,1)</f>
        <v>0.87</v>
      </c>
      <c r="G50" s="245" t="s">
        <v>1998</v>
      </c>
    </row>
    <row r="51" spans="1:7" ht="16.5" customHeight="1">
      <c r="A51" s="253" t="s">
        <v>1999</v>
      </c>
      <c r="B51" s="208" t="s">
        <v>2000</v>
      </c>
      <c r="C51" s="230">
        <f ca="1">ROUND(C49*F50,0)</f>
        <v>118734</v>
      </c>
      <c r="D51" s="230"/>
      <c r="E51" s="230"/>
      <c r="F51" s="262"/>
      <c r="G51" s="232" t="s">
        <v>2001</v>
      </c>
    </row>
    <row r="52" spans="1:7" s="206" customFormat="1" ht="16.5" thickBot="1">
      <c r="A52" s="263" t="s">
        <v>2002</v>
      </c>
      <c r="B52" s="264"/>
      <c r="C52" s="265">
        <f ca="1">C31+C51</f>
        <v>449723</v>
      </c>
      <c r="D52" s="264"/>
      <c r="E52" s="264"/>
      <c r="F52" s="264"/>
      <c r="G52" s="266"/>
    </row>
    <row r="55" spans="1:7" ht="15">
      <c r="B55" s="268" t="s">
        <v>2003</v>
      </c>
      <c r="C55" s="269"/>
    </row>
    <row r="56" spans="1:7">
      <c r="B56" s="271" t="s">
        <v>1237</v>
      </c>
      <c r="C56" s="273">
        <f ca="1">1-C57</f>
        <v>0.73599999999999999</v>
      </c>
    </row>
    <row r="57" spans="1:7">
      <c r="B57" s="271" t="s">
        <v>1238</v>
      </c>
      <c r="C57" s="272">
        <f ca="1">ROUND(C51/C52,3)</f>
        <v>0.26400000000000001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1902</v>
      </c>
      <c r="B1" s="1503"/>
      <c r="C1" s="1847" t="s">
        <v>2004</v>
      </c>
      <c r="D1" s="196"/>
      <c r="E1" s="196"/>
      <c r="F1" s="196"/>
      <c r="G1" s="1172">
        <f>MATCH(B1,'数据-取费表'!A6:A16,0)+5</f>
        <v>8</v>
      </c>
      <c r="H1" s="1105" t="str">
        <f>IF(ISERROR(FIND("住宅",B1)),"非住宅","住宅")</f>
        <v>非住宅</v>
      </c>
    </row>
    <row r="2" spans="1:8" s="198" customFormat="1" ht="18" customHeight="1">
      <c r="A2" s="199" t="s">
        <v>1903</v>
      </c>
      <c r="B2" s="200">
        <f ca="1">ROUND(IF(D2="——",C52/10000,C52/10000-E2),0)</f>
        <v>129135</v>
      </c>
      <c r="C2" s="197" t="s">
        <v>1904</v>
      </c>
      <c r="D2" s="1841" t="s">
        <v>70</v>
      </c>
      <c r="E2" s="1199" t="e">
        <f ca="1">SUMIF(INDIRECT("'"&amp;G2&amp;"'"&amp;"!A:A"),"承租人权益价值",INDIRECT("'"&amp;G2&amp;"'"&amp;"!c:c"))</f>
        <v>#REF!</v>
      </c>
      <c r="F2" s="1842" t="s">
        <v>1904</v>
      </c>
      <c r="G2" s="1843"/>
    </row>
    <row r="3" spans="1:8" s="198" customFormat="1" ht="18" customHeight="1" thickBot="1">
      <c r="A3" s="201" t="s">
        <v>1905</v>
      </c>
      <c r="B3" s="202">
        <f ca="1">ROUND(B2*10000/(IF(B1="",'数据-汇总表'!E3,INDIRECT("'数据-取费表'!k"&amp;$G$1))),0)</f>
        <v>7298</v>
      </c>
      <c r="C3" s="197" t="s">
        <v>1906</v>
      </c>
      <c r="D3" s="197"/>
      <c r="E3" s="197"/>
      <c r="F3" s="197"/>
      <c r="G3" s="197"/>
    </row>
    <row r="4" spans="1:8" s="206" customFormat="1" ht="15.75">
      <c r="A4" s="203" t="s">
        <v>1907</v>
      </c>
      <c r="B4" s="204"/>
      <c r="C4" s="204"/>
      <c r="D4" s="204"/>
      <c r="E4" s="204"/>
      <c r="F4" s="204"/>
      <c r="G4" s="205"/>
    </row>
    <row r="5" spans="1:8" s="212" customFormat="1" ht="13.5" customHeight="1">
      <c r="A5" s="253" t="s">
        <v>1908</v>
      </c>
      <c r="B5" s="208" t="s">
        <v>1909</v>
      </c>
      <c r="C5" s="209">
        <f ca="1">C6+C7+C8</f>
        <v>35390956</v>
      </c>
      <c r="D5" s="209" t="s">
        <v>1910</v>
      </c>
      <c r="E5" s="210" t="s">
        <v>1911</v>
      </c>
      <c r="F5" s="210" t="s">
        <v>1912</v>
      </c>
      <c r="G5" s="211"/>
    </row>
    <row r="6" spans="1:8" s="212" customFormat="1" ht="13.5" customHeight="1">
      <c r="A6" s="816" t="s">
        <v>1913</v>
      </c>
      <c r="B6" s="213" t="s">
        <v>1914</v>
      </c>
      <c r="C6" s="214"/>
      <c r="D6" s="215"/>
      <c r="E6" s="216"/>
      <c r="F6" s="216"/>
      <c r="G6" s="217"/>
    </row>
    <row r="7" spans="1:8" s="212" customFormat="1" ht="13.5" customHeight="1">
      <c r="A7" s="816" t="s">
        <v>1915</v>
      </c>
      <c r="B7" s="213" t="s">
        <v>1916</v>
      </c>
      <c r="C7" s="218">
        <f>ROUND(C6*F7,0)</f>
        <v>0</v>
      </c>
      <c r="D7" s="218"/>
      <c r="E7" s="216"/>
      <c r="F7" s="219">
        <f>IF(项目基本情况!B8="出让",0,'数据-取费表'!B48+'数据-取费表'!B49)</f>
        <v>3.0499999999999999E-2</v>
      </c>
      <c r="G7" s="217"/>
    </row>
    <row r="8" spans="1:8" s="221" customFormat="1">
      <c r="A8" s="816" t="s">
        <v>1917</v>
      </c>
      <c r="B8" s="213" t="s">
        <v>1918</v>
      </c>
      <c r="C8" s="218">
        <f ca="1">IF(G8="已包含在土地购买价格中",0,C9+C10)</f>
        <v>35390956</v>
      </c>
      <c r="D8" s="220"/>
      <c r="E8" s="218"/>
      <c r="F8" s="219"/>
      <c r="G8" s="1844"/>
    </row>
    <row r="9" spans="1:8" s="212" customFormat="1" ht="13.5" customHeight="1">
      <c r="A9" s="817" t="s">
        <v>619</v>
      </c>
      <c r="B9" s="222" t="s">
        <v>1919</v>
      </c>
      <c r="C9" s="223">
        <f ca="1">ROUND(D9*E9,0)</f>
        <v>0</v>
      </c>
      <c r="D9" s="880">
        <f ca="1">IF(B1="",'数据-汇总表'!E5,IF(INDIRECT("'数据-取费表'!c"&amp;$G$1)="住宅",INDIRECT("'数据-取费表'!k"&amp;$G$1),0))</f>
        <v>0</v>
      </c>
      <c r="E9" s="223">
        <f>'数据-取费表'!B27</f>
        <v>160</v>
      </c>
      <c r="F9" s="219"/>
      <c r="G9" s="224"/>
    </row>
    <row r="10" spans="1:8" s="212" customFormat="1" ht="13.5" customHeight="1">
      <c r="A10" s="817" t="s">
        <v>620</v>
      </c>
      <c r="B10" s="222" t="s">
        <v>1921</v>
      </c>
      <c r="C10" s="223">
        <f ca="1">ROUND(D10*E10,0)</f>
        <v>35390956</v>
      </c>
      <c r="D10" s="880">
        <f ca="1">IF(B1="",'数据-汇总表'!E6,IF(INDIRECT("'数据-取费表'!c"&amp;$G$1)="住宅",INDIRECT("'数据-取费表'!s"&amp;$G$1),INDIRECT("'数据-取费表'!k"&amp;$G$1)+INDIRECT("'数据-取费表'!s"&amp;$G$1)))</f>
        <v>176954.78</v>
      </c>
      <c r="E10" s="223">
        <f>'数据-取费表'!B28</f>
        <v>200</v>
      </c>
      <c r="F10" s="219"/>
      <c r="G10" s="224"/>
    </row>
    <row r="11" spans="1:8" s="212" customFormat="1" ht="13.5" hidden="1" customHeight="1">
      <c r="A11" s="225" t="s">
        <v>7</v>
      </c>
      <c r="B11" s="213" t="s">
        <v>1922</v>
      </c>
      <c r="C11" s="209"/>
      <c r="D11" s="216"/>
      <c r="E11" s="216"/>
      <c r="F11" s="216"/>
      <c r="G11" s="217"/>
    </row>
    <row r="12" spans="1:8" s="212" customFormat="1" ht="13.5" hidden="1" customHeight="1">
      <c r="A12" s="225" t="s">
        <v>8</v>
      </c>
      <c r="B12" s="213" t="s">
        <v>2005</v>
      </c>
      <c r="C12" s="209">
        <v>0</v>
      </c>
      <c r="D12" s="216"/>
      <c r="E12" s="226"/>
      <c r="F12" s="219">
        <v>3.0499999999999999E-2</v>
      </c>
      <c r="G12" s="217"/>
    </row>
    <row r="13" spans="1:8" s="212" customFormat="1" ht="13.5" hidden="1" customHeight="1">
      <c r="A13" s="225" t="s">
        <v>9</v>
      </c>
      <c r="B13" s="213" t="s">
        <v>2006</v>
      </c>
      <c r="C13" s="209"/>
      <c r="D13" s="216"/>
      <c r="E13" s="216"/>
      <c r="F13" s="216"/>
      <c r="G13" s="217"/>
    </row>
    <row r="14" spans="1:8" s="212" customFormat="1" ht="13.5" hidden="1" customHeight="1">
      <c r="A14" s="225" t="s">
        <v>10</v>
      </c>
      <c r="B14" s="213" t="s">
        <v>1918</v>
      </c>
      <c r="C14" s="209"/>
      <c r="D14" s="216"/>
      <c r="E14" s="216"/>
      <c r="F14" s="216"/>
      <c r="G14" s="217" t="s">
        <v>2007</v>
      </c>
    </row>
    <row r="15" spans="1:8" s="212" customFormat="1" ht="13.5" hidden="1" customHeight="1">
      <c r="A15" s="225" t="s">
        <v>11</v>
      </c>
      <c r="B15" s="213" t="s">
        <v>2008</v>
      </c>
      <c r="C15" s="218"/>
      <c r="D15" s="216"/>
      <c r="E15" s="216"/>
      <c r="F15" s="216"/>
      <c r="G15" s="217" t="s">
        <v>2009</v>
      </c>
    </row>
    <row r="16" spans="1:8" s="212" customFormat="1" ht="13.5" hidden="1" customHeight="1">
      <c r="A16" s="225" t="s">
        <v>12</v>
      </c>
      <c r="B16" s="213" t="s">
        <v>1918</v>
      </c>
      <c r="C16" s="218"/>
      <c r="D16" s="216"/>
      <c r="E16" s="216"/>
      <c r="F16" s="216"/>
      <c r="G16" s="217"/>
    </row>
    <row r="17" spans="1:7" s="212" customFormat="1" ht="13.5" hidden="1" customHeight="1">
      <c r="A17" s="225" t="s">
        <v>13</v>
      </c>
      <c r="B17" s="213" t="s">
        <v>2010</v>
      </c>
      <c r="C17" s="227"/>
      <c r="D17" s="227"/>
      <c r="E17" s="227"/>
      <c r="F17" s="227"/>
      <c r="G17" s="217" t="s">
        <v>2009</v>
      </c>
    </row>
    <row r="18" spans="1:7" s="212" customFormat="1" ht="13.5" hidden="1" customHeight="1">
      <c r="A18" s="225" t="s">
        <v>14</v>
      </c>
      <c r="B18" s="213" t="s">
        <v>2011</v>
      </c>
      <c r="C18" s="218">
        <v>0</v>
      </c>
      <c r="D18" s="216"/>
      <c r="E18" s="216"/>
      <c r="F18" s="219">
        <v>3.0499999999999999E-2</v>
      </c>
      <c r="G18" s="217" t="s">
        <v>2012</v>
      </c>
    </row>
    <row r="19" spans="1:7" s="221" customFormat="1" ht="13.5" customHeight="1">
      <c r="A19" s="253" t="s">
        <v>2013</v>
      </c>
      <c r="B19" s="208" t="s">
        <v>2014</v>
      </c>
      <c r="C19" s="209">
        <f ca="1">IF(G19="已包含在土地取得成本中","0",ROUND(D19*E19,0))</f>
        <v>35390956</v>
      </c>
      <c r="D19" s="210">
        <f ca="1">D9+D10</f>
        <v>176954.78</v>
      </c>
      <c r="E19" s="209">
        <f>'数据-取费表'!B31</f>
        <v>200</v>
      </c>
      <c r="F19" s="229"/>
      <c r="G19" s="1844"/>
    </row>
    <row r="20" spans="1:7" s="212" customFormat="1" ht="13.5" customHeight="1">
      <c r="A20" s="253" t="s">
        <v>2015</v>
      </c>
      <c r="B20" s="208" t="s">
        <v>2016</v>
      </c>
      <c r="C20" s="230">
        <f ca="1">ROUND((C5+C19)*F20,0)</f>
        <v>2123457</v>
      </c>
      <c r="D20" s="230"/>
      <c r="E20" s="230"/>
      <c r="F20" s="231">
        <f>'数据-取费表'!B37</f>
        <v>0.03</v>
      </c>
      <c r="G20" s="232" t="s">
        <v>2017</v>
      </c>
    </row>
    <row r="21" spans="1:7" s="212" customFormat="1" ht="13.5" customHeight="1">
      <c r="A21" s="253" t="s">
        <v>2018</v>
      </c>
      <c r="B21" s="208" t="s">
        <v>2019</v>
      </c>
      <c r="C21" s="233">
        <f>F21</f>
        <v>0.03</v>
      </c>
      <c r="D21" s="234" t="s">
        <v>2020</v>
      </c>
      <c r="E21" s="230"/>
      <c r="F21" s="231">
        <f>'数据-取费表'!B38</f>
        <v>0.03</v>
      </c>
      <c r="G21" s="232" t="s">
        <v>2021</v>
      </c>
    </row>
    <row r="22" spans="1:7" s="212" customFormat="1" ht="13.5" customHeight="1">
      <c r="A22" s="253" t="s">
        <v>2022</v>
      </c>
      <c r="B22" s="208" t="s">
        <v>2023</v>
      </c>
      <c r="C22" s="230">
        <f ca="1">ROUND(SUM(C23:C25),0)</f>
        <v>9316667</v>
      </c>
      <c r="D22" s="233">
        <f ca="1">C26</f>
        <v>1.9E-3</v>
      </c>
      <c r="E22" s="234" t="s">
        <v>2020</v>
      </c>
      <c r="F22" s="235">
        <f ca="1">'数据-取费表'!B40</f>
        <v>4.1499999999999995E-2</v>
      </c>
      <c r="G22" s="232" t="str">
        <f>IF('数据-取费表'!B22&lt;=1,"单利计息","复利计息")</f>
        <v>复利计息</v>
      </c>
    </row>
    <row r="23" spans="1:7" s="212" customFormat="1" ht="13.5" customHeight="1">
      <c r="A23" s="818" t="s">
        <v>1913</v>
      </c>
      <c r="B23" s="213" t="s">
        <v>2024</v>
      </c>
      <c r="C23" s="236">
        <f ca="1">ROUND(IF('数据-取费表'!B22&lt;=1,C5*F22*'数据-取费表'!B22,C5*(POWER((1+F22),'数据-取费表'!B22)-1)),0)</f>
        <v>4591560</v>
      </c>
      <c r="D23" s="236"/>
      <c r="E23" s="236"/>
      <c r="F23" s="237"/>
      <c r="G23" s="238" t="s">
        <v>2025</v>
      </c>
    </row>
    <row r="24" spans="1:7" s="212" customFormat="1" ht="13.5" customHeight="1">
      <c r="A24" s="818" t="s">
        <v>1915</v>
      </c>
      <c r="B24" s="213" t="s">
        <v>2026</v>
      </c>
      <c r="C24" s="236">
        <f ca="1">ROUND(IF('数据-取费表'!B22&lt;=1,C19*F22*('数据-取费表'!B19/2+'数据-取费表'!B20),C19*(POWER((1+F22),('数据-取费表'!B19/2+'数据-取费表'!B20))-1)),0)</f>
        <v>4591560</v>
      </c>
      <c r="D24" s="236"/>
      <c r="E24" s="236"/>
      <c r="F24" s="237"/>
      <c r="G24" s="238" t="s">
        <v>2027</v>
      </c>
    </row>
    <row r="25" spans="1:7" s="212" customFormat="1" ht="24">
      <c r="A25" s="818" t="s">
        <v>1917</v>
      </c>
      <c r="B25" s="213" t="s">
        <v>2028</v>
      </c>
      <c r="C25" s="236">
        <f ca="1">ROUND(IF('数据-取费表'!B22&lt;=1,C20*F22*'数据-取费表'!B22/2,C20*(POWER((1+F22),'数据-取费表'!B22/2)-1)),0)</f>
        <v>133547</v>
      </c>
      <c r="D25" s="236"/>
      <c r="E25" s="239"/>
      <c r="F25" s="237"/>
      <c r="G25" s="240" t="s">
        <v>2029</v>
      </c>
    </row>
    <row r="26" spans="1:7" s="212" customFormat="1">
      <c r="A26" s="818" t="s">
        <v>614</v>
      </c>
      <c r="B26" s="213" t="s">
        <v>1952</v>
      </c>
      <c r="C26" s="236">
        <f ca="1">ROUND(IF('数据-取费表'!B22&lt;=1,F21*F22*'数据-取费表'!B22/2,F21*(POWER((1+F22),'数据-取费表'!B22/2)-1)),4)</f>
        <v>1.9E-3</v>
      </c>
      <c r="D26" s="236"/>
      <c r="E26" s="239"/>
      <c r="F26" s="237"/>
      <c r="G26" s="241"/>
    </row>
    <row r="27" spans="1:7" s="212" customFormat="1" ht="24.75">
      <c r="A27" s="253" t="s">
        <v>1953</v>
      </c>
      <c r="B27" s="242" t="s">
        <v>1954</v>
      </c>
      <c r="C27" s="243">
        <f ca="1">C28</f>
        <v>12393913</v>
      </c>
      <c r="D27" s="233">
        <f ca="1">C29</f>
        <v>5.1000000000000004E-3</v>
      </c>
      <c r="E27" s="234" t="s">
        <v>1955</v>
      </c>
      <c r="F27" s="244">
        <f ca="1">IF(B1="",'数据-取费表'!Q16,INDIRECT("'数据-取费表'!q"&amp;$G$1))</f>
        <v>0.17</v>
      </c>
      <c r="G27" s="245" t="s">
        <v>1956</v>
      </c>
    </row>
    <row r="28" spans="1:7" s="212" customFormat="1" ht="13.5" customHeight="1">
      <c r="A28" s="818" t="s">
        <v>610</v>
      </c>
      <c r="B28" s="246" t="s">
        <v>1957</v>
      </c>
      <c r="C28" s="247">
        <f ca="1">ROUND((C5+C19+C20)*F27,0)</f>
        <v>12393913</v>
      </c>
      <c r="D28" s="233"/>
      <c r="E28" s="234"/>
      <c r="F28" s="244"/>
      <c r="G28" s="245"/>
    </row>
    <row r="29" spans="1:7" s="212" customFormat="1" ht="13.5" customHeight="1">
      <c r="A29" s="818" t="s">
        <v>611</v>
      </c>
      <c r="B29" s="246" t="s">
        <v>1958</v>
      </c>
      <c r="C29" s="236">
        <f ca="1">ROUND(C21*F27,4)</f>
        <v>5.1000000000000004E-3</v>
      </c>
      <c r="D29" s="233"/>
      <c r="E29" s="234"/>
      <c r="F29" s="244"/>
      <c r="G29" s="245"/>
    </row>
    <row r="30" spans="1:7" s="212" customFormat="1" ht="13.5" customHeight="1">
      <c r="A30" s="253" t="s">
        <v>1959</v>
      </c>
      <c r="B30" s="208" t="s">
        <v>1960</v>
      </c>
      <c r="C30" s="233">
        <f>ROUND(F30/(1+'数据-取费表'!C42),4)</f>
        <v>5.33E-2</v>
      </c>
      <c r="D30" s="234" t="s">
        <v>1955</v>
      </c>
      <c r="E30" s="239"/>
      <c r="F30" s="235">
        <f>'数据-取费表'!B41</f>
        <v>5.6000000000000001E-2</v>
      </c>
      <c r="G30" s="232" t="s">
        <v>1961</v>
      </c>
    </row>
    <row r="31" spans="1:7" ht="16.5" customHeight="1">
      <c r="A31" s="207">
        <v>1</v>
      </c>
      <c r="B31" s="208" t="s">
        <v>1962</v>
      </c>
      <c r="C31" s="209">
        <f ca="1">ROUND((C5+C19+C20+C22+C27)/(1-C21-D22-D27-C30),0)</f>
        <v>104007859</v>
      </c>
      <c r="D31" s="228"/>
      <c r="E31" s="209"/>
      <c r="F31" s="248"/>
      <c r="G31" s="232" t="s">
        <v>1963</v>
      </c>
    </row>
    <row r="32" spans="1:7" s="206" customFormat="1" ht="15.75">
      <c r="A32" s="250" t="s">
        <v>2030</v>
      </c>
      <c r="B32" s="251"/>
      <c r="C32" s="251"/>
      <c r="D32" s="251"/>
      <c r="E32" s="251"/>
      <c r="F32" s="251"/>
      <c r="G32" s="252"/>
    </row>
    <row r="33" spans="1:7" s="212" customFormat="1" ht="13.5" customHeight="1">
      <c r="A33" s="253" t="s">
        <v>601</v>
      </c>
      <c r="B33" s="208" t="s">
        <v>2031</v>
      </c>
      <c r="C33" s="254">
        <f ca="1">SUM(C34:C38)</f>
        <v>977675160</v>
      </c>
      <c r="D33" s="230"/>
      <c r="E33" s="210"/>
      <c r="F33" s="239"/>
      <c r="G33" s="232"/>
    </row>
    <row r="34" spans="1:7" s="256" customFormat="1" ht="13.5" customHeight="1">
      <c r="A34" s="818" t="s">
        <v>610</v>
      </c>
      <c r="B34" s="213" t="s">
        <v>1966</v>
      </c>
      <c r="C34" s="218">
        <f ca="1">ROUND(IF(B1="",SUMPRODUCT('数据-取费表'!K6:K14,'数据-取费表'!L6:L14),INDIRECT("'数据-取费表'!l"&amp;$G$1)*INDIRECT("'数据-取费表'!k"&amp;$G$1)+'数据-取费表'!L14*INDIRECT("'数据-取费表'!S"&amp;$G$1)),0)</f>
        <v>884773900</v>
      </c>
      <c r="D34" s="215"/>
      <c r="E34" s="218"/>
      <c r="F34" s="255"/>
      <c r="G34" s="217"/>
    </row>
    <row r="35" spans="1:7" ht="13.5" customHeight="1">
      <c r="A35" s="818" t="s">
        <v>615</v>
      </c>
      <c r="B35" s="213" t="s">
        <v>1968</v>
      </c>
      <c r="C35" s="218">
        <f ca="1">ROUND(C34*F35,0)</f>
        <v>44238695</v>
      </c>
      <c r="D35" s="218"/>
      <c r="E35" s="218"/>
      <c r="F35" s="257">
        <f>'数据-取费表'!B33</f>
        <v>0.05</v>
      </c>
      <c r="G35" s="217" t="s">
        <v>1969</v>
      </c>
    </row>
    <row r="36" spans="1:7" ht="24">
      <c r="A36" s="818" t="s">
        <v>616</v>
      </c>
      <c r="B36" s="213" t="s">
        <v>1970</v>
      </c>
      <c r="C36" s="218">
        <f ca="1">ROUND(IF(B1="",SUM('数据-取费表'!AP6:AP13)*F36,IF(INDIRECT("'数据-取费表'!c"&amp;$G$1)="住宅",INDIRECT("'数据-取费表'!k"&amp;$G$1)*INDIRECT("'数据-取费表'!l"&amp;$G$1)*F36,0)),0)</f>
        <v>0</v>
      </c>
      <c r="D36" s="218"/>
      <c r="E36" s="218"/>
      <c r="F36" s="257">
        <f>'数据-取费表'!B34</f>
        <v>0</v>
      </c>
      <c r="G36" s="258" t="s">
        <v>1971</v>
      </c>
    </row>
    <row r="37" spans="1:7" s="256" customFormat="1" ht="13.5" customHeight="1">
      <c r="A37" s="818" t="s">
        <v>617</v>
      </c>
      <c r="B37" s="213" t="s">
        <v>1972</v>
      </c>
      <c r="C37" s="247">
        <f ca="1">ROUND(E37*D37,0)</f>
        <v>35390956</v>
      </c>
      <c r="D37" s="215">
        <f ca="1">D19</f>
        <v>176954.78</v>
      </c>
      <c r="E37" s="247">
        <f>'数据-取费表'!B35</f>
        <v>200</v>
      </c>
      <c r="F37" s="257"/>
      <c r="G37" s="259"/>
    </row>
    <row r="38" spans="1:7" ht="13.5" customHeight="1">
      <c r="A38" s="818" t="s">
        <v>618</v>
      </c>
      <c r="B38" s="213" t="s">
        <v>1974</v>
      </c>
      <c r="C38" s="218">
        <f ca="1">ROUND(C34*F38,0)</f>
        <v>13271609</v>
      </c>
      <c r="D38" s="218"/>
      <c r="E38" s="218"/>
      <c r="F38" s="257">
        <f>'数据-取费表'!B36</f>
        <v>1.4999999999999999E-2</v>
      </c>
      <c r="G38" s="217" t="s">
        <v>1969</v>
      </c>
    </row>
    <row r="39" spans="1:7" s="212" customFormat="1" ht="13.5" customHeight="1">
      <c r="A39" s="253" t="s">
        <v>1975</v>
      </c>
      <c r="B39" s="208" t="s">
        <v>1976</v>
      </c>
      <c r="C39" s="230">
        <f ca="1">ROUND(C33*F20,0)</f>
        <v>29330255</v>
      </c>
      <c r="D39" s="230"/>
      <c r="E39" s="230"/>
      <c r="F39" s="2298">
        <f>F20</f>
        <v>0.03</v>
      </c>
      <c r="G39" s="232" t="s">
        <v>1977</v>
      </c>
    </row>
    <row r="40" spans="1:7" s="212" customFormat="1" ht="13.5" customHeight="1">
      <c r="A40" s="253" t="s">
        <v>1978</v>
      </c>
      <c r="B40" s="208" t="s">
        <v>1979</v>
      </c>
      <c r="C40" s="233">
        <f>F21</f>
        <v>0.03</v>
      </c>
      <c r="D40" s="234" t="s">
        <v>1980</v>
      </c>
      <c r="E40" s="230"/>
      <c r="F40" s="2298">
        <f>F21</f>
        <v>0.03</v>
      </c>
      <c r="G40" s="232" t="s">
        <v>1981</v>
      </c>
    </row>
    <row r="41" spans="1:7" s="212" customFormat="1" ht="13.5" customHeight="1">
      <c r="A41" s="253" t="s">
        <v>1982</v>
      </c>
      <c r="B41" s="208" t="s">
        <v>1983</v>
      </c>
      <c r="C41" s="230">
        <f ca="1">ROUND(SUM(C42:C43),0)</f>
        <v>63332025</v>
      </c>
      <c r="D41" s="233">
        <f ca="1">C44</f>
        <v>1.9E-3</v>
      </c>
      <c r="E41" s="234" t="s">
        <v>1980</v>
      </c>
      <c r="F41" s="2299">
        <f ca="1">F22</f>
        <v>4.1499999999999995E-2</v>
      </c>
      <c r="G41" s="232" t="str">
        <f>IF('数据-取费表'!B22&lt;=1,"单利计息","复利计息")</f>
        <v>复利计息</v>
      </c>
    </row>
    <row r="42" spans="1:7" ht="13.5" customHeight="1">
      <c r="A42" s="818" t="s">
        <v>610</v>
      </c>
      <c r="B42" s="213" t="s">
        <v>1984</v>
      </c>
      <c r="C42" s="236">
        <f ca="1">ROUND(IF('数据-取费表'!B22&lt;=1,C33*F22*'数据-取费表'!B20/2,C33*(POWER((1+F22),'数据-取费表'!B20/2)-1)),0)</f>
        <v>61487403</v>
      </c>
      <c r="D42" s="236"/>
      <c r="E42" s="236"/>
      <c r="F42" s="237"/>
      <c r="G42" s="3340" t="s">
        <v>2032</v>
      </c>
    </row>
    <row r="43" spans="1:7" ht="13.5" customHeight="1">
      <c r="A43" s="818" t="s">
        <v>611</v>
      </c>
      <c r="B43" s="213" t="s">
        <v>1986</v>
      </c>
      <c r="C43" s="236">
        <f ca="1">ROUND(IF('数据-取费表'!B22&lt;=1,C39*F22*'数据-取费表'!B20/2,C39*(POWER((1+F22),'数据-取费表'!B20/2)-1)),0)</f>
        <v>1844622</v>
      </c>
      <c r="D43" s="236"/>
      <c r="E43" s="236"/>
      <c r="F43" s="237"/>
      <c r="G43" s="3341"/>
    </row>
    <row r="44" spans="1:7" ht="13.5" customHeight="1">
      <c r="A44" s="818" t="s">
        <v>612</v>
      </c>
      <c r="B44" s="213" t="s">
        <v>1987</v>
      </c>
      <c r="C44" s="236">
        <f ca="1">ROUND(IF('数据-取费表'!B22&lt;=1,C40*F22*'数据-取费表'!B20/2,C40*(POWER((1+F22),'数据-取费表'!B20/2)-1)),4)</f>
        <v>1.9E-3</v>
      </c>
      <c r="D44" s="236"/>
      <c r="E44" s="236"/>
      <c r="F44" s="237"/>
      <c r="G44" s="3342"/>
    </row>
    <row r="45" spans="1:7" s="212" customFormat="1" ht="13.5" customHeight="1">
      <c r="A45" s="253" t="s">
        <v>1988</v>
      </c>
      <c r="B45" s="242" t="s">
        <v>1954</v>
      </c>
      <c r="C45" s="243">
        <f ca="1">C46</f>
        <v>171190921</v>
      </c>
      <c r="D45" s="233">
        <f ca="1">C47</f>
        <v>5.1000000000000004E-3</v>
      </c>
      <c r="E45" s="234" t="s">
        <v>1980</v>
      </c>
      <c r="F45" s="2300">
        <f ca="1">F27</f>
        <v>0.17</v>
      </c>
      <c r="G45" s="245" t="s">
        <v>1989</v>
      </c>
    </row>
    <row r="46" spans="1:7" s="212" customFormat="1" ht="13.5" customHeight="1">
      <c r="A46" s="818" t="s">
        <v>610</v>
      </c>
      <c r="B46" s="246" t="s">
        <v>1990</v>
      </c>
      <c r="C46" s="247">
        <f ca="1">ROUND((C33+C39)*F27,0)</f>
        <v>171190921</v>
      </c>
      <c r="D46" s="261"/>
      <c r="E46" s="234"/>
      <c r="F46" s="244"/>
      <c r="G46" s="245"/>
    </row>
    <row r="47" spans="1:7" s="212" customFormat="1" ht="13.5" customHeight="1">
      <c r="A47" s="818" t="s">
        <v>611</v>
      </c>
      <c r="B47" s="246" t="s">
        <v>1991</v>
      </c>
      <c r="C47" s="236">
        <f ca="1">ROUND(C40*F27,4)</f>
        <v>5.1000000000000004E-3</v>
      </c>
      <c r="D47" s="261"/>
      <c r="E47" s="234"/>
      <c r="F47" s="244"/>
      <c r="G47" s="245"/>
    </row>
    <row r="48" spans="1:7" s="212" customFormat="1" ht="13.5" customHeight="1">
      <c r="A48" s="253" t="s">
        <v>1953</v>
      </c>
      <c r="B48" s="208" t="s">
        <v>1992</v>
      </c>
      <c r="C48" s="260">
        <f>ROUND(F30/(1+'数据-取费表'!C42),4)</f>
        <v>5.33E-2</v>
      </c>
      <c r="D48" s="234" t="s">
        <v>1980</v>
      </c>
      <c r="E48" s="230"/>
      <c r="F48" s="2299">
        <f>F30</f>
        <v>5.6000000000000001E-2</v>
      </c>
      <c r="G48" s="232" t="s">
        <v>1993</v>
      </c>
    </row>
    <row r="49" spans="1:7" ht="16.5" customHeight="1">
      <c r="A49" s="253" t="s">
        <v>1959</v>
      </c>
      <c r="B49" s="208" t="s">
        <v>2033</v>
      </c>
      <c r="C49" s="230">
        <f ca="1">ROUND((C33+C39+C41+C45)/(1-C40-D41-D45-C48),0)</f>
        <v>1364766803</v>
      </c>
      <c r="D49" s="230"/>
      <c r="E49" s="230"/>
      <c r="F49" s="262"/>
      <c r="G49" s="232" t="s">
        <v>1995</v>
      </c>
    </row>
    <row r="50" spans="1:7" s="256" customFormat="1">
      <c r="A50" s="253" t="s">
        <v>1996</v>
      </c>
      <c r="B50" s="208" t="s">
        <v>1997</v>
      </c>
      <c r="C50" s="230"/>
      <c r="D50" s="230"/>
      <c r="E50" s="230"/>
      <c r="F50" s="262">
        <f>IF('数据-取费表'!B24=0,'数据-取费表'!N16,1)</f>
        <v>0.87</v>
      </c>
      <c r="G50" s="245"/>
    </row>
    <row r="51" spans="1:7" ht="16.5" customHeight="1">
      <c r="A51" s="253" t="s">
        <v>1999</v>
      </c>
      <c r="B51" s="208" t="s">
        <v>2034</v>
      </c>
      <c r="C51" s="230">
        <f ca="1">ROUND(C49*F50,0)</f>
        <v>1187347119</v>
      </c>
      <c r="D51" s="230"/>
      <c r="E51" s="230"/>
      <c r="F51" s="262"/>
      <c r="G51" s="232" t="s">
        <v>2001</v>
      </c>
    </row>
    <row r="52" spans="1:7" s="206" customFormat="1" ht="16.5" thickBot="1">
      <c r="A52" s="263" t="s">
        <v>2002</v>
      </c>
      <c r="B52" s="264"/>
      <c r="C52" s="265">
        <f ca="1">C31+C51</f>
        <v>1291354978</v>
      </c>
      <c r="D52" s="264"/>
      <c r="E52" s="264"/>
      <c r="F52" s="264"/>
      <c r="G52" s="266"/>
    </row>
    <row r="55" spans="1:7" ht="15">
      <c r="B55" s="268" t="s">
        <v>2003</v>
      </c>
      <c r="C55" s="269"/>
    </row>
    <row r="56" spans="1:7">
      <c r="B56" s="271" t="s">
        <v>1237</v>
      </c>
      <c r="C56" s="273">
        <f ca="1">1-C57</f>
        <v>8.0999999999999961E-2</v>
      </c>
    </row>
    <row r="57" spans="1:7">
      <c r="B57" s="271" t="s">
        <v>1238</v>
      </c>
      <c r="C57" s="272">
        <f ca="1">ROUND(C51/C52,3)</f>
        <v>0.91900000000000004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6" customWidth="1"/>
    <col min="2" max="2" width="25.75" style="819" customWidth="1"/>
    <col min="3" max="3" width="10.375" style="859" customWidth="1"/>
    <col min="4" max="4" width="9.875" style="819" customWidth="1"/>
    <col min="5" max="5" width="9.5" style="696" customWidth="1"/>
    <col min="6" max="6" width="10.125" style="819" customWidth="1"/>
    <col min="7" max="7" width="10.75" style="819" customWidth="1"/>
    <col min="8" max="8" width="10" style="819" customWidth="1"/>
    <col min="9" max="11" width="9.5" style="819" customWidth="1"/>
    <col min="12" max="12" width="9" style="819" customWidth="1"/>
    <col min="13" max="13" width="10.5" style="819" bestFit="1" customWidth="1"/>
    <col min="14" max="254" width="9" style="819" customWidth="1"/>
    <col min="255" max="16384" width="6.625" style="819"/>
  </cols>
  <sheetData>
    <row r="1" spans="1:33" ht="20.25">
      <c r="A1" s="194" t="s">
        <v>2035</v>
      </c>
      <c r="B1" s="126"/>
      <c r="C1" s="1220"/>
      <c r="D1" s="1219"/>
      <c r="E1" s="2731"/>
      <c r="F1" s="2731"/>
      <c r="G1" s="2610"/>
      <c r="H1" s="2731"/>
      <c r="I1" s="2731"/>
      <c r="J1" s="2731"/>
      <c r="K1" s="2732">
        <f>MATCH(C1,'数据-取费表'!A6:A16,0)+5</f>
        <v>8</v>
      </c>
    </row>
    <row r="2" spans="1:33" ht="18" customHeight="1">
      <c r="A2" s="199" t="s">
        <v>1903</v>
      </c>
      <c r="B2" s="202">
        <f ca="1">C32</f>
        <v>0</v>
      </c>
      <c r="C2" s="274" t="s">
        <v>2036</v>
      </c>
      <c r="D2" s="274"/>
      <c r="E2" s="2731"/>
      <c r="F2" s="2731"/>
      <c r="G2" s="2731"/>
      <c r="H2" s="2731"/>
      <c r="I2" s="2731"/>
      <c r="J2" s="2731"/>
      <c r="K2" s="2731"/>
    </row>
    <row r="3" spans="1:33" ht="18" customHeight="1" thickBot="1">
      <c r="A3" s="201" t="s">
        <v>1905</v>
      </c>
      <c r="B3" s="202">
        <f ca="1">ROUND(B2*10000/IF(C1="",'数据-汇总表'!E3,INDIRECT("'数据-取费表'!K"&amp;$K$1)),0)</f>
        <v>0</v>
      </c>
      <c r="C3" s="274" t="s">
        <v>2037</v>
      </c>
      <c r="D3" s="274"/>
      <c r="E3" s="2731"/>
      <c r="F3" s="2731"/>
      <c r="G3" s="2731"/>
      <c r="H3" s="2731"/>
      <c r="I3" s="2731"/>
      <c r="J3" s="2731"/>
      <c r="K3" s="2731"/>
    </row>
    <row r="4" spans="1:33" s="823" customFormat="1" ht="16.5" customHeight="1">
      <c r="A4" s="820" t="s">
        <v>2038</v>
      </c>
      <c r="B4" s="821"/>
      <c r="C4" s="860">
        <f>SUM(C8:K8)</f>
        <v>0</v>
      </c>
      <c r="D4" s="821"/>
      <c r="E4" s="821"/>
      <c r="F4" s="821"/>
      <c r="G4" s="821"/>
      <c r="H4" s="821"/>
      <c r="I4" s="821"/>
      <c r="J4" s="821"/>
      <c r="K4" s="822"/>
    </row>
    <row r="5" spans="1:33" s="827" customFormat="1" ht="24.75">
      <c r="A5" s="824" t="s">
        <v>2039</v>
      </c>
      <c r="B5" s="825" t="s">
        <v>2040</v>
      </c>
      <c r="C5" s="1848" t="s">
        <v>2041</v>
      </c>
      <c r="D5" s="1848" t="s">
        <v>2042</v>
      </c>
      <c r="E5" s="1848" t="s">
        <v>2043</v>
      </c>
      <c r="F5" s="1848"/>
      <c r="G5" s="1848"/>
      <c r="H5" s="1848"/>
      <c r="I5" s="1848"/>
      <c r="J5" s="1848"/>
      <c r="K5" s="1848"/>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2044</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2045</v>
      </c>
      <c r="B7" s="128" t="s">
        <v>2046</v>
      </c>
      <c r="C7" s="275">
        <f>SUMIF('数据-汇总表'!$C19:$C33,假设开发法!C5,'数据-汇总表'!$E19:$E33)</f>
        <v>0</v>
      </c>
      <c r="D7" s="275">
        <f>SUMIF('数据-汇总表'!$C19:$C33,假设开发法!D5,'数据-汇总表'!$E19:$E33)</f>
        <v>0</v>
      </c>
      <c r="E7" s="275">
        <f>SUMIF('数据-汇总表'!$C19:$C33,假设开发法!E5,'数据-汇总表'!$E19:$E33)</f>
        <v>60266.74</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9" t="s">
        <v>2047</v>
      </c>
      <c r="B8" s="161" t="s">
        <v>2048</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2049</v>
      </c>
      <c r="B9" s="821"/>
      <c r="C9" s="821"/>
      <c r="D9" s="821"/>
      <c r="E9" s="821"/>
      <c r="F9" s="821"/>
      <c r="G9" s="821"/>
      <c r="H9" s="821"/>
      <c r="I9" s="821"/>
      <c r="J9" s="821"/>
      <c r="K9" s="822"/>
    </row>
    <row r="10" spans="1:33" s="835" customFormat="1" ht="13.5" customHeight="1">
      <c r="A10" s="824" t="s">
        <v>2050</v>
      </c>
      <c r="B10" s="8" t="s">
        <v>2051</v>
      </c>
      <c r="C10" s="831" t="s">
        <v>2052</v>
      </c>
      <c r="D10" s="832" t="s">
        <v>2053</v>
      </c>
      <c r="E10" s="832" t="s">
        <v>2054</v>
      </c>
      <c r="F10" s="832" t="s">
        <v>2055</v>
      </c>
      <c r="G10" s="8"/>
      <c r="H10" s="833"/>
      <c r="I10" s="833"/>
      <c r="J10" s="833"/>
      <c r="K10" s="834"/>
    </row>
    <row r="11" spans="1:33" s="840" customFormat="1" ht="13.5" customHeight="1">
      <c r="A11" s="836" t="s">
        <v>1060</v>
      </c>
      <c r="B11" s="837" t="s">
        <v>2056</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1061</v>
      </c>
      <c r="B12" s="837" t="s">
        <v>2057</v>
      </c>
      <c r="C12" s="24">
        <f ca="1">ROUND(C11*F12,0)</f>
        <v>0</v>
      </c>
      <c r="D12" s="838"/>
      <c r="E12" s="143"/>
      <c r="F12" s="841">
        <f>'数据-取费表'!B33</f>
        <v>0.05</v>
      </c>
      <c r="G12" s="8" t="s">
        <v>2058</v>
      </c>
      <c r="H12" s="833"/>
      <c r="I12" s="833"/>
      <c r="J12" s="833"/>
      <c r="K12" s="834"/>
    </row>
    <row r="13" spans="1:33" s="840" customFormat="1" ht="13.5" customHeight="1">
      <c r="A13" s="836" t="s">
        <v>1062</v>
      </c>
      <c r="B13" s="837" t="s">
        <v>2059</v>
      </c>
      <c r="C13" s="24">
        <f ca="1">ROUND(IF(C1="",SUMIF('数据-取费表'!C:C,"住宅",'数据-取费表'!P:P)*F13,IF(INDIRECT("'数据-取费表'!c"&amp;$K$1)="住宅",INDIRECT("'数据-取费表'!P"&amp;$K$1)*F13,0)),0)</f>
        <v>0</v>
      </c>
      <c r="D13" s="881"/>
      <c r="E13" s="143"/>
      <c r="F13" s="841">
        <f>'数据-取费表'!B34</f>
        <v>0</v>
      </c>
      <c r="G13" s="8" t="s">
        <v>2060</v>
      </c>
      <c r="H13" s="833"/>
      <c r="I13" s="833"/>
      <c r="J13" s="833"/>
      <c r="K13" s="834"/>
    </row>
    <row r="14" spans="1:33" s="842" customFormat="1" ht="13.5" customHeight="1">
      <c r="A14" s="836" t="s">
        <v>1063</v>
      </c>
      <c r="B14" s="837" t="s">
        <v>2061</v>
      </c>
      <c r="C14" s="24">
        <f ca="1">ROUND(D14*E14*F11/10000,0)</f>
        <v>0</v>
      </c>
      <c r="D14" s="881">
        <f ca="1">IF(C1="",'数据-汇总表'!E3,INDIRECT("'数据-取费表'!K"&amp;$K$1)+INDIRECT("'数据-取费表'!S"&amp;$K$1))</f>
        <v>176954.78</v>
      </c>
      <c r="E14" s="24">
        <f>'数据-取费表'!B35</f>
        <v>200</v>
      </c>
      <c r="F14" s="841"/>
      <c r="G14" s="8" t="s">
        <v>2062</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2063</v>
      </c>
      <c r="C15" s="848">
        <f ca="1">ROUND(C11*F15,0)</f>
        <v>0</v>
      </c>
      <c r="D15" s="843"/>
      <c r="E15" s="848"/>
      <c r="F15" s="849">
        <f>'数据-取费表'!B36</f>
        <v>1.4999999999999999E-2</v>
      </c>
      <c r="G15" s="128" t="s">
        <v>2064</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2065</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2066</v>
      </c>
      <c r="C17" s="24">
        <f ca="1">ROUND(D17*E17/10000,0)</f>
        <v>0</v>
      </c>
      <c r="D17" s="881">
        <f ca="1">D14</f>
        <v>176954.78</v>
      </c>
      <c r="E17" s="24">
        <f>'数据-取费表'!B32</f>
        <v>0</v>
      </c>
      <c r="F17" s="843"/>
      <c r="G17" s="128" t="s">
        <v>2067</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2068</v>
      </c>
      <c r="C18" s="24">
        <f ca="1">C19+C20-IF(C1="",'数据-取费表'!B29,IF(G18="已全部缴纳",C19+C20,H18))</f>
        <v>0</v>
      </c>
      <c r="D18" s="881"/>
      <c r="E18" s="24"/>
      <c r="F18" s="841"/>
      <c r="G18" s="1850"/>
      <c r="H18" s="1216"/>
      <c r="I18" s="1851" t="s">
        <v>2069</v>
      </c>
      <c r="J18" s="844"/>
      <c r="K18" s="845"/>
    </row>
    <row r="19" spans="1:33" s="840" customFormat="1" ht="13.5" customHeight="1">
      <c r="A19" s="836" t="s">
        <v>624</v>
      </c>
      <c r="B19" s="837" t="s">
        <v>2070</v>
      </c>
      <c r="C19" s="24">
        <f ca="1">ROUND(D19*E19/10000,0)</f>
        <v>0</v>
      </c>
      <c r="D19" s="881">
        <f ca="1">IF(C1="",'数据-汇总表'!E5,IF(INDIRECT("'数据-取费表'!c"&amp;$K$1)="住宅",INDIRECT("'数据-取费表'!k"&amp;$K$1),0))</f>
        <v>0</v>
      </c>
      <c r="E19" s="24">
        <f>'数据-取费表'!B27</f>
        <v>160</v>
      </c>
      <c r="F19" s="841"/>
      <c r="G19" s="15"/>
      <c r="H19" s="1218"/>
      <c r="I19" s="846"/>
      <c r="J19" s="846"/>
      <c r="K19" s="847"/>
    </row>
    <row r="20" spans="1:33" s="840" customFormat="1" ht="13.5" customHeight="1">
      <c r="A20" s="836" t="s">
        <v>625</v>
      </c>
      <c r="B20" s="837" t="s">
        <v>2071</v>
      </c>
      <c r="C20" s="24">
        <f ca="1">ROUND(D20*E20/10000,0)</f>
        <v>3539</v>
      </c>
      <c r="D20" s="881">
        <f ca="1">IF(C1="",'数据-汇总表'!E6,IF(INDIRECT("'数据-取费表'!c"&amp;$K$1)="住宅",INDIRECT("'数据-取费表'!s"&amp;$K$1),INDIRECT("'数据-取费表'!k"&amp;$K$1)+INDIRECT("'数据-取费表'!s"&amp;$K$1)))</f>
        <v>176954.78</v>
      </c>
      <c r="E20" s="24">
        <f>'数据-取费表'!B28</f>
        <v>200</v>
      </c>
      <c r="F20" s="841"/>
      <c r="G20" s="15"/>
      <c r="H20" s="846"/>
      <c r="I20" s="846"/>
      <c r="J20" s="846"/>
      <c r="K20" s="847"/>
    </row>
    <row r="21" spans="1:33" s="840" customFormat="1" ht="13.5" customHeight="1">
      <c r="A21" s="828" t="s">
        <v>621</v>
      </c>
      <c r="B21" s="850" t="s">
        <v>2072</v>
      </c>
      <c r="C21" s="851">
        <f ca="1">C16+C17+C18</f>
        <v>0</v>
      </c>
      <c r="D21" s="852"/>
      <c r="E21" s="279"/>
      <c r="F21" s="279"/>
      <c r="G21" s="128" t="s">
        <v>2073</v>
      </c>
      <c r="H21" s="844"/>
      <c r="I21" s="844"/>
      <c r="J21" s="844"/>
      <c r="K21" s="845"/>
    </row>
    <row r="22" spans="1:33" s="840" customFormat="1" ht="13.5" customHeight="1">
      <c r="A22" s="828" t="s">
        <v>2045</v>
      </c>
      <c r="B22" s="850" t="s">
        <v>2074</v>
      </c>
      <c r="C22" s="851">
        <f ca="1">ROUND(C21*F22,0)</f>
        <v>0</v>
      </c>
      <c r="D22" s="279"/>
      <c r="E22" s="279"/>
      <c r="F22" s="853">
        <f>'数据-取费表'!B37</f>
        <v>0.03</v>
      </c>
      <c r="G22" s="8" t="s">
        <v>2075</v>
      </c>
      <c r="H22" s="833"/>
      <c r="I22" s="833"/>
      <c r="J22" s="833"/>
      <c r="K22" s="834"/>
    </row>
    <row r="23" spans="1:33" s="840" customFormat="1" ht="13.5" customHeight="1">
      <c r="A23" s="828" t="s">
        <v>2047</v>
      </c>
      <c r="B23" s="850" t="s">
        <v>2076</v>
      </c>
      <c r="C23" s="851">
        <f ca="1">ROUND(C4*F23*F11,0)</f>
        <v>0</v>
      </c>
      <c r="D23" s="279"/>
      <c r="E23" s="279"/>
      <c r="F23" s="853">
        <f>'数据-取费表'!B38</f>
        <v>0.03</v>
      </c>
      <c r="G23" s="8" t="s">
        <v>2077</v>
      </c>
      <c r="H23" s="833"/>
      <c r="I23" s="833"/>
      <c r="J23" s="833"/>
      <c r="K23" s="834"/>
    </row>
    <row r="24" spans="1:33" s="840" customFormat="1" ht="13.5" customHeight="1">
      <c r="A24" s="828" t="s">
        <v>2078</v>
      </c>
      <c r="B24" s="850" t="s">
        <v>2079</v>
      </c>
      <c r="C24" s="278">
        <f>ROUND(F24/(1+'数据-取费表'!C42),4)</f>
        <v>2.9000000000000001E-2</v>
      </c>
      <c r="D24" s="279" t="s">
        <v>15</v>
      </c>
      <c r="E24" s="279"/>
      <c r="F24" s="853">
        <f>IF(项目基本情况!B8="出让",0,'数据-取费表'!B48+'数据-取费表'!B49)</f>
        <v>3.0499999999999999E-2</v>
      </c>
      <c r="G24" s="8" t="s">
        <v>2080</v>
      </c>
      <c r="H24" s="855"/>
      <c r="I24" s="855"/>
      <c r="J24" s="855"/>
      <c r="K24" s="59"/>
    </row>
    <row r="25" spans="1:33" s="840" customFormat="1" ht="13.5" customHeight="1">
      <c r="A25" s="828" t="s">
        <v>2081</v>
      </c>
      <c r="B25" s="852" t="s">
        <v>2082</v>
      </c>
      <c r="C25" s="1151">
        <f ca="1">C27</f>
        <v>0</v>
      </c>
      <c r="D25" s="278">
        <f ca="1">C26</f>
        <v>0</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2083</v>
      </c>
      <c r="C26" s="1152">
        <f ca="1">ROUND(IF('数据-取费表'!B22&lt;=1,(1+C24)*F25*'数据-取费表'!B24,(1+C24)*(POWER((1+F25),'数据-取费表'!B24)-1)),4)</f>
        <v>0</v>
      </c>
      <c r="D26" s="282"/>
      <c r="E26" s="283"/>
      <c r="F26" s="284"/>
      <c r="G26" s="1852"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2084</v>
      </c>
      <c r="C27" s="1153">
        <f ca="1">ROUND(IF('数据-取费表'!B22&lt;=1,(C21+C22+C23)*F25*'数据-取费表'!B24/2,(C21+C22+C23)*(POWER((1+F25),'数据-取费表'!B24/2)-1)),0)</f>
        <v>0</v>
      </c>
      <c r="D27" s="282"/>
      <c r="E27" s="283"/>
      <c r="F27" s="284"/>
      <c r="G27" s="1852" t="str">
        <f>IF('数据-取费表'!B22&lt;=1,"（1）-（3）项×年利率×建设期÷2","（1）-（3）项×((1+年利率)^(建设期÷2)-1)")</f>
        <v>（1）-（3）项×((1+年利率)^(建设期÷2)-1)</v>
      </c>
      <c r="H27" s="844"/>
      <c r="I27" s="844"/>
      <c r="J27" s="844"/>
      <c r="K27" s="845"/>
    </row>
    <row r="28" spans="1:33" s="287" customFormat="1" ht="13.5" customHeight="1">
      <c r="A28" s="828" t="s">
        <v>2085</v>
      </c>
      <c r="B28" s="1853" t="s">
        <v>2086</v>
      </c>
      <c r="C28" s="285">
        <f ca="1">C30</f>
        <v>0</v>
      </c>
      <c r="D28" s="278">
        <f ca="1">C29</f>
        <v>0</v>
      </c>
      <c r="E28" s="280" t="s">
        <v>15</v>
      </c>
      <c r="F28" s="286">
        <f ca="1">IF(C1="",'数据-取费表'!Q16,INDIRECT("'数据-取费表'!q"&amp;$K$1))</f>
        <v>0.17</v>
      </c>
      <c r="G28" s="854"/>
      <c r="H28" s="855"/>
      <c r="I28" s="855"/>
      <c r="J28" s="855"/>
      <c r="K28" s="59"/>
    </row>
    <row r="29" spans="1:33" s="289" customFormat="1" ht="13.5" customHeight="1">
      <c r="A29" s="836" t="s">
        <v>622</v>
      </c>
      <c r="B29" s="858" t="s">
        <v>2087</v>
      </c>
      <c r="C29" s="282">
        <f ca="1">ROUND((1+C24)*F28*'数据-取费表'!B24/'数据-取费表'!B20,4)</f>
        <v>0</v>
      </c>
      <c r="D29" s="282"/>
      <c r="E29" s="283"/>
      <c r="F29" s="288"/>
      <c r="G29" s="128" t="s">
        <v>2088</v>
      </c>
      <c r="H29" s="844"/>
      <c r="I29" s="844"/>
      <c r="J29" s="844"/>
      <c r="K29" s="845"/>
    </row>
    <row r="30" spans="1:33" s="289" customFormat="1" ht="13.5" customHeight="1">
      <c r="A30" s="836" t="s">
        <v>623</v>
      </c>
      <c r="B30" s="858" t="s">
        <v>2089</v>
      </c>
      <c r="C30" s="290">
        <f ca="1">ROUND((C21+C22+C23)*F28,0)</f>
        <v>0</v>
      </c>
      <c r="D30" s="282"/>
      <c r="E30" s="283"/>
      <c r="F30" s="288"/>
      <c r="G30" s="128"/>
      <c r="H30" s="844"/>
      <c r="I30" s="844"/>
      <c r="J30" s="844"/>
      <c r="K30" s="845"/>
    </row>
    <row r="31" spans="1:33" s="840" customFormat="1" ht="13.5" customHeight="1" thickBot="1">
      <c r="A31" s="1854" t="s">
        <v>2090</v>
      </c>
      <c r="B31" s="868" t="s">
        <v>2091</v>
      </c>
      <c r="C31" s="869">
        <f>ROUND(C4*F31/(1+'数据-取费表'!C42),0)</f>
        <v>0</v>
      </c>
      <c r="D31" s="870"/>
      <c r="E31" s="871"/>
      <c r="F31" s="872">
        <f>'数据-取费表'!B41</f>
        <v>5.6000000000000001E-2</v>
      </c>
      <c r="G31" s="873" t="s">
        <v>2092</v>
      </c>
      <c r="H31" s="874"/>
      <c r="I31" s="874"/>
      <c r="J31" s="874"/>
      <c r="K31" s="875"/>
    </row>
    <row r="32" spans="1:33" s="835" customFormat="1" ht="13.5" customHeight="1" thickBot="1">
      <c r="A32" s="457" t="s">
        <v>2093</v>
      </c>
      <c r="B32" s="864"/>
      <c r="C32" s="865">
        <f ca="1">ROUND((C4-C21-C22-C23-C25-C28-C31)/(1+C24+D25+D28),0)</f>
        <v>0</v>
      </c>
      <c r="D32" s="864"/>
      <c r="E32" s="864"/>
      <c r="F32" s="864"/>
      <c r="G32" s="866" t="s">
        <v>2094</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8" zoomScale="90" zoomScaleNormal="60" zoomScaleSheetLayoutView="90" workbookViewId="0">
      <selection activeCell="I46" sqref="I46"/>
    </sheetView>
  </sheetViews>
  <sheetFormatPr defaultColWidth="9" defaultRowHeight="14.25"/>
  <cols>
    <col min="1" max="1" width="14.375" style="353" customWidth="1"/>
    <col min="2" max="2" width="15.75" style="353" customWidth="1"/>
    <col min="3" max="3" width="16.5" style="353" customWidth="1"/>
    <col min="4" max="4" width="14.125" style="353" customWidth="1"/>
    <col min="5" max="5" width="16.25" style="353" customWidth="1"/>
    <col min="6" max="6" width="12.25" style="353" customWidth="1"/>
    <col min="7" max="7" width="16.5" style="353" customWidth="1"/>
    <col min="8" max="8" width="12.25" style="353" customWidth="1"/>
    <col min="9" max="9" width="16.7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2320</v>
      </c>
      <c r="B1" s="346"/>
      <c r="C1" s="347" t="s">
        <v>2321</v>
      </c>
      <c r="D1" s="660"/>
      <c r="E1" s="660"/>
      <c r="F1" s="659" t="s">
        <v>2219</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1903</v>
      </c>
      <c r="B2" s="599">
        <f>F65</f>
        <v>215151</v>
      </c>
      <c r="C2" s="961"/>
      <c r="D2" s="961"/>
      <c r="E2" s="962"/>
      <c r="F2" s="963"/>
      <c r="G2" s="962"/>
      <c r="H2" s="962"/>
      <c r="I2" s="962"/>
      <c r="J2" s="962"/>
      <c r="K2" s="964"/>
      <c r="L2" s="2665"/>
      <c r="M2" s="2666"/>
      <c r="N2" s="2666"/>
      <c r="O2" s="2666"/>
      <c r="P2" s="347"/>
      <c r="Q2" s="347"/>
      <c r="R2" s="347"/>
      <c r="S2" s="347"/>
      <c r="T2" s="347"/>
      <c r="U2" s="347"/>
      <c r="V2" s="347"/>
      <c r="W2" s="347"/>
      <c r="X2" s="347"/>
      <c r="Y2" s="347"/>
      <c r="Z2" s="347"/>
      <c r="AA2" s="347"/>
      <c r="AB2" s="347"/>
      <c r="AC2" s="672"/>
    </row>
    <row r="3" spans="1:29" s="348" customFormat="1" ht="28.5" customHeight="1" thickBot="1">
      <c r="A3" s="201" t="s">
        <v>1905</v>
      </c>
      <c r="B3" s="544">
        <f>ROUND(IF(D3="",B2*10000/'数据-汇总表'!E3,B2*10000/D3),0)</f>
        <v>12159</v>
      </c>
      <c r="C3" s="201" t="s">
        <v>2322</v>
      </c>
      <c r="D3" s="1221"/>
      <c r="E3" s="962"/>
      <c r="F3" s="963"/>
      <c r="G3" s="962"/>
      <c r="H3" s="962"/>
      <c r="I3" s="962"/>
      <c r="J3" s="962"/>
      <c r="K3" s="964"/>
      <c r="L3" s="2665"/>
      <c r="M3" s="2666"/>
      <c r="N3" s="2666"/>
      <c r="O3" s="2666"/>
      <c r="P3" s="347"/>
      <c r="Q3" s="347"/>
      <c r="R3" s="347"/>
      <c r="S3" s="347"/>
      <c r="T3" s="347"/>
      <c r="U3" s="347"/>
      <c r="V3" s="347"/>
      <c r="W3" s="347"/>
      <c r="X3" s="347"/>
      <c r="Y3" s="347"/>
      <c r="Z3" s="347"/>
      <c r="AA3" s="347"/>
      <c r="AB3" s="685"/>
      <c r="AC3" s="672"/>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365" t="s">
        <v>2227</v>
      </c>
      <c r="Q4" s="3366"/>
      <c r="R4" s="3348" t="s">
        <v>2223</v>
      </c>
      <c r="S4" s="3349"/>
      <c r="T4" s="3348" t="s">
        <v>2224</v>
      </c>
      <c r="U4" s="3349"/>
      <c r="V4" s="3373" t="s">
        <v>2225</v>
      </c>
      <c r="W4" s="3373"/>
      <c r="X4" s="1394"/>
      <c r="Y4" s="3348" t="s">
        <v>2227</v>
      </c>
      <c r="Z4" s="3349"/>
      <c r="AA4" s="3343" t="s">
        <v>2223</v>
      </c>
      <c r="AB4" s="3344" t="s">
        <v>2224</v>
      </c>
      <c r="AC4" s="3343" t="s">
        <v>2225</v>
      </c>
    </row>
    <row r="5" spans="1:29" ht="55.5" customHeight="1">
      <c r="A5" s="354"/>
      <c r="B5" s="355"/>
      <c r="C5" s="3354" t="s">
        <v>2118</v>
      </c>
      <c r="D5" s="3355"/>
      <c r="E5" s="3352" t="str">
        <f>土地案例!A4</f>
        <v>北京市丰台区丽泽金融商务区D-01地块B4综合性商业金融服务业用地</v>
      </c>
      <c r="F5" s="3353"/>
      <c r="G5" s="3354" t="str">
        <f>土地案例!A17</f>
        <v>北京市石景山区首钢园区东南区土地一级开发项目1612-774地块B4综合性商业金融服务业用地</v>
      </c>
      <c r="H5" s="3355"/>
      <c r="I5" s="3354" t="str">
        <f>土地案例!A18</f>
        <v>北京市东城区广渠门外大街马圈土地一级开发项目0407-001地块F3其他类多功能用地</v>
      </c>
      <c r="J5" s="3355"/>
      <c r="K5" s="545"/>
      <c r="L5" s="2648"/>
      <c r="M5" s="2649"/>
      <c r="N5" s="2649"/>
      <c r="O5" s="2649"/>
      <c r="P5" s="3367"/>
      <c r="Q5" s="3368"/>
      <c r="R5" s="3350"/>
      <c r="S5" s="3351"/>
      <c r="T5" s="3350"/>
      <c r="U5" s="3351"/>
      <c r="V5" s="3373"/>
      <c r="W5" s="3373"/>
      <c r="X5" s="1394"/>
      <c r="Y5" s="3350"/>
      <c r="Z5" s="3351"/>
      <c r="AA5" s="3344"/>
      <c r="AB5" s="3344"/>
      <c r="AC5" s="3344"/>
    </row>
    <row r="6" spans="1:29" ht="15.75" thickBot="1">
      <c r="A6" s="356"/>
      <c r="B6" s="357"/>
      <c r="C6" s="3356" t="s">
        <v>2122</v>
      </c>
      <c r="D6" s="3357"/>
      <c r="E6" s="3358" t="s">
        <v>2122</v>
      </c>
      <c r="F6" s="3359"/>
      <c r="G6" s="3356" t="s">
        <v>2122</v>
      </c>
      <c r="H6" s="3357"/>
      <c r="I6" s="3356" t="s">
        <v>2122</v>
      </c>
      <c r="J6" s="3357"/>
      <c r="K6" s="545" t="s">
        <v>2123</v>
      </c>
      <c r="L6" s="2648"/>
      <c r="M6" s="2649"/>
      <c r="N6" s="2649"/>
      <c r="O6" s="2649"/>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f>土地案例!M4</f>
        <v>44798.000497685185</v>
      </c>
      <c r="F7" s="363">
        <f>SUMIF(69:69,YEAR(E7)&amp;"-"&amp;INT((MONTH(E7)+2)/3),70:70)</f>
        <v>99</v>
      </c>
      <c r="G7" s="1952">
        <f>土地案例!M17</f>
        <v>44495.000497685185</v>
      </c>
      <c r="H7" s="361">
        <f>SUMIF(69:69,YEAR(G7)&amp;"-"&amp;INT((MONTH(G7)+2)/3),70:70)</f>
        <v>96</v>
      </c>
      <c r="I7" s="1952">
        <f>土地案例!M18</f>
        <v>44495.000497685185</v>
      </c>
      <c r="J7" s="361">
        <f>SUMIF(69:69,YEAR(I7)&amp;"-"&amp;INT((MONTH(I7)+2)/3),70:70)</f>
        <v>96</v>
      </c>
      <c r="K7" s="41"/>
      <c r="L7" s="2650"/>
      <c r="M7" s="2603"/>
      <c r="N7" s="2603"/>
      <c r="O7" s="2603"/>
      <c r="P7" s="3346" t="s">
        <v>2125</v>
      </c>
      <c r="Q7" s="3374"/>
      <c r="R7" s="673" t="s">
        <v>17</v>
      </c>
      <c r="S7" s="674">
        <f t="shared" ref="S7:S15" si="0">F7</f>
        <v>99</v>
      </c>
      <c r="T7" s="673" t="s">
        <v>17</v>
      </c>
      <c r="U7" s="674">
        <f t="shared" ref="U7:U15" si="1">H7</f>
        <v>96</v>
      </c>
      <c r="V7" s="673" t="s">
        <v>17</v>
      </c>
      <c r="W7" s="674">
        <f t="shared" ref="W7:W15" si="2">J7</f>
        <v>96</v>
      </c>
      <c r="X7" s="675"/>
      <c r="Y7" s="3346" t="s">
        <v>2125</v>
      </c>
      <c r="Z7" s="3347"/>
      <c r="AA7" s="53">
        <f>D7/F7</f>
        <v>1.0101010101010102</v>
      </c>
      <c r="AB7" s="53">
        <f>D7/H7</f>
        <v>1.0416666666666667</v>
      </c>
      <c r="AC7" s="53">
        <f>D7/J7</f>
        <v>1.0416666666666667</v>
      </c>
    </row>
    <row r="8" spans="1:29" s="107" customFormat="1" ht="15.75" thickBot="1">
      <c r="A8" s="358" t="s">
        <v>2126</v>
      </c>
      <c r="B8" s="359"/>
      <c r="C8" s="364" t="s">
        <v>2127</v>
      </c>
      <c r="D8" s="361">
        <v>100</v>
      </c>
      <c r="E8" s="364" t="s">
        <v>2127</v>
      </c>
      <c r="F8" s="363">
        <f>SUMIF(72:72,E8,73:73)-SUMIF(72:72,C8,73:73)+100</f>
        <v>100</v>
      </c>
      <c r="G8" s="364" t="s">
        <v>2127</v>
      </c>
      <c r="H8" s="361">
        <f>SUMIF(72:72,G8,73:73)-SUMIF(72:72,C8,73:73)+100</f>
        <v>100</v>
      </c>
      <c r="I8" s="364" t="s">
        <v>2127</v>
      </c>
      <c r="J8" s="361">
        <f>SUMIF(72:72,I8,73:73)-SUMIF(72:72,C8,73:73)+100</f>
        <v>100</v>
      </c>
      <c r="K8" s="41"/>
      <c r="L8" s="2650"/>
      <c r="M8" s="2603"/>
      <c r="N8" s="2603"/>
      <c r="O8" s="2603"/>
      <c r="P8" s="3346" t="s">
        <v>2128</v>
      </c>
      <c r="Q8" s="3347"/>
      <c r="R8" s="673" t="s">
        <v>17</v>
      </c>
      <c r="S8" s="674">
        <f t="shared" si="0"/>
        <v>100</v>
      </c>
      <c r="T8" s="673" t="s">
        <v>17</v>
      </c>
      <c r="U8" s="674">
        <f t="shared" si="1"/>
        <v>100</v>
      </c>
      <c r="V8" s="673" t="s">
        <v>17</v>
      </c>
      <c r="W8" s="674">
        <f t="shared" si="2"/>
        <v>100</v>
      </c>
      <c r="X8" s="675"/>
      <c r="Y8" s="3346" t="s">
        <v>2128</v>
      </c>
      <c r="Z8" s="3347"/>
      <c r="AA8" s="53">
        <f t="shared" ref="AA8:AA45" si="3">D8/F8</f>
        <v>1</v>
      </c>
      <c r="AB8" s="53">
        <f t="shared" ref="AB8:AB45" si="4">D8/H8</f>
        <v>1</v>
      </c>
      <c r="AC8" s="53">
        <f t="shared" ref="AC8:AC45" si="5">D8/J8</f>
        <v>1</v>
      </c>
    </row>
    <row r="9" spans="1:29" s="107" customFormat="1" ht="15">
      <c r="A9" s="365" t="s">
        <v>2129</v>
      </c>
      <c r="B9" s="64" t="s">
        <v>2130</v>
      </c>
      <c r="C9" s="1955" t="s">
        <v>3766</v>
      </c>
      <c r="D9" s="63">
        <v>100</v>
      </c>
      <c r="E9" s="1955" t="s">
        <v>3767</v>
      </c>
      <c r="F9" s="63">
        <f>SUMIF(74:74,E9,75:75)-SUMIF(74:74,C9,75:75)+100</f>
        <v>110</v>
      </c>
      <c r="G9" s="1955" t="s">
        <v>3767</v>
      </c>
      <c r="H9" s="63">
        <f>SUMIF(74:74,G9,75:75)-SUMIF(74:74,C9,75:75)+100</f>
        <v>110</v>
      </c>
      <c r="I9" s="1955" t="s">
        <v>3767</v>
      </c>
      <c r="J9" s="63">
        <f>SUMIF(74:74,I9,75:75)-SUMIF(74:74,C9,75:75)+100</f>
        <v>110</v>
      </c>
      <c r="K9" s="41"/>
      <c r="L9" s="2650"/>
      <c r="M9" s="2603"/>
      <c r="N9" s="2603"/>
      <c r="O9" s="2702"/>
      <c r="P9" s="3360" t="s">
        <v>2131</v>
      </c>
      <c r="Q9" s="538" t="str">
        <f t="shared" ref="Q9:Q15" si="6">B9</f>
        <v>用途</v>
      </c>
      <c r="R9" s="673" t="s">
        <v>17</v>
      </c>
      <c r="S9" s="674">
        <f t="shared" si="0"/>
        <v>110</v>
      </c>
      <c r="T9" s="673" t="s">
        <v>17</v>
      </c>
      <c r="U9" s="674">
        <f t="shared" si="1"/>
        <v>110</v>
      </c>
      <c r="V9" s="673" t="s">
        <v>17</v>
      </c>
      <c r="W9" s="674">
        <f t="shared" si="2"/>
        <v>110</v>
      </c>
      <c r="X9" s="675"/>
      <c r="Y9" s="3316" t="s">
        <v>2132</v>
      </c>
      <c r="Z9" s="53" t="str">
        <f t="shared" ref="Z9:Z15" si="7">Q9</f>
        <v>用途</v>
      </c>
      <c r="AA9" s="53">
        <f t="shared" si="3"/>
        <v>0.90909090909090906</v>
      </c>
      <c r="AB9" s="53">
        <f t="shared" si="4"/>
        <v>0.90909090909090906</v>
      </c>
      <c r="AC9" s="53">
        <f t="shared" si="5"/>
        <v>0.90909090909090906</v>
      </c>
    </row>
    <row r="10" spans="1:29" s="374" customFormat="1" ht="27">
      <c r="A10" s="369"/>
      <c r="B10" s="370" t="s">
        <v>2133</v>
      </c>
      <c r="C10" s="379"/>
      <c r="D10" s="124">
        <v>100</v>
      </c>
      <c r="E10" s="411"/>
      <c r="F10" s="124">
        <f>ROUND(100/'数据-取费表'!G16,0)</f>
        <v>109</v>
      </c>
      <c r="G10" s="410"/>
      <c r="H10" s="124">
        <f>ROUND(100/'数据-取费表'!G16,0)</f>
        <v>109</v>
      </c>
      <c r="I10" s="410"/>
      <c r="J10" s="124">
        <f>ROUND(100/'数据-取费表'!G16,0)</f>
        <v>109</v>
      </c>
      <c r="K10" s="600"/>
      <c r="L10" s="2651"/>
      <c r="M10" s="2652"/>
      <c r="N10" s="2652"/>
      <c r="O10" s="2703"/>
      <c r="P10" s="3360"/>
      <c r="Q10" s="538" t="str">
        <f t="shared" si="6"/>
        <v>土地使用年限（年）</v>
      </c>
      <c r="R10" s="673" t="s">
        <v>17</v>
      </c>
      <c r="S10" s="674">
        <f t="shared" si="0"/>
        <v>109</v>
      </c>
      <c r="T10" s="673" t="s">
        <v>17</v>
      </c>
      <c r="U10" s="674">
        <f t="shared" si="1"/>
        <v>109</v>
      </c>
      <c r="V10" s="673" t="s">
        <v>17</v>
      </c>
      <c r="W10" s="674">
        <f t="shared" si="2"/>
        <v>109</v>
      </c>
      <c r="X10" s="675"/>
      <c r="Y10" s="3316"/>
      <c r="Z10" s="53" t="str">
        <f t="shared" si="7"/>
        <v>土地使用年限（年）</v>
      </c>
      <c r="AA10" s="53">
        <f t="shared" si="3"/>
        <v>0.91743119266055051</v>
      </c>
      <c r="AB10" s="53">
        <f t="shared" si="4"/>
        <v>0.91743119266055051</v>
      </c>
      <c r="AC10" s="53">
        <f t="shared" si="5"/>
        <v>0.91743119266055051</v>
      </c>
    </row>
    <row r="11" spans="1:29" ht="15">
      <c r="A11" s="375"/>
      <c r="B11" s="370" t="s">
        <v>2134</v>
      </c>
      <c r="C11" s="376">
        <f>'数据-汇总表'!I4</f>
        <v>2.5499999999999998</v>
      </c>
      <c r="D11" s="124">
        <v>100</v>
      </c>
      <c r="E11" s="376">
        <v>6.33</v>
      </c>
      <c r="F11" s="124">
        <f>LOOKUP(E11,79:79,80:80)-LOOKUP(C11,79:79,80:80)+100</f>
        <v>91</v>
      </c>
      <c r="G11" s="377">
        <v>3.5</v>
      </c>
      <c r="H11" s="124">
        <f>LOOKUP(G11,79:79,80:80)-LOOKUP(C11,79:79,80:80)+100</f>
        <v>97</v>
      </c>
      <c r="I11" s="376">
        <v>3.71</v>
      </c>
      <c r="J11" s="124">
        <f>LOOKUP(I11,79:79,80:80)-LOOKUP(C11,79:79,80:80)+100</f>
        <v>97</v>
      </c>
      <c r="K11" s="601">
        <v>3</v>
      </c>
      <c r="L11" s="2653"/>
      <c r="M11" s="2649"/>
      <c r="N11" s="2649"/>
      <c r="O11" s="2704"/>
      <c r="P11" s="3360"/>
      <c r="Q11" s="538" t="str">
        <f t="shared" si="6"/>
        <v>容积率</v>
      </c>
      <c r="R11" s="673" t="s">
        <v>17</v>
      </c>
      <c r="S11" s="674">
        <f t="shared" si="0"/>
        <v>91</v>
      </c>
      <c r="T11" s="673" t="s">
        <v>17</v>
      </c>
      <c r="U11" s="674">
        <f t="shared" si="1"/>
        <v>97</v>
      </c>
      <c r="V11" s="673" t="s">
        <v>17</v>
      </c>
      <c r="W11" s="674">
        <f t="shared" si="2"/>
        <v>97</v>
      </c>
      <c r="X11" s="675"/>
      <c r="Y11" s="3316"/>
      <c r="Z11" s="53" t="str">
        <f t="shared" si="7"/>
        <v>容积率</v>
      </c>
      <c r="AA11" s="53">
        <f t="shared" si="3"/>
        <v>1.098901098901099</v>
      </c>
      <c r="AB11" s="53">
        <f t="shared" si="4"/>
        <v>1.0309278350515463</v>
      </c>
      <c r="AC11" s="53">
        <f t="shared" si="5"/>
        <v>1.0309278350515463</v>
      </c>
    </row>
    <row r="12" spans="1:29" s="107" customFormat="1" ht="15">
      <c r="A12" s="378"/>
      <c r="B12" s="455" t="s">
        <v>2323</v>
      </c>
      <c r="C12" s="379"/>
      <c r="D12" s="380">
        <v>100</v>
      </c>
      <c r="E12" s="411"/>
      <c r="F12" s="124">
        <f>SUMIF(81:81,E12,82:82)-SUMIF(81:81,C12,82:82)+100</f>
        <v>100</v>
      </c>
      <c r="G12" s="410"/>
      <c r="H12" s="124">
        <f>SUMIF(81:81,G12,82:82)-SUMIF(81:81,C12,82:82)+100</f>
        <v>100</v>
      </c>
      <c r="I12" s="411"/>
      <c r="J12" s="124">
        <f>SUMIF(81:81,I12,82:82)-SUMIF(81:81,C12,82:82)+100</f>
        <v>100</v>
      </c>
      <c r="K12" s="600"/>
      <c r="L12" s="2650"/>
      <c r="M12" s="2603"/>
      <c r="N12" s="2603"/>
      <c r="O12" s="2702"/>
      <c r="P12" s="3360"/>
      <c r="Q12" s="538" t="str">
        <f t="shared" si="6"/>
        <v>配建</v>
      </c>
      <c r="R12" s="673" t="s">
        <v>17</v>
      </c>
      <c r="S12" s="674">
        <f t="shared" si="0"/>
        <v>100</v>
      </c>
      <c r="T12" s="673" t="s">
        <v>17</v>
      </c>
      <c r="U12" s="674">
        <f t="shared" si="1"/>
        <v>100</v>
      </c>
      <c r="V12" s="673" t="s">
        <v>17</v>
      </c>
      <c r="W12" s="674">
        <f t="shared" si="2"/>
        <v>100</v>
      </c>
      <c r="X12" s="675"/>
      <c r="Y12" s="3316"/>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4"/>
      <c r="M13" s="2649"/>
      <c r="N13" s="2649"/>
      <c r="O13" s="2704"/>
      <c r="P13" s="3360"/>
      <c r="Q13" s="538">
        <f t="shared" si="6"/>
        <v>111</v>
      </c>
      <c r="R13" s="673" t="s">
        <v>17</v>
      </c>
      <c r="S13" s="674">
        <f t="shared" si="0"/>
        <v>100</v>
      </c>
      <c r="T13" s="673" t="s">
        <v>17</v>
      </c>
      <c r="U13" s="674">
        <f t="shared" si="1"/>
        <v>100</v>
      </c>
      <c r="V13" s="673" t="s">
        <v>17</v>
      </c>
      <c r="W13" s="674">
        <f t="shared" si="2"/>
        <v>100</v>
      </c>
      <c r="X13" s="675"/>
      <c r="Y13" s="3316"/>
      <c r="Z13" s="53">
        <f t="shared" si="7"/>
        <v>111</v>
      </c>
      <c r="AA13" s="53">
        <f>D13/F13</f>
        <v>1</v>
      </c>
      <c r="AB13" s="53">
        <f>D13/H13</f>
        <v>1</v>
      </c>
      <c r="AC13" s="53">
        <f>D13/J13</f>
        <v>1</v>
      </c>
    </row>
    <row r="14" spans="1:29" ht="15.75" thickBot="1">
      <c r="A14" s="383"/>
      <c r="B14" s="1879">
        <v>111</v>
      </c>
      <c r="C14" s="384"/>
      <c r="D14" s="385">
        <v>100</v>
      </c>
      <c r="E14" s="488"/>
      <c r="F14" s="385">
        <f>SUMIF(85:85,E14,86:86)-SUMIF(85:85,C14,86:86)+100</f>
        <v>100</v>
      </c>
      <c r="G14" s="602"/>
      <c r="H14" s="385">
        <f>SUMIF(85:85,G14,86:86)-SUMIF(85:85,C14,86:86)+100</f>
        <v>100</v>
      </c>
      <c r="I14" s="602"/>
      <c r="J14" s="385">
        <f>SUMIF(85:85,I14,86:86)-SUMIF(85:85,C14,86:86)+100</f>
        <v>100</v>
      </c>
      <c r="K14" s="600"/>
      <c r="L14" s="2654"/>
      <c r="M14" s="2649"/>
      <c r="N14" s="2649"/>
      <c r="O14" s="2704"/>
      <c r="P14" s="3360"/>
      <c r="Q14" s="538">
        <f t="shared" si="6"/>
        <v>111</v>
      </c>
      <c r="R14" s="673" t="s">
        <v>17</v>
      </c>
      <c r="S14" s="674">
        <f t="shared" si="0"/>
        <v>100</v>
      </c>
      <c r="T14" s="673" t="s">
        <v>17</v>
      </c>
      <c r="U14" s="674">
        <f t="shared" si="1"/>
        <v>100</v>
      </c>
      <c r="V14" s="673" t="s">
        <v>17</v>
      </c>
      <c r="W14" s="674">
        <f t="shared" si="2"/>
        <v>100</v>
      </c>
      <c r="X14" s="675"/>
      <c r="Y14" s="3316"/>
      <c r="Z14" s="53">
        <f t="shared" si="7"/>
        <v>111</v>
      </c>
      <c r="AA14" s="53">
        <f>D14/F14</f>
        <v>1</v>
      </c>
      <c r="AB14" s="53">
        <f>D14/H14</f>
        <v>1</v>
      </c>
      <c r="AC14" s="53">
        <f>D14/J14</f>
        <v>1</v>
      </c>
    </row>
    <row r="15" spans="1:29" ht="85.5" hidden="1">
      <c r="A15" s="387" t="s">
        <v>2135</v>
      </c>
      <c r="B15" s="62" t="s">
        <v>1702</v>
      </c>
      <c r="C15" s="1880"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c r="L15" s="2654"/>
      <c r="M15" s="2649"/>
      <c r="N15" s="2649"/>
      <c r="O15" s="2704"/>
      <c r="P15" s="3375" t="s">
        <v>2136</v>
      </c>
      <c r="Q15" s="1392" t="str">
        <f t="shared" si="6"/>
        <v>居住社区成熟度</v>
      </c>
      <c r="R15" s="676" t="s">
        <v>17</v>
      </c>
      <c r="S15" s="677">
        <f t="shared" si="0"/>
        <v>100</v>
      </c>
      <c r="T15" s="676" t="s">
        <v>17</v>
      </c>
      <c r="U15" s="677">
        <f t="shared" si="1"/>
        <v>100</v>
      </c>
      <c r="V15" s="676" t="s">
        <v>17</v>
      </c>
      <c r="W15" s="677">
        <f t="shared" si="2"/>
        <v>100</v>
      </c>
      <c r="X15" s="1394"/>
      <c r="Y15" s="3375" t="s">
        <v>2136</v>
      </c>
      <c r="Z15" s="1393" t="str">
        <f t="shared" si="7"/>
        <v>居住社区成熟度</v>
      </c>
      <c r="AA15" s="1393">
        <f t="shared" si="3"/>
        <v>1</v>
      </c>
      <c r="AB15" s="1393">
        <f t="shared" si="4"/>
        <v>1</v>
      </c>
      <c r="AC15" s="1393">
        <f t="shared" si="5"/>
        <v>1</v>
      </c>
    </row>
    <row r="16" spans="1:29" ht="15" hidden="1">
      <c r="A16" s="375"/>
      <c r="B16" s="393"/>
      <c r="C16" s="394"/>
      <c r="D16" s="395"/>
      <c r="E16" s="1882"/>
      <c r="F16" s="395"/>
      <c r="G16" s="1882"/>
      <c r="H16" s="397"/>
      <c r="I16" s="1881"/>
      <c r="J16" s="395"/>
      <c r="K16" s="600"/>
      <c r="L16" s="2654"/>
      <c r="M16" s="2649"/>
      <c r="N16" s="2649"/>
      <c r="O16" s="2704"/>
      <c r="P16" s="3376"/>
      <c r="Q16" s="1392"/>
      <c r="R16" s="676"/>
      <c r="S16" s="677"/>
      <c r="T16" s="676"/>
      <c r="U16" s="677"/>
      <c r="V16" s="676"/>
      <c r="W16" s="677"/>
      <c r="X16" s="1394"/>
      <c r="Y16" s="3376"/>
      <c r="Z16" s="1393"/>
      <c r="AA16" s="1393">
        <v>1</v>
      </c>
      <c r="AB16" s="1393">
        <v>1</v>
      </c>
      <c r="AC16" s="1393">
        <v>1</v>
      </c>
    </row>
    <row r="17" spans="1:29" ht="57" hidden="1">
      <c r="A17" s="375"/>
      <c r="B17" s="398" t="s">
        <v>2229</v>
      </c>
      <c r="C17" s="1936"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54"/>
      <c r="M17" s="2649"/>
      <c r="N17" s="2649"/>
      <c r="O17" s="2704"/>
      <c r="P17" s="3376"/>
      <c r="Q17" s="1392" t="str">
        <f>B17</f>
        <v>商业繁华度</v>
      </c>
      <c r="R17" s="676" t="s">
        <v>17</v>
      </c>
      <c r="S17" s="677">
        <f>F17</f>
        <v>100</v>
      </c>
      <c r="T17" s="676" t="s">
        <v>17</v>
      </c>
      <c r="U17" s="677">
        <f>H17</f>
        <v>100</v>
      </c>
      <c r="V17" s="676" t="s">
        <v>17</v>
      </c>
      <c r="W17" s="677">
        <f>J17</f>
        <v>100</v>
      </c>
      <c r="X17" s="1394"/>
      <c r="Y17" s="3376"/>
      <c r="Z17" s="1393" t="str">
        <f>Q17</f>
        <v>商业繁华度</v>
      </c>
      <c r="AA17" s="1393">
        <f t="shared" si="3"/>
        <v>1</v>
      </c>
      <c r="AB17" s="1393">
        <f t="shared" si="4"/>
        <v>1</v>
      </c>
      <c r="AC17" s="1393">
        <f t="shared" si="5"/>
        <v>1</v>
      </c>
    </row>
    <row r="18" spans="1:29" ht="15" hidden="1">
      <c r="A18" s="375"/>
      <c r="B18" s="403"/>
      <c r="C18" s="1885"/>
      <c r="D18" s="397"/>
      <c r="E18" s="1887"/>
      <c r="F18" s="397"/>
      <c r="G18" s="1887"/>
      <c r="H18" s="395"/>
      <c r="I18" s="1886"/>
      <c r="J18" s="395"/>
      <c r="K18" s="600"/>
      <c r="L18" s="2654"/>
      <c r="M18" s="2649"/>
      <c r="N18" s="2649"/>
      <c r="O18" s="2704"/>
      <c r="P18" s="3376"/>
      <c r="Q18" s="1392"/>
      <c r="R18" s="676"/>
      <c r="S18" s="677"/>
      <c r="T18" s="676"/>
      <c r="U18" s="677"/>
      <c r="V18" s="676"/>
      <c r="W18" s="677"/>
      <c r="X18" s="1394"/>
      <c r="Y18" s="3376"/>
      <c r="Z18" s="1393"/>
      <c r="AA18" s="1393">
        <v>1</v>
      </c>
      <c r="AB18" s="1393">
        <v>1</v>
      </c>
      <c r="AC18" s="1393">
        <v>1</v>
      </c>
    </row>
    <row r="19" spans="1:29" ht="71.25">
      <c r="A19" s="375"/>
      <c r="B19" s="398" t="s">
        <v>2263</v>
      </c>
      <c r="C19" s="1936"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103</v>
      </c>
      <c r="K19" s="601">
        <v>3</v>
      </c>
      <c r="L19" s="2654"/>
      <c r="M19" s="2649"/>
      <c r="N19" s="2649"/>
      <c r="O19" s="2704"/>
      <c r="P19" s="3376"/>
      <c r="Q19" s="1392" t="str">
        <f>B19</f>
        <v>办公集聚程度</v>
      </c>
      <c r="R19" s="676" t="s">
        <v>17</v>
      </c>
      <c r="S19" s="677">
        <f>F19</f>
        <v>100</v>
      </c>
      <c r="T19" s="676" t="s">
        <v>17</v>
      </c>
      <c r="U19" s="677">
        <f>H19</f>
        <v>100</v>
      </c>
      <c r="V19" s="676" t="s">
        <v>17</v>
      </c>
      <c r="W19" s="677">
        <f>J19</f>
        <v>103</v>
      </c>
      <c r="X19" s="1394"/>
      <c r="Y19" s="3376"/>
      <c r="Z19" s="1393" t="str">
        <f>Q19</f>
        <v>办公集聚程度</v>
      </c>
      <c r="AA19" s="1393">
        <f t="shared" si="3"/>
        <v>1</v>
      </c>
      <c r="AB19" s="1393">
        <f t="shared" si="4"/>
        <v>1</v>
      </c>
      <c r="AC19" s="1393">
        <f t="shared" si="5"/>
        <v>0.970873786407767</v>
      </c>
    </row>
    <row r="20" spans="1:29" ht="15">
      <c r="A20" s="375"/>
      <c r="B20" s="403"/>
      <c r="C20" s="394" t="s">
        <v>3784</v>
      </c>
      <c r="D20" s="395"/>
      <c r="E20" s="394" t="s">
        <v>3784</v>
      </c>
      <c r="F20" s="395"/>
      <c r="G20" s="394" t="s">
        <v>3784</v>
      </c>
      <c r="H20" s="395"/>
      <c r="I20" s="394" t="s">
        <v>3783</v>
      </c>
      <c r="J20" s="395"/>
      <c r="K20" s="600"/>
      <c r="L20" s="2654"/>
      <c r="M20" s="2649"/>
      <c r="N20" s="2649"/>
      <c r="O20" s="2704"/>
      <c r="P20" s="3376"/>
      <c r="Q20" s="1392"/>
      <c r="R20" s="676"/>
      <c r="S20" s="677"/>
      <c r="T20" s="676"/>
      <c r="U20" s="677"/>
      <c r="V20" s="676"/>
      <c r="W20" s="677"/>
      <c r="X20" s="1394"/>
      <c r="Y20" s="3376"/>
      <c r="Z20" s="1393"/>
      <c r="AA20" s="1393">
        <v>1</v>
      </c>
      <c r="AB20" s="1393">
        <v>1</v>
      </c>
      <c r="AC20" s="1393">
        <v>1</v>
      </c>
    </row>
    <row r="21" spans="1:29" ht="71.25">
      <c r="A21" s="375"/>
      <c r="B21" s="398" t="s">
        <v>2285</v>
      </c>
      <c r="C21" s="1884"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97</v>
      </c>
      <c r="I21" s="401"/>
      <c r="J21" s="397">
        <f>SUMIF(93:93,I22,94:94)-SUMIF(93:93,C22,94:94)+100</f>
        <v>103</v>
      </c>
      <c r="K21" s="601">
        <v>3</v>
      </c>
      <c r="L21" s="2654"/>
      <c r="M21" s="2649"/>
      <c r="N21" s="2649"/>
      <c r="O21" s="2704"/>
      <c r="P21" s="3376"/>
      <c r="Q21" s="1392" t="str">
        <f>B21</f>
        <v>交通便捷度</v>
      </c>
      <c r="R21" s="676" t="s">
        <v>17</v>
      </c>
      <c r="S21" s="677">
        <f>F21</f>
        <v>100</v>
      </c>
      <c r="T21" s="676" t="s">
        <v>17</v>
      </c>
      <c r="U21" s="677">
        <f>H21</f>
        <v>97</v>
      </c>
      <c r="V21" s="676" t="s">
        <v>17</v>
      </c>
      <c r="W21" s="677">
        <f>J21</f>
        <v>103</v>
      </c>
      <c r="X21" s="1394"/>
      <c r="Y21" s="3376"/>
      <c r="Z21" s="1393" t="str">
        <f>Q21</f>
        <v>交通便捷度</v>
      </c>
      <c r="AA21" s="1393">
        <f t="shared" si="3"/>
        <v>1</v>
      </c>
      <c r="AB21" s="1393">
        <f t="shared" si="4"/>
        <v>1.0309278350515463</v>
      </c>
      <c r="AC21" s="1393">
        <f t="shared" si="5"/>
        <v>0.970873786407767</v>
      </c>
    </row>
    <row r="22" spans="1:29" ht="15">
      <c r="A22" s="375"/>
      <c r="B22" s="594"/>
      <c r="C22" s="394" t="s">
        <v>3784</v>
      </c>
      <c r="D22" s="397"/>
      <c r="E22" s="394" t="s">
        <v>3784</v>
      </c>
      <c r="F22" s="395"/>
      <c r="G22" s="394" t="s">
        <v>3774</v>
      </c>
      <c r="H22" s="395"/>
      <c r="I22" s="394" t="s">
        <v>3783</v>
      </c>
      <c r="J22" s="395"/>
      <c r="K22" s="600"/>
      <c r="L22" s="2654"/>
      <c r="M22" s="2649"/>
      <c r="N22" s="2649"/>
      <c r="O22" s="2704"/>
      <c r="P22" s="3376"/>
      <c r="Q22" s="1392"/>
      <c r="R22" s="676"/>
      <c r="S22" s="677"/>
      <c r="T22" s="676"/>
      <c r="U22" s="677"/>
      <c r="V22" s="676"/>
      <c r="W22" s="677"/>
      <c r="X22" s="1394"/>
      <c r="Y22" s="3376"/>
      <c r="Z22" s="1393"/>
      <c r="AA22" s="1393">
        <v>1</v>
      </c>
      <c r="AB22" s="1393">
        <v>1</v>
      </c>
      <c r="AC22" s="1393">
        <v>1</v>
      </c>
    </row>
    <row r="23" spans="1:29" ht="15">
      <c r="A23" s="354"/>
      <c r="B23" s="398" t="s">
        <v>2324</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v>2</v>
      </c>
      <c r="L23" s="2654"/>
      <c r="M23" s="2649"/>
      <c r="N23" s="2649"/>
      <c r="O23" s="2704"/>
      <c r="P23" s="3376"/>
      <c r="Q23" s="1392" t="str">
        <f t="shared" ref="Q23:Q37" si="8">B23</f>
        <v>区域土地利用方向</v>
      </c>
      <c r="R23" s="676" t="s">
        <v>17</v>
      </c>
      <c r="S23" s="677">
        <f>F23</f>
        <v>100</v>
      </c>
      <c r="T23" s="676" t="s">
        <v>17</v>
      </c>
      <c r="U23" s="677">
        <f>H23</f>
        <v>100</v>
      </c>
      <c r="V23" s="676" t="s">
        <v>17</v>
      </c>
      <c r="W23" s="677">
        <f>J23</f>
        <v>100</v>
      </c>
      <c r="X23" s="1394"/>
      <c r="Y23" s="3376"/>
      <c r="Z23" s="1393" t="str">
        <f>Q23</f>
        <v>区域土地利用方向</v>
      </c>
      <c r="AA23" s="1393">
        <f t="shared" si="3"/>
        <v>1</v>
      </c>
      <c r="AB23" s="1393">
        <f t="shared" si="4"/>
        <v>1</v>
      </c>
      <c r="AC23" s="1393">
        <f t="shared" si="5"/>
        <v>1</v>
      </c>
    </row>
    <row r="24" spans="1:29" ht="15">
      <c r="A24" s="354"/>
      <c r="B24" s="403"/>
      <c r="C24" s="550" t="s">
        <v>3784</v>
      </c>
      <c r="D24" s="395"/>
      <c r="E24" s="394" t="s">
        <v>3784</v>
      </c>
      <c r="F24" s="395"/>
      <c r="G24" s="394" t="s">
        <v>3784</v>
      </c>
      <c r="H24" s="395"/>
      <c r="I24" s="394" t="s">
        <v>3784</v>
      </c>
      <c r="J24" s="395"/>
      <c r="K24" s="708"/>
      <c r="L24" s="2654"/>
      <c r="M24" s="2649"/>
      <c r="N24" s="2649"/>
      <c r="O24" s="2704"/>
      <c r="P24" s="3376"/>
      <c r="Q24" s="1392"/>
      <c r="R24" s="676"/>
      <c r="S24" s="677"/>
      <c r="T24" s="676"/>
      <c r="U24" s="677"/>
      <c r="V24" s="676"/>
      <c r="W24" s="677"/>
      <c r="X24" s="1394"/>
      <c r="Y24" s="3376"/>
      <c r="Z24" s="1393"/>
      <c r="AA24" s="1393"/>
      <c r="AB24" s="1393"/>
      <c r="AC24" s="1393"/>
    </row>
    <row r="25" spans="1:29" ht="42.75">
      <c r="A25" s="354"/>
      <c r="B25" s="594" t="s">
        <v>2325</v>
      </c>
      <c r="C25" s="1936"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v>3</v>
      </c>
      <c r="L25" s="2654"/>
      <c r="M25" s="2649"/>
      <c r="N25" s="2649"/>
      <c r="O25" s="2704"/>
      <c r="P25" s="3376"/>
      <c r="Q25" s="1392" t="str">
        <f t="shared" si="8"/>
        <v>自然及人文环境状况</v>
      </c>
      <c r="R25" s="676" t="s">
        <v>17</v>
      </c>
      <c r="S25" s="677">
        <f>F25</f>
        <v>100</v>
      </c>
      <c r="T25" s="676" t="s">
        <v>17</v>
      </c>
      <c r="U25" s="677">
        <f>H25</f>
        <v>100</v>
      </c>
      <c r="V25" s="676" t="s">
        <v>17</v>
      </c>
      <c r="W25" s="677">
        <f>J25</f>
        <v>100</v>
      </c>
      <c r="X25" s="1394"/>
      <c r="Y25" s="3376"/>
      <c r="Z25" s="1393" t="str">
        <f>Q25</f>
        <v>自然及人文环境状况</v>
      </c>
      <c r="AA25" s="1393">
        <f t="shared" si="3"/>
        <v>1</v>
      </c>
      <c r="AB25" s="1393">
        <f t="shared" si="4"/>
        <v>1</v>
      </c>
      <c r="AC25" s="1393">
        <f t="shared" si="5"/>
        <v>1</v>
      </c>
    </row>
    <row r="26" spans="1:29" ht="15">
      <c r="A26" s="354"/>
      <c r="B26" s="403"/>
      <c r="C26" s="394" t="s">
        <v>3774</v>
      </c>
      <c r="D26" s="395"/>
      <c r="E26" s="394" t="s">
        <v>3774</v>
      </c>
      <c r="F26" s="395"/>
      <c r="G26" s="394" t="s">
        <v>3774</v>
      </c>
      <c r="H26" s="395"/>
      <c r="I26" s="394" t="s">
        <v>3774</v>
      </c>
      <c r="J26" s="395"/>
      <c r="K26" s="600"/>
      <c r="L26" s="2654"/>
      <c r="M26" s="2649"/>
      <c r="N26" s="2649"/>
      <c r="O26" s="2704"/>
      <c r="P26" s="3376"/>
      <c r="Q26" s="1392"/>
      <c r="R26" s="676"/>
      <c r="S26" s="677"/>
      <c r="T26" s="676"/>
      <c r="U26" s="677"/>
      <c r="V26" s="676"/>
      <c r="W26" s="677"/>
      <c r="X26" s="1394"/>
      <c r="Y26" s="3376"/>
      <c r="Z26" s="1393"/>
      <c r="AA26" s="1393">
        <v>1</v>
      </c>
      <c r="AB26" s="1393">
        <v>1</v>
      </c>
      <c r="AC26" s="1393">
        <v>1</v>
      </c>
    </row>
    <row r="27" spans="1:29" s="107" customFormat="1" ht="42.75">
      <c r="A27" s="451"/>
      <c r="B27" s="594" t="s">
        <v>2230</v>
      </c>
      <c r="C27" s="1884" t="str">
        <f>估价对象房地状况!C21</f>
        <v>估价对象所在区域公共配套设施齐备情况</v>
      </c>
      <c r="D27" s="397">
        <v>100</v>
      </c>
      <c r="E27" s="399"/>
      <c r="F27" s="397">
        <f>SUMIF(99:99,E28,100:100)-SUMIF(99:99,C28,100:100)+100</f>
        <v>100</v>
      </c>
      <c r="G27" s="399"/>
      <c r="H27" s="397">
        <f>SUMIF(99:99,G28,100:100)-SUMIF(99:99,C28,100:100)+100</f>
        <v>98</v>
      </c>
      <c r="I27" s="401"/>
      <c r="J27" s="397">
        <f>SUMIF(99:99,I28,100:100)-SUMIF(99:99,C28,100:100)+100</f>
        <v>100</v>
      </c>
      <c r="K27" s="601">
        <v>2</v>
      </c>
      <c r="L27" s="2650"/>
      <c r="M27" s="2603"/>
      <c r="N27" s="2603"/>
      <c r="O27" s="2702"/>
      <c r="P27" s="3376"/>
      <c r="Q27" s="538" t="str">
        <f t="shared" si="8"/>
        <v>公共配套设施</v>
      </c>
      <c r="R27" s="673" t="s">
        <v>17</v>
      </c>
      <c r="S27" s="674">
        <f>F27</f>
        <v>100</v>
      </c>
      <c r="T27" s="673" t="s">
        <v>17</v>
      </c>
      <c r="U27" s="674">
        <f>H27</f>
        <v>98</v>
      </c>
      <c r="V27" s="673" t="s">
        <v>17</v>
      </c>
      <c r="W27" s="674">
        <f>J27</f>
        <v>100</v>
      </c>
      <c r="X27" s="675"/>
      <c r="Y27" s="3376"/>
      <c r="Z27" s="53" t="str">
        <f>Q27</f>
        <v>公共配套设施</v>
      </c>
      <c r="AA27" s="1393">
        <f>D27/F27</f>
        <v>1</v>
      </c>
      <c r="AB27" s="1393">
        <f>D27/H27</f>
        <v>1.0204081632653061</v>
      </c>
      <c r="AC27" s="1393">
        <f>D27/J27</f>
        <v>1</v>
      </c>
    </row>
    <row r="28" spans="1:29" s="107" customFormat="1" ht="15">
      <c r="A28" s="451"/>
      <c r="B28" s="403"/>
      <c r="C28" s="1956" t="s">
        <v>3784</v>
      </c>
      <c r="D28" s="395"/>
      <c r="E28" s="394" t="s">
        <v>3784</v>
      </c>
      <c r="F28" s="395"/>
      <c r="G28" s="394" t="s">
        <v>3774</v>
      </c>
      <c r="H28" s="395"/>
      <c r="I28" s="394" t="s">
        <v>3784</v>
      </c>
      <c r="J28" s="395"/>
      <c r="K28" s="600"/>
      <c r="L28" s="2650"/>
      <c r="M28" s="2603"/>
      <c r="N28" s="2603"/>
      <c r="O28" s="2702"/>
      <c r="P28" s="3376"/>
      <c r="Q28" s="538"/>
      <c r="R28" s="673"/>
      <c r="S28" s="674"/>
      <c r="T28" s="673"/>
      <c r="U28" s="674"/>
      <c r="V28" s="673"/>
      <c r="W28" s="674"/>
      <c r="X28" s="675"/>
      <c r="Y28" s="3376"/>
      <c r="Z28" s="53"/>
      <c r="AA28" s="1393">
        <v>1</v>
      </c>
      <c r="AB28" s="1393">
        <v>1</v>
      </c>
      <c r="AC28" s="1393">
        <v>1</v>
      </c>
    </row>
    <row r="29" spans="1:29" s="107" customFormat="1" ht="28.5">
      <c r="A29" s="451"/>
      <c r="B29" s="594" t="s">
        <v>2231</v>
      </c>
      <c r="C29" s="1884"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v>2</v>
      </c>
      <c r="L29" s="2650"/>
      <c r="M29" s="2603"/>
      <c r="N29" s="2603"/>
      <c r="O29" s="2702"/>
      <c r="P29" s="3376"/>
      <c r="Q29" s="538" t="str">
        <f t="shared" ref="Q29" si="9">B29</f>
        <v>基础设施水平</v>
      </c>
      <c r="R29" s="673" t="s">
        <v>17</v>
      </c>
      <c r="S29" s="674">
        <f>F29</f>
        <v>100</v>
      </c>
      <c r="T29" s="673" t="s">
        <v>17</v>
      </c>
      <c r="U29" s="674">
        <f>H29</f>
        <v>100</v>
      </c>
      <c r="V29" s="673" t="s">
        <v>17</v>
      </c>
      <c r="W29" s="674">
        <f>J29</f>
        <v>100</v>
      </c>
      <c r="X29" s="675"/>
      <c r="Y29" s="3376"/>
      <c r="Z29" s="53" t="str">
        <f>Q29</f>
        <v>基础设施水平</v>
      </c>
      <c r="AA29" s="1393">
        <f>D29/F29</f>
        <v>1</v>
      </c>
      <c r="AB29" s="1393">
        <f>D29/H29</f>
        <v>1</v>
      </c>
      <c r="AC29" s="1393">
        <f>D29/J29</f>
        <v>1</v>
      </c>
    </row>
    <row r="30" spans="1:29" s="107" customFormat="1" ht="15">
      <c r="A30" s="451"/>
      <c r="B30" s="403"/>
      <c r="C30" s="1956" t="s">
        <v>3778</v>
      </c>
      <c r="D30" s="395"/>
      <c r="E30" s="1956" t="s">
        <v>3778</v>
      </c>
      <c r="F30" s="395"/>
      <c r="G30" s="1956" t="s">
        <v>3778</v>
      </c>
      <c r="H30" s="395"/>
      <c r="I30" s="1956" t="s">
        <v>3778</v>
      </c>
      <c r="J30" s="395"/>
      <c r="K30" s="600"/>
      <c r="L30" s="2650"/>
      <c r="M30" s="2603"/>
      <c r="N30" s="2603"/>
      <c r="O30" s="2702"/>
      <c r="P30" s="3376"/>
      <c r="Q30" s="538"/>
      <c r="R30" s="673"/>
      <c r="S30" s="674"/>
      <c r="T30" s="673"/>
      <c r="U30" s="674"/>
      <c r="V30" s="673"/>
      <c r="W30" s="674"/>
      <c r="X30" s="675"/>
      <c r="Y30" s="3376"/>
      <c r="Z30" s="53"/>
      <c r="AA30" s="1393">
        <v>1</v>
      </c>
      <c r="AB30" s="1393">
        <v>1</v>
      </c>
      <c r="AC30" s="1393">
        <v>1</v>
      </c>
    </row>
    <row r="31" spans="1:29" ht="15">
      <c r="A31" s="375"/>
      <c r="B31" s="403" t="s">
        <v>2232</v>
      </c>
      <c r="C31" s="550" t="s">
        <v>3787</v>
      </c>
      <c r="D31" s="382">
        <v>100</v>
      </c>
      <c r="E31" s="550" t="s">
        <v>3787</v>
      </c>
      <c r="F31" s="382">
        <f>SUMIF(103:103,E31,104:104)-SUMIF(103:103,C31,104:104)+100</f>
        <v>100</v>
      </c>
      <c r="G31" s="550" t="s">
        <v>4189</v>
      </c>
      <c r="H31" s="382">
        <f>SUMIF(103:103,G31,104:104)-SUMIF(103:103,C31,104:104)+100</f>
        <v>97</v>
      </c>
      <c r="I31" s="550" t="s">
        <v>3787</v>
      </c>
      <c r="J31" s="382">
        <f>SUMIF(103:103,I31,104:104)-SUMIF(103:103,C31,104:104)+100</f>
        <v>100</v>
      </c>
      <c r="K31" s="601">
        <v>3</v>
      </c>
      <c r="L31" s="2654"/>
      <c r="M31" s="2649"/>
      <c r="N31" s="2649"/>
      <c r="O31" s="2704"/>
      <c r="P31" s="3376"/>
      <c r="Q31" s="1392" t="str">
        <f t="shared" si="8"/>
        <v>临街状况</v>
      </c>
      <c r="R31" s="676" t="s">
        <v>17</v>
      </c>
      <c r="S31" s="677">
        <f t="shared" ref="S31:S45" si="10">F31</f>
        <v>100</v>
      </c>
      <c r="T31" s="676" t="s">
        <v>17</v>
      </c>
      <c r="U31" s="677">
        <f t="shared" ref="U31:U45" si="11">H31</f>
        <v>97</v>
      </c>
      <c r="V31" s="676" t="s">
        <v>17</v>
      </c>
      <c r="W31" s="677">
        <f t="shared" ref="W31:W45" si="12">J31</f>
        <v>100</v>
      </c>
      <c r="X31" s="1394"/>
      <c r="Y31" s="3376"/>
      <c r="Z31" s="1393" t="str">
        <f t="shared" ref="Z31:Z45" si="13">Q31</f>
        <v>临街状况</v>
      </c>
      <c r="AA31" s="1393">
        <f t="shared" si="3"/>
        <v>1</v>
      </c>
      <c r="AB31" s="1393">
        <f t="shared" si="4"/>
        <v>1.0309278350515463</v>
      </c>
      <c r="AC31" s="1393">
        <f t="shared" si="5"/>
        <v>1</v>
      </c>
    </row>
    <row r="32" spans="1:29" ht="27">
      <c r="A32" s="375"/>
      <c r="B32" s="594" t="s">
        <v>2267</v>
      </c>
      <c r="C32" s="3116" t="s">
        <v>4188</v>
      </c>
      <c r="D32" s="397">
        <v>100</v>
      </c>
      <c r="E32" s="3124" t="s">
        <v>4187</v>
      </c>
      <c r="F32" s="397">
        <f>SUMIF(105:105,E33,106:106)-SUMIF(105:105,C33,106:106)+100</f>
        <v>102</v>
      </c>
      <c r="G32" s="3124" t="s">
        <v>4186</v>
      </c>
      <c r="H32" s="397">
        <f>SUMIF(105:105,G33,106:106)-SUMIF(105:105,C33,106:106)+100</f>
        <v>98</v>
      </c>
      <c r="I32" s="3116" t="s">
        <v>4190</v>
      </c>
      <c r="J32" s="397">
        <f>SUMIF(105:105,I33,106:106)-SUMIF(105:105,C33,106:106)+100</f>
        <v>102</v>
      </c>
      <c r="K32" s="601">
        <v>2</v>
      </c>
      <c r="L32" s="2654"/>
      <c r="M32" s="2649"/>
      <c r="N32" s="2649"/>
      <c r="O32" s="2704"/>
      <c r="P32" s="3376"/>
      <c r="Q32" s="1392" t="str">
        <f t="shared" si="8"/>
        <v>毗邻道路的类型与等级</v>
      </c>
      <c r="R32" s="676" t="s">
        <v>17</v>
      </c>
      <c r="S32" s="677">
        <f t="shared" si="10"/>
        <v>102</v>
      </c>
      <c r="T32" s="676" t="s">
        <v>17</v>
      </c>
      <c r="U32" s="677">
        <f t="shared" si="11"/>
        <v>98</v>
      </c>
      <c r="V32" s="676" t="s">
        <v>17</v>
      </c>
      <c r="W32" s="677">
        <f t="shared" si="12"/>
        <v>102</v>
      </c>
      <c r="X32" s="1394"/>
      <c r="Y32" s="3376"/>
      <c r="Z32" s="1393" t="str">
        <f t="shared" si="13"/>
        <v>毗邻道路的类型与等级</v>
      </c>
      <c r="AA32" s="1393">
        <f t="shared" si="3"/>
        <v>0.98039215686274506</v>
      </c>
      <c r="AB32" s="1393">
        <f t="shared" si="4"/>
        <v>1.0204081632653061</v>
      </c>
      <c r="AC32" s="1393">
        <f t="shared" si="5"/>
        <v>0.98039215686274506</v>
      </c>
    </row>
    <row r="33" spans="1:29" ht="15.75" thickBot="1">
      <c r="A33" s="375"/>
      <c r="B33" s="403"/>
      <c r="C33" s="394" t="s">
        <v>3770</v>
      </c>
      <c r="D33" s="395"/>
      <c r="E33" s="394" t="s">
        <v>3769</v>
      </c>
      <c r="F33" s="395"/>
      <c r="G33" s="394" t="s">
        <v>3771</v>
      </c>
      <c r="H33" s="395"/>
      <c r="I33" s="394" t="s">
        <v>3769</v>
      </c>
      <c r="J33" s="395"/>
      <c r="K33" s="547"/>
      <c r="L33" s="2654"/>
      <c r="M33" s="2649"/>
      <c r="N33" s="2649"/>
      <c r="O33" s="2704"/>
      <c r="P33" s="3376"/>
      <c r="Q33" s="1392"/>
      <c r="R33" s="676"/>
      <c r="S33" s="677"/>
      <c r="T33" s="676"/>
      <c r="U33" s="677"/>
      <c r="V33" s="676"/>
      <c r="W33" s="677"/>
      <c r="X33" s="1394"/>
      <c r="Y33" s="3376"/>
      <c r="Z33" s="1393"/>
      <c r="AA33" s="1393">
        <v>1</v>
      </c>
      <c r="AB33" s="1393">
        <v>1</v>
      </c>
      <c r="AC33" s="1393">
        <v>1</v>
      </c>
    </row>
    <row r="34" spans="1:29" ht="15" hidden="1">
      <c r="A34" s="375"/>
      <c r="B34" s="370" t="s">
        <v>2326</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4"/>
      <c r="M34" s="2649"/>
      <c r="N34" s="2649"/>
      <c r="O34" s="2704"/>
      <c r="P34" s="3376"/>
      <c r="Q34" s="1392" t="str">
        <f t="shared" si="8"/>
        <v>土地级别</v>
      </c>
      <c r="R34" s="676" t="s">
        <v>17</v>
      </c>
      <c r="S34" s="677">
        <f t="shared" si="10"/>
        <v>100</v>
      </c>
      <c r="T34" s="676" t="s">
        <v>17</v>
      </c>
      <c r="U34" s="677">
        <f t="shared" si="11"/>
        <v>100</v>
      </c>
      <c r="V34" s="676" t="s">
        <v>17</v>
      </c>
      <c r="W34" s="677">
        <f t="shared" si="12"/>
        <v>100</v>
      </c>
      <c r="X34" s="1394"/>
      <c r="Y34" s="3376"/>
      <c r="Z34" s="1393" t="str">
        <f t="shared" si="13"/>
        <v>土地级别</v>
      </c>
      <c r="AA34" s="1393">
        <f t="shared" si="3"/>
        <v>1</v>
      </c>
      <c r="AB34" s="1393">
        <f t="shared" si="4"/>
        <v>1</v>
      </c>
      <c r="AC34" s="1393">
        <f t="shared" si="5"/>
        <v>1</v>
      </c>
    </row>
    <row r="35" spans="1:29" ht="15" hidden="1">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4"/>
      <c r="M35" s="2649"/>
      <c r="N35" s="2649"/>
      <c r="O35" s="2704"/>
      <c r="P35" s="3376"/>
      <c r="Q35" s="1392">
        <f t="shared" si="8"/>
        <v>111</v>
      </c>
      <c r="R35" s="676" t="s">
        <v>17</v>
      </c>
      <c r="S35" s="677">
        <f t="shared" si="10"/>
        <v>100</v>
      </c>
      <c r="T35" s="676" t="s">
        <v>17</v>
      </c>
      <c r="U35" s="677">
        <f t="shared" si="11"/>
        <v>100</v>
      </c>
      <c r="V35" s="676" t="s">
        <v>17</v>
      </c>
      <c r="W35" s="677">
        <f t="shared" si="12"/>
        <v>100</v>
      </c>
      <c r="X35" s="1394"/>
      <c r="Y35" s="3376"/>
      <c r="Z35" s="1393">
        <f t="shared" si="13"/>
        <v>111</v>
      </c>
      <c r="AA35" s="1393">
        <f t="shared" si="3"/>
        <v>1</v>
      </c>
      <c r="AB35" s="1393">
        <f t="shared" si="4"/>
        <v>1</v>
      </c>
      <c r="AC35" s="1393">
        <f t="shared" si="5"/>
        <v>1</v>
      </c>
    </row>
    <row r="36" spans="1:29" ht="15" hidden="1">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4"/>
      <c r="M36" s="2649"/>
      <c r="N36" s="2649"/>
      <c r="O36" s="2704"/>
      <c r="P36" s="3377" t="s">
        <v>2141</v>
      </c>
      <c r="Q36" s="1392">
        <f t="shared" si="8"/>
        <v>111</v>
      </c>
      <c r="R36" s="676" t="s">
        <v>17</v>
      </c>
      <c r="S36" s="677">
        <f t="shared" si="10"/>
        <v>100</v>
      </c>
      <c r="T36" s="676" t="s">
        <v>17</v>
      </c>
      <c r="U36" s="677">
        <f t="shared" si="11"/>
        <v>100</v>
      </c>
      <c r="V36" s="676" t="s">
        <v>17</v>
      </c>
      <c r="W36" s="677">
        <f t="shared" si="12"/>
        <v>100</v>
      </c>
      <c r="X36" s="1394"/>
      <c r="Y36" s="3378" t="s">
        <v>2141</v>
      </c>
      <c r="Z36" s="1393">
        <f t="shared" si="13"/>
        <v>111</v>
      </c>
      <c r="AA36" s="1393">
        <f t="shared" si="3"/>
        <v>1</v>
      </c>
      <c r="AB36" s="1393">
        <f t="shared" si="4"/>
        <v>1</v>
      </c>
      <c r="AC36" s="1393">
        <f t="shared" si="5"/>
        <v>1</v>
      </c>
    </row>
    <row r="37" spans="1:29" s="416" customFormat="1" ht="15.75" hidden="1"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3"/>
      <c r="M37" s="2655"/>
      <c r="N37" s="2655"/>
      <c r="O37" s="2705"/>
      <c r="P37" s="3378"/>
      <c r="Q37" s="1392">
        <f t="shared" si="8"/>
        <v>111</v>
      </c>
      <c r="R37" s="678" t="s">
        <v>17</v>
      </c>
      <c r="S37" s="679">
        <f t="shared" si="10"/>
        <v>100</v>
      </c>
      <c r="T37" s="678" t="s">
        <v>17</v>
      </c>
      <c r="U37" s="679">
        <f t="shared" si="11"/>
        <v>100</v>
      </c>
      <c r="V37" s="678" t="s">
        <v>17</v>
      </c>
      <c r="W37" s="679">
        <f t="shared" si="12"/>
        <v>100</v>
      </c>
      <c r="X37" s="680"/>
      <c r="Y37" s="3378"/>
      <c r="Z37" s="681">
        <f t="shared" si="13"/>
        <v>111</v>
      </c>
      <c r="AA37" s="1393">
        <f t="shared" si="3"/>
        <v>1</v>
      </c>
      <c r="AB37" s="1393">
        <f t="shared" si="4"/>
        <v>1</v>
      </c>
      <c r="AC37" s="1393">
        <f t="shared" si="5"/>
        <v>1</v>
      </c>
    </row>
    <row r="38" spans="1:29" ht="15">
      <c r="A38" s="417" t="s">
        <v>2139</v>
      </c>
      <c r="B38" s="403" t="s">
        <v>2327</v>
      </c>
      <c r="C38" s="607">
        <v>49363.59</v>
      </c>
      <c r="D38" s="413">
        <v>100</v>
      </c>
      <c r="E38" s="607">
        <f>土地案例!E4</f>
        <v>12629.88</v>
      </c>
      <c r="F38" s="413">
        <f>LOOKUP(E38,116:116,117:117)-LOOKUP(C38,116:116,117:117)+100</f>
        <v>98.5</v>
      </c>
      <c r="G38" s="607">
        <f>土地案例!E17</f>
        <v>12136.3</v>
      </c>
      <c r="H38" s="413">
        <f>LOOKUP(G38,116:116,117:117)-LOOKUP(C38,116:116,117:117)+100</f>
        <v>98.5</v>
      </c>
      <c r="I38" s="470">
        <f>土地案例!E18</f>
        <v>5907.54</v>
      </c>
      <c r="J38" s="413">
        <f>LOOKUP(I38,116:116,117:117)-LOOKUP(C38,116:116,117:117)+100</f>
        <v>98</v>
      </c>
      <c r="K38" s="547"/>
      <c r="L38" s="2654"/>
      <c r="M38" s="2649"/>
      <c r="N38" s="2649"/>
      <c r="O38" s="2704"/>
      <c r="P38" s="3378"/>
      <c r="Q38" s="1392" t="str">
        <f>B38</f>
        <v>宗地面积</v>
      </c>
      <c r="R38" s="676" t="s">
        <v>17</v>
      </c>
      <c r="S38" s="677">
        <f t="shared" si="10"/>
        <v>98.5</v>
      </c>
      <c r="T38" s="676" t="s">
        <v>17</v>
      </c>
      <c r="U38" s="677">
        <f t="shared" si="11"/>
        <v>98.5</v>
      </c>
      <c r="V38" s="676" t="s">
        <v>17</v>
      </c>
      <c r="W38" s="677">
        <f t="shared" si="12"/>
        <v>98</v>
      </c>
      <c r="X38" s="1394"/>
      <c r="Y38" s="3378"/>
      <c r="Z38" s="1393" t="str">
        <f t="shared" si="13"/>
        <v>宗地面积</v>
      </c>
      <c r="AA38" s="1393">
        <f t="shared" si="3"/>
        <v>1.015228426395939</v>
      </c>
      <c r="AB38" s="1393">
        <f t="shared" si="4"/>
        <v>1.015228426395939</v>
      </c>
      <c r="AC38" s="1393">
        <f t="shared" si="5"/>
        <v>1.0204081632653061</v>
      </c>
    </row>
    <row r="39" spans="1:29" ht="15">
      <c r="A39" s="417"/>
      <c r="B39" s="370" t="s">
        <v>2328</v>
      </c>
      <c r="C39" s="1890" t="s">
        <v>3773</v>
      </c>
      <c r="D39" s="382">
        <v>100</v>
      </c>
      <c r="E39" s="1890" t="s">
        <v>3773</v>
      </c>
      <c r="F39" s="382">
        <f>SUMIF(118:118,E39,119:119)-SUMIF(118:118,C39,119:119)+100</f>
        <v>100</v>
      </c>
      <c r="G39" s="1890" t="s">
        <v>3773</v>
      </c>
      <c r="H39" s="382">
        <f>SUMIF(118:118,G39,119:119)-SUMIF(118:118,C39,119:119)+100</f>
        <v>100</v>
      </c>
      <c r="I39" s="1890" t="s">
        <v>3773</v>
      </c>
      <c r="J39" s="382">
        <f>SUMIF(118:118,I39,119:119)-SUMIF(118:118,C39,119:119)+100</f>
        <v>100</v>
      </c>
      <c r="K39" s="546">
        <v>1</v>
      </c>
      <c r="L39" s="2654"/>
      <c r="M39" s="2649"/>
      <c r="N39" s="2649"/>
      <c r="O39" s="2704"/>
      <c r="P39" s="3378"/>
      <c r="Q39" s="1392" t="str">
        <f t="shared" ref="Q39:Q45" si="14">B39</f>
        <v>宗地形状</v>
      </c>
      <c r="R39" s="676" t="s">
        <v>17</v>
      </c>
      <c r="S39" s="677">
        <f t="shared" si="10"/>
        <v>100</v>
      </c>
      <c r="T39" s="676" t="s">
        <v>17</v>
      </c>
      <c r="U39" s="677">
        <f t="shared" si="11"/>
        <v>100</v>
      </c>
      <c r="V39" s="676" t="s">
        <v>17</v>
      </c>
      <c r="W39" s="677">
        <f t="shared" si="12"/>
        <v>100</v>
      </c>
      <c r="X39" s="1394"/>
      <c r="Y39" s="3378"/>
      <c r="Z39" s="1393" t="str">
        <f t="shared" si="13"/>
        <v>宗地形状</v>
      </c>
      <c r="AA39" s="1393">
        <f t="shared" si="3"/>
        <v>1</v>
      </c>
      <c r="AB39" s="1393">
        <f t="shared" si="4"/>
        <v>1</v>
      </c>
      <c r="AC39" s="1393">
        <f t="shared" si="5"/>
        <v>1</v>
      </c>
    </row>
    <row r="40" spans="1:29" ht="15" hidden="1">
      <c r="A40" s="417"/>
      <c r="B40" s="370" t="s">
        <v>2329</v>
      </c>
      <c r="C40" s="1890"/>
      <c r="D40" s="382">
        <v>100</v>
      </c>
      <c r="E40" s="1890"/>
      <c r="F40" s="382">
        <f>SUMIF(120:120,E40,121:121)-SUMIF(120:120,C40,121:121)+100</f>
        <v>100</v>
      </c>
      <c r="G40" s="1890"/>
      <c r="H40" s="382">
        <f>SUMIF(120:120,G40,121:121)-SUMIF(120:120,C40,121:121)+100</f>
        <v>100</v>
      </c>
      <c r="I40" s="1890"/>
      <c r="J40" s="382">
        <f>SUMIF(120:120,I40,121:121)-SUMIF(120:120,C40,121:121)+100</f>
        <v>100</v>
      </c>
      <c r="K40" s="546"/>
      <c r="L40" s="2654"/>
      <c r="M40" s="2649"/>
      <c r="N40" s="2649"/>
      <c r="O40" s="2704"/>
      <c r="P40" s="3378"/>
      <c r="Q40" s="1392" t="str">
        <f t="shared" si="14"/>
        <v>临街宽度及深度</v>
      </c>
      <c r="R40" s="676" t="s">
        <v>17</v>
      </c>
      <c r="S40" s="677">
        <f t="shared" si="10"/>
        <v>100</v>
      </c>
      <c r="T40" s="676" t="s">
        <v>17</v>
      </c>
      <c r="U40" s="677">
        <f t="shared" si="11"/>
        <v>100</v>
      </c>
      <c r="V40" s="676" t="s">
        <v>17</v>
      </c>
      <c r="W40" s="677">
        <f t="shared" si="12"/>
        <v>100</v>
      </c>
      <c r="X40" s="1394"/>
      <c r="Y40" s="3378"/>
      <c r="Z40" s="1393" t="str">
        <f t="shared" si="13"/>
        <v>临街宽度及深度</v>
      </c>
      <c r="AA40" s="1393">
        <f t="shared" si="3"/>
        <v>1</v>
      </c>
      <c r="AB40" s="1393">
        <f t="shared" si="4"/>
        <v>1</v>
      </c>
      <c r="AC40" s="1393">
        <f t="shared" si="5"/>
        <v>1</v>
      </c>
    </row>
    <row r="41" spans="1:29" s="107" customFormat="1" ht="15">
      <c r="A41" s="418"/>
      <c r="B41" s="370" t="s">
        <v>2330</v>
      </c>
      <c r="C41" s="1958" t="s">
        <v>3780</v>
      </c>
      <c r="D41" s="124">
        <v>100</v>
      </c>
      <c r="E41" s="1958" t="s">
        <v>3782</v>
      </c>
      <c r="F41" s="382">
        <f>SUMIF(122:122,E41,123:123)-SUMIF(122:122,C41,123:123)+100</f>
        <v>98</v>
      </c>
      <c r="G41" s="1958" t="s">
        <v>3779</v>
      </c>
      <c r="H41" s="382">
        <f>SUMIF(122:122,G41,123:123)-SUMIF(122:122,C41,123:123)+100</f>
        <v>101</v>
      </c>
      <c r="I41" s="1958" t="s">
        <v>3782</v>
      </c>
      <c r="J41" s="382">
        <f>SUMIF(122:122,I41,123:123)-SUMIF(122:122,C41,123:123)+100</f>
        <v>98</v>
      </c>
      <c r="K41" s="546">
        <v>1</v>
      </c>
      <c r="L41" s="2650"/>
      <c r="M41" s="2603"/>
      <c r="N41" s="2603"/>
      <c r="O41" s="2702"/>
      <c r="P41" s="3378"/>
      <c r="Q41" s="1392" t="str">
        <f t="shared" si="14"/>
        <v>宗地开发程度</v>
      </c>
      <c r="R41" s="673" t="s">
        <v>17</v>
      </c>
      <c r="S41" s="674">
        <f t="shared" si="10"/>
        <v>98</v>
      </c>
      <c r="T41" s="673" t="s">
        <v>17</v>
      </c>
      <c r="U41" s="674">
        <f t="shared" si="11"/>
        <v>101</v>
      </c>
      <c r="V41" s="673" t="s">
        <v>17</v>
      </c>
      <c r="W41" s="674">
        <f t="shared" si="12"/>
        <v>98</v>
      </c>
      <c r="X41" s="675"/>
      <c r="Y41" s="3378"/>
      <c r="Z41" s="53" t="str">
        <f t="shared" si="13"/>
        <v>宗地开发程度</v>
      </c>
      <c r="AA41" s="53">
        <f t="shared" si="3"/>
        <v>1.0204081632653061</v>
      </c>
      <c r="AB41" s="53">
        <f t="shared" si="4"/>
        <v>0.99009900990099009</v>
      </c>
      <c r="AC41" s="53">
        <f t="shared" si="5"/>
        <v>1.0204081632653061</v>
      </c>
    </row>
    <row r="42" spans="1:29" ht="15">
      <c r="A42" s="417"/>
      <c r="B42" s="370" t="s">
        <v>2331</v>
      </c>
      <c r="C42" s="1890" t="s">
        <v>3784</v>
      </c>
      <c r="D42" s="382">
        <v>100</v>
      </c>
      <c r="E42" s="1890" t="s">
        <v>3784</v>
      </c>
      <c r="F42" s="382">
        <f>SUMIF(124:124,E42,125:125)-SUMIF(124:124,C42,125:125)+100</f>
        <v>100</v>
      </c>
      <c r="G42" s="1890" t="s">
        <v>3784</v>
      </c>
      <c r="H42" s="382">
        <f>SUMIF(124:124,G42,125:125)-SUMIF(124:124,C42,125:125)+100</f>
        <v>100</v>
      </c>
      <c r="I42" s="1890" t="s">
        <v>3784</v>
      </c>
      <c r="J42" s="382">
        <f>SUMIF(124:124,I42,125:125)-SUMIF(124:124,C42,125:125)+100</f>
        <v>100</v>
      </c>
      <c r="K42" s="546">
        <v>1</v>
      </c>
      <c r="L42" s="2654"/>
      <c r="M42" s="2649"/>
      <c r="N42" s="2649"/>
      <c r="O42" s="2704"/>
      <c r="P42" s="3378" t="s">
        <v>2141</v>
      </c>
      <c r="Q42" s="1392" t="str">
        <f t="shared" si="14"/>
        <v>工程地质条件</v>
      </c>
      <c r="R42" s="676" t="s">
        <v>17</v>
      </c>
      <c r="S42" s="677">
        <f t="shared" si="10"/>
        <v>100</v>
      </c>
      <c r="T42" s="676" t="s">
        <v>17</v>
      </c>
      <c r="U42" s="677">
        <f t="shared" si="11"/>
        <v>100</v>
      </c>
      <c r="V42" s="676" t="s">
        <v>17</v>
      </c>
      <c r="W42" s="677">
        <f t="shared" si="12"/>
        <v>100</v>
      </c>
      <c r="X42" s="1394"/>
      <c r="Y42" s="3378" t="s">
        <v>2141</v>
      </c>
      <c r="Z42" s="1393" t="str">
        <f t="shared" si="13"/>
        <v>工程地质条件</v>
      </c>
      <c r="AA42" s="1393">
        <f t="shared" si="3"/>
        <v>1</v>
      </c>
      <c r="AB42" s="1393">
        <f t="shared" si="4"/>
        <v>1</v>
      </c>
      <c r="AC42" s="1393">
        <f t="shared" si="5"/>
        <v>1</v>
      </c>
    </row>
    <row r="43" spans="1:29" ht="1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4"/>
      <c r="M43" s="2649"/>
      <c r="N43" s="2649"/>
      <c r="O43" s="2704"/>
      <c r="P43" s="3378"/>
      <c r="Q43" s="1392">
        <f t="shared" si="14"/>
        <v>111</v>
      </c>
      <c r="R43" s="676" t="s">
        <v>17</v>
      </c>
      <c r="S43" s="677">
        <f t="shared" si="10"/>
        <v>100</v>
      </c>
      <c r="T43" s="676" t="s">
        <v>17</v>
      </c>
      <c r="U43" s="677">
        <f t="shared" si="11"/>
        <v>100</v>
      </c>
      <c r="V43" s="676" t="s">
        <v>17</v>
      </c>
      <c r="W43" s="677">
        <f t="shared" si="12"/>
        <v>100</v>
      </c>
      <c r="X43" s="1394"/>
      <c r="Y43" s="3378"/>
      <c r="Z43" s="1393">
        <f t="shared" si="13"/>
        <v>111</v>
      </c>
      <c r="AA43" s="1393">
        <f t="shared" si="3"/>
        <v>1</v>
      </c>
      <c r="AB43" s="1393">
        <f t="shared" si="4"/>
        <v>1</v>
      </c>
      <c r="AC43" s="1393">
        <f t="shared" si="5"/>
        <v>1</v>
      </c>
    </row>
    <row r="44" spans="1:29" ht="1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4"/>
      <c r="M44" s="2649"/>
      <c r="N44" s="2649"/>
      <c r="O44" s="2704"/>
      <c r="P44" s="3378"/>
      <c r="Q44" s="1392">
        <f t="shared" si="14"/>
        <v>111</v>
      </c>
      <c r="R44" s="676" t="s">
        <v>17</v>
      </c>
      <c r="S44" s="677">
        <f t="shared" si="10"/>
        <v>100</v>
      </c>
      <c r="T44" s="676" t="s">
        <v>17</v>
      </c>
      <c r="U44" s="677">
        <f t="shared" si="11"/>
        <v>100</v>
      </c>
      <c r="V44" s="676" t="s">
        <v>17</v>
      </c>
      <c r="W44" s="677">
        <f t="shared" si="12"/>
        <v>100</v>
      </c>
      <c r="X44" s="1394"/>
      <c r="Y44" s="3378"/>
      <c r="Z44" s="1393">
        <f t="shared" si="13"/>
        <v>111</v>
      </c>
      <c r="AA44" s="1393">
        <f t="shared" si="3"/>
        <v>1</v>
      </c>
      <c r="AB44" s="1393">
        <f t="shared" si="4"/>
        <v>1</v>
      </c>
      <c r="AC44" s="1393">
        <f t="shared" si="5"/>
        <v>1</v>
      </c>
    </row>
    <row r="45" spans="1:29" s="416" customFormat="1" ht="15.75" thickBot="1">
      <c r="A45" s="414"/>
      <c r="B45" s="1177">
        <v>111</v>
      </c>
      <c r="C45" s="1959"/>
      <c r="D45" s="608">
        <v>100</v>
      </c>
      <c r="E45" s="602"/>
      <c r="F45" s="385">
        <f>SUMIF(130:130,E45,131:131)-SUMIF(130:130,C45,131:131)+100</f>
        <v>100</v>
      </c>
      <c r="G45" s="602"/>
      <c r="H45" s="385">
        <f>SUMIF(130:130,G45,131:131)-SUMIF(130:130,C45,131:131)+100</f>
        <v>100</v>
      </c>
      <c r="I45" s="602"/>
      <c r="J45" s="385">
        <f>SUMIF(130:130,I45,131:131)-SUMIF(130:130,C45,131:131)+100</f>
        <v>100</v>
      </c>
      <c r="K45" s="609"/>
      <c r="L45" s="2653"/>
      <c r="M45" s="2655"/>
      <c r="N45" s="2655"/>
      <c r="O45" s="2705"/>
      <c r="P45" s="3378"/>
      <c r="Q45" s="1392">
        <f t="shared" si="14"/>
        <v>111</v>
      </c>
      <c r="R45" s="678" t="s">
        <v>17</v>
      </c>
      <c r="S45" s="679">
        <f t="shared" si="10"/>
        <v>100</v>
      </c>
      <c r="T45" s="678" t="s">
        <v>17</v>
      </c>
      <c r="U45" s="679">
        <f t="shared" si="11"/>
        <v>100</v>
      </c>
      <c r="V45" s="678" t="s">
        <v>17</v>
      </c>
      <c r="W45" s="679">
        <f t="shared" si="12"/>
        <v>100</v>
      </c>
      <c r="X45" s="680"/>
      <c r="Y45" s="3378"/>
      <c r="Z45" s="681">
        <f t="shared" si="13"/>
        <v>111</v>
      </c>
      <c r="AA45" s="1393">
        <f t="shared" si="3"/>
        <v>1</v>
      </c>
      <c r="AB45" s="1393">
        <f t="shared" si="4"/>
        <v>1</v>
      </c>
      <c r="AC45" s="1393">
        <f t="shared" si="5"/>
        <v>1</v>
      </c>
    </row>
    <row r="46" spans="1:29" ht="15">
      <c r="A46" s="424" t="s">
        <v>2296</v>
      </c>
      <c r="B46" s="1960" t="s">
        <v>2332</v>
      </c>
      <c r="C46" s="610" t="s">
        <v>1</v>
      </c>
      <c r="D46" s="426"/>
      <c r="E46" s="427">
        <f>土地案例!S4</f>
        <v>20750</v>
      </c>
      <c r="F46" s="428"/>
      <c r="G46" s="429">
        <f>土地案例!S17</f>
        <v>16715</v>
      </c>
      <c r="H46" s="430"/>
      <c r="I46" s="427">
        <f>土地案例!S18</f>
        <v>21005</v>
      </c>
      <c r="J46" s="430"/>
      <c r="K46" s="683"/>
      <c r="L46" s="2656"/>
      <c r="M46" s="2649"/>
      <c r="N46" s="2649"/>
      <c r="O46" s="2649"/>
      <c r="P46" s="3360" t="str">
        <f>A46</f>
        <v>成交单价</v>
      </c>
      <c r="Q46" s="3360"/>
      <c r="R46" s="3373">
        <f>E46</f>
        <v>20750</v>
      </c>
      <c r="S46" s="3373"/>
      <c r="T46" s="3373">
        <f>G46</f>
        <v>16715</v>
      </c>
      <c r="U46" s="3373"/>
      <c r="V46" s="3373">
        <f>I46</f>
        <v>21005</v>
      </c>
      <c r="W46" s="3373"/>
      <c r="X46" s="393"/>
      <c r="Y46" s="682"/>
      <c r="Z46" s="393"/>
      <c r="AA46" s="393"/>
      <c r="AB46" s="393"/>
      <c r="AC46" s="393"/>
    </row>
    <row r="47" spans="1:29" ht="15.75" thickBot="1">
      <c r="A47" s="431" t="s">
        <v>2245</v>
      </c>
      <c r="B47" s="611"/>
      <c r="C47" s="434">
        <f>R48</f>
        <v>18088</v>
      </c>
      <c r="D47" s="2301" t="s">
        <v>2634</v>
      </c>
      <c r="E47" s="434">
        <f>R47</f>
        <v>19510</v>
      </c>
      <c r="F47" s="2302"/>
      <c r="G47" s="433">
        <f>T47</f>
        <v>16653</v>
      </c>
      <c r="H47" s="2302"/>
      <c r="I47" s="434">
        <f>V47</f>
        <v>18102</v>
      </c>
      <c r="J47" s="2302"/>
      <c r="K47" s="2304">
        <f>F47+H47+J47</f>
        <v>0</v>
      </c>
      <c r="L47" s="2656"/>
      <c r="M47" s="2649"/>
      <c r="N47" s="2649"/>
      <c r="O47" s="2649"/>
      <c r="P47" s="3360" t="str">
        <f>A47</f>
        <v>比较价值（元/平方米）</v>
      </c>
      <c r="Q47" s="3360"/>
      <c r="R47" s="3379">
        <f>ROUND(PRODUCT(R46,AA7:AA45),0)</f>
        <v>19510</v>
      </c>
      <c r="S47" s="3379"/>
      <c r="T47" s="3379">
        <f>ROUND(PRODUCT(T46,AB7:AB45),0)</f>
        <v>16653</v>
      </c>
      <c r="U47" s="3379"/>
      <c r="V47" s="3379">
        <f>ROUND(PRODUCT(V46,AC7:AC45),0)</f>
        <v>18102</v>
      </c>
      <c r="W47" s="3379"/>
      <c r="X47" s="393"/>
      <c r="Y47" s="393"/>
      <c r="Z47" s="393"/>
      <c r="AA47" s="393"/>
      <c r="AB47" s="393"/>
      <c r="AC47" s="393"/>
    </row>
    <row r="48" spans="1:29" ht="15.75" thickBot="1">
      <c r="A48" s="435" t="s">
        <v>2333</v>
      </c>
      <c r="B48" s="436"/>
      <c r="C48" s="437">
        <f>R48</f>
        <v>18088</v>
      </c>
      <c r="D48" s="437"/>
      <c r="E48" s="437"/>
      <c r="F48" s="437"/>
      <c r="G48" s="437"/>
      <c r="H48" s="437"/>
      <c r="I48" s="437"/>
      <c r="J48" s="437"/>
      <c r="K48" s="684"/>
      <c r="L48" s="2656"/>
      <c r="M48" s="2649"/>
      <c r="N48" s="2649"/>
      <c r="O48" s="2649"/>
      <c r="P48" s="3380" t="str">
        <f>A48</f>
        <v>估价对象XX用房的比较价值（楼面单价，元/平方米）</v>
      </c>
      <c r="Q48" s="3381"/>
      <c r="R48" s="3382">
        <f>ROUND(IF(D47="简单平均",AVERAGE(R47:W47),R47*F47+T47*H47+V47*J47),0)</f>
        <v>18088</v>
      </c>
      <c r="S48" s="3382"/>
      <c r="T48" s="3382"/>
      <c r="U48" s="3382"/>
      <c r="V48" s="3382"/>
      <c r="W48" s="3382"/>
      <c r="X48" s="393"/>
      <c r="Y48" s="393"/>
      <c r="Z48" s="393"/>
      <c r="AA48" s="393"/>
      <c r="AB48" s="393"/>
      <c r="AC48" s="393"/>
    </row>
    <row r="49" spans="1:29">
      <c r="A49" s="2649"/>
      <c r="B49" s="2649"/>
      <c r="C49" s="2649"/>
      <c r="D49" s="2649"/>
      <c r="E49" s="2649"/>
      <c r="F49" s="2649"/>
      <c r="G49" s="2660"/>
      <c r="H49" s="2649"/>
      <c r="I49" s="2649"/>
      <c r="J49" s="2649"/>
      <c r="K49" s="2661"/>
      <c r="L49" s="2657"/>
      <c r="M49" s="2649"/>
      <c r="N49" s="2649"/>
      <c r="O49" s="2649"/>
      <c r="P49" s="2649"/>
      <c r="Q49" s="2649"/>
      <c r="R49" s="2649"/>
      <c r="S49" s="2649"/>
      <c r="T49" s="2649"/>
      <c r="U49" s="2649"/>
      <c r="V49" s="2649"/>
      <c r="W49" s="2649"/>
      <c r="X49" s="2649"/>
      <c r="Y49" s="2649"/>
      <c r="Z49" s="2649"/>
      <c r="AA49" s="2649"/>
      <c r="AB49" s="2649"/>
      <c r="AC49" s="2649"/>
    </row>
    <row r="50" spans="1:29">
      <c r="A50" s="2649"/>
      <c r="B50" s="2649"/>
      <c r="C50" s="2649"/>
      <c r="D50" s="2649"/>
      <c r="E50" s="2649"/>
      <c r="F50" s="2649"/>
      <c r="G50" s="2649"/>
      <c r="H50" s="2649"/>
      <c r="I50" s="2649"/>
      <c r="J50" s="2649"/>
      <c r="K50" s="2661"/>
      <c r="L50" s="2657"/>
      <c r="M50" s="2649"/>
      <c r="N50" s="2649"/>
      <c r="O50" s="2649"/>
      <c r="P50" s="2649"/>
      <c r="Q50" s="2649"/>
      <c r="R50" s="2649"/>
      <c r="S50" s="2649"/>
      <c r="T50" s="2649"/>
      <c r="U50" s="2649"/>
      <c r="V50" s="2649"/>
      <c r="W50" s="2649"/>
      <c r="X50" s="2649"/>
      <c r="Y50" s="2649"/>
      <c r="Z50" s="2649"/>
      <c r="AA50" s="2649"/>
      <c r="AB50" s="2649"/>
      <c r="AC50" s="2649"/>
    </row>
    <row r="51" spans="1:29" ht="13.5" customHeight="1">
      <c r="A51" s="2649"/>
      <c r="B51" s="2649"/>
      <c r="C51" s="440" t="s">
        <v>2247</v>
      </c>
      <c r="D51" s="441"/>
      <c r="E51" s="442">
        <f>IF(E46&lt;E47,E47/E46-1,E46/E47-1)</f>
        <v>6.3557150179395228E-2</v>
      </c>
      <c r="F51" s="443" t="str">
        <f>IF(OR(E51&gt;=0.3,E51&lt;=-0.3),"超过30%","")</f>
        <v/>
      </c>
      <c r="G51" s="442">
        <f>IF(G46&lt;G47,G47/G46-1,G46/G47-1)</f>
        <v>3.723052903380708E-3</v>
      </c>
      <c r="H51" s="443" t="str">
        <f>IF(OR(G51&gt;=0.3,G51&lt;=-0.3),"超过30%","")</f>
        <v/>
      </c>
      <c r="I51" s="442">
        <f>IF(I46&lt;I47,I47/I46-1,I46/I47-1)</f>
        <v>0.1603690199977903</v>
      </c>
      <c r="J51" s="443" t="str">
        <f>IF(OR(I51&gt;=0.3,I51&lt;=-0.3),"超过30%","")</f>
        <v/>
      </c>
      <c r="K51" s="2661"/>
      <c r="L51" s="2657"/>
      <c r="M51" s="2649"/>
      <c r="N51" s="2649"/>
      <c r="O51" s="2649"/>
      <c r="P51" s="2649"/>
      <c r="Q51" s="2649"/>
      <c r="R51" s="2649"/>
      <c r="S51" s="2649"/>
      <c r="T51" s="2649"/>
      <c r="U51" s="2649"/>
      <c r="V51" s="2649"/>
      <c r="W51" s="2649"/>
      <c r="X51" s="2649"/>
      <c r="Y51" s="2649"/>
      <c r="Z51" s="2649"/>
      <c r="AA51" s="2649"/>
      <c r="AB51" s="2649"/>
      <c r="AC51" s="2649"/>
    </row>
    <row r="52" spans="1:29" ht="13.5" customHeight="1">
      <c r="A52" s="2649"/>
      <c r="B52" s="2649"/>
      <c r="C52" s="440" t="s">
        <v>2248</v>
      </c>
      <c r="D52" s="444"/>
      <c r="E52" s="442">
        <f>IF(E47&lt;G47,G47/E47-1,E47/G47-1)</f>
        <v>0.17156067975740097</v>
      </c>
      <c r="F52" s="443" t="str">
        <f>IF(OR(E52&gt;=0.2,E52&lt;=-0.2),"超过20%","")</f>
        <v/>
      </c>
      <c r="G52" s="442">
        <f>IF(G47&lt;I47,I47/G47-1,G47/I47-1)</f>
        <v>8.7011349306431285E-2</v>
      </c>
      <c r="H52" s="443" t="str">
        <f>IF(OR(G52&gt;=0.2,G52&lt;=-0.2),"超过20%","")</f>
        <v/>
      </c>
      <c r="I52" s="442">
        <f>IF(I47&lt;E47,E47/I47-1,I47/E47-1)</f>
        <v>7.7781460612087017E-2</v>
      </c>
      <c r="J52" s="443" t="str">
        <f>IF(OR(I52&gt;=0.2,I52&lt;=-0.2),"超过20%","")</f>
        <v/>
      </c>
      <c r="K52" s="2661"/>
      <c r="L52" s="2657"/>
      <c r="M52" s="2649"/>
      <c r="N52" s="2649"/>
      <c r="O52" s="2649"/>
      <c r="P52" s="2649"/>
      <c r="Q52" s="2649"/>
      <c r="R52" s="2649"/>
      <c r="S52" s="2649"/>
      <c r="T52" s="2649"/>
      <c r="U52" s="2649"/>
      <c r="V52" s="2649"/>
      <c r="W52" s="2649"/>
      <c r="X52" s="2649"/>
      <c r="Y52" s="2649"/>
      <c r="Z52" s="2649"/>
      <c r="AA52" s="2649"/>
      <c r="AB52" s="2649"/>
      <c r="AC52" s="2649"/>
    </row>
    <row r="53" spans="1:29" s="445" customFormat="1" ht="13.5" customHeight="1">
      <c r="A53" s="2659"/>
      <c r="B53" s="2659"/>
      <c r="C53" s="440" t="s">
        <v>2249</v>
      </c>
      <c r="D53" s="444"/>
      <c r="E53" s="442">
        <f>IF(E46&lt;G46,G46/E46-1,E46/G46-1)</f>
        <v>0.24139994017349675</v>
      </c>
      <c r="F53" s="443" t="str">
        <f>IF(OR(E53&gt;=0.3,E53&lt;=-0.3),"超过30%","")</f>
        <v/>
      </c>
      <c r="G53" s="442">
        <f>IF(G46&lt;I46,I46/G46-1,G46/I46-1)</f>
        <v>0.25665569847442415</v>
      </c>
      <c r="H53" s="443" t="str">
        <f>IF(OR(G53&gt;=0.3,G53&lt;=-0.3),"超过30%","")</f>
        <v/>
      </c>
      <c r="I53" s="442">
        <f>IF(I46&lt;E46,E46/I46-1,I46/E46-1)</f>
        <v>1.2289156626505982E-2</v>
      </c>
      <c r="J53" s="443" t="str">
        <f>IF(OR(I53&gt;=0.3,I53&lt;=-0.3),"超过30%","")</f>
        <v/>
      </c>
      <c r="K53" s="2664"/>
      <c r="L53" s="2658"/>
      <c r="M53" s="2659"/>
      <c r="N53" s="2659"/>
      <c r="O53" s="2659"/>
      <c r="P53" s="2659"/>
      <c r="Q53" s="2659"/>
      <c r="R53" s="2659"/>
      <c r="S53" s="2659"/>
      <c r="T53" s="2659"/>
      <c r="U53" s="2659"/>
      <c r="V53" s="2659"/>
      <c r="W53" s="2659"/>
      <c r="X53" s="2659"/>
      <c r="Y53" s="2659"/>
      <c r="Z53" s="2659"/>
      <c r="AA53" s="2659"/>
      <c r="AB53" s="2659"/>
      <c r="AC53" s="2659"/>
    </row>
    <row r="54" spans="1:29" s="445" customFormat="1" ht="15" thickBot="1">
      <c r="A54" s="2659"/>
      <c r="B54" s="2662"/>
      <c r="C54" s="666"/>
      <c r="D54" s="664"/>
      <c r="E54" s="664"/>
      <c r="F54" s="664"/>
      <c r="G54" s="664"/>
      <c r="H54" s="664"/>
      <c r="I54" s="664"/>
      <c r="J54" s="664"/>
      <c r="K54" s="2664"/>
      <c r="L54" s="2658"/>
      <c r="M54" s="2659"/>
      <c r="N54" s="2659"/>
      <c r="O54" s="2659"/>
      <c r="P54" s="2659"/>
      <c r="Q54" s="2659"/>
      <c r="R54" s="2659"/>
      <c r="S54" s="2659"/>
      <c r="T54" s="2659"/>
      <c r="U54" s="2659"/>
      <c r="V54" s="2659"/>
      <c r="W54" s="2659"/>
      <c r="X54" s="2659"/>
      <c r="Y54" s="2659"/>
      <c r="Z54" s="2659"/>
      <c r="AA54" s="2659"/>
      <c r="AB54" s="2659"/>
      <c r="AC54" s="2659"/>
    </row>
    <row r="55" spans="1:29" ht="27" customHeight="1">
      <c r="A55" s="612" t="s">
        <v>2334</v>
      </c>
      <c r="B55" s="613" t="s">
        <v>2335</v>
      </c>
      <c r="C55" s="1961" t="s">
        <v>2336</v>
      </c>
      <c r="D55" s="1962" t="s">
        <v>2337</v>
      </c>
      <c r="E55" s="614" t="s">
        <v>2338</v>
      </c>
      <c r="F55" s="944" t="s">
        <v>2339</v>
      </c>
      <c r="G55" s="3361" t="s">
        <v>2340</v>
      </c>
      <c r="H55" s="3383"/>
      <c r="I55" s="132" t="s">
        <v>2341</v>
      </c>
      <c r="J55" s="1963">
        <f>项目基本情况!F35</f>
        <v>0</v>
      </c>
      <c r="K55" s="1964" t="s">
        <v>2342</v>
      </c>
      <c r="L55" s="2657"/>
      <c r="M55" s="2649"/>
      <c r="N55" s="2649"/>
      <c r="O55" s="2649"/>
      <c r="P55" s="2649"/>
      <c r="Q55" s="2649"/>
      <c r="R55" s="2649"/>
      <c r="S55" s="2649"/>
      <c r="T55" s="2649"/>
      <c r="U55" s="2649"/>
      <c r="V55" s="2649"/>
      <c r="W55" s="2649"/>
      <c r="X55" s="2649"/>
      <c r="Y55" s="2649"/>
      <c r="Z55" s="2649"/>
      <c r="AA55" s="2649"/>
      <c r="AB55" s="2649"/>
      <c r="AC55" s="2649"/>
    </row>
    <row r="56" spans="1:29" s="620" customFormat="1">
      <c r="A56" s="616" t="s">
        <v>2343</v>
      </c>
      <c r="B56" s="617">
        <f>C48</f>
        <v>18088</v>
      </c>
      <c r="C56" s="618">
        <v>1</v>
      </c>
      <c r="D56" s="997">
        <v>1</v>
      </c>
      <c r="E56" s="618">
        <f>'数据-汇总表'!E8+'数据-汇总表'!E9</f>
        <v>116688.04</v>
      </c>
      <c r="F56" s="940">
        <f t="shared" ref="F56:F64" si="15">ROUND(B56*E56/10000,0)</f>
        <v>211065</v>
      </c>
      <c r="G56" s="3384"/>
      <c r="H56" s="3360"/>
      <c r="I56" s="945">
        <v>1</v>
      </c>
      <c r="J56" s="948">
        <v>1</v>
      </c>
      <c r="K56" s="2659"/>
      <c r="L56" s="2708"/>
      <c r="M56" s="2708"/>
      <c r="N56" s="2708"/>
      <c r="O56" s="2708"/>
      <c r="P56" s="2708"/>
      <c r="Q56" s="2708"/>
      <c r="R56" s="2708"/>
      <c r="S56" s="2708"/>
      <c r="T56" s="2708"/>
      <c r="U56" s="2708"/>
      <c r="V56" s="2708"/>
      <c r="W56" s="2708"/>
      <c r="X56" s="2708"/>
      <c r="Y56" s="2708"/>
      <c r="Z56" s="2708"/>
      <c r="AA56" s="2708"/>
      <c r="AB56" s="2708"/>
      <c r="AC56" s="2708"/>
    </row>
    <row r="57" spans="1:29" s="620" customFormat="1">
      <c r="A57" s="621" t="s">
        <v>2344</v>
      </c>
      <c r="B57" s="216">
        <f>ROUND($C$48*C57*D57,0)</f>
        <v>0</v>
      </c>
      <c r="C57" s="168">
        <f t="shared" ref="C57:C64" si="16">IF($C$55="北京市系数",I57,J57)</f>
        <v>0</v>
      </c>
      <c r="D57" s="998">
        <v>0.25</v>
      </c>
      <c r="E57" s="622"/>
      <c r="F57" s="940">
        <f t="shared" si="15"/>
        <v>0</v>
      </c>
      <c r="G57" s="2955" t="s">
        <v>2345</v>
      </c>
      <c r="H57" s="941">
        <f>项目基本情况!B37</f>
        <v>0</v>
      </c>
      <c r="I57" s="945">
        <f>SUMIF(修正!A57:A68,H57,修正!B57:B68)</f>
        <v>0</v>
      </c>
      <c r="J57" s="949"/>
      <c r="K57" s="2649"/>
      <c r="L57" s="2708"/>
      <c r="M57" s="2708"/>
      <c r="N57" s="2708"/>
      <c r="O57" s="2708"/>
      <c r="P57" s="2708"/>
      <c r="Q57" s="2708"/>
      <c r="R57" s="2708"/>
      <c r="S57" s="2708"/>
      <c r="T57" s="2708"/>
      <c r="U57" s="2708"/>
      <c r="V57" s="2708"/>
      <c r="W57" s="2708"/>
      <c r="X57" s="2708"/>
      <c r="Y57" s="2708"/>
      <c r="Z57" s="2708"/>
      <c r="AA57" s="2708"/>
      <c r="AB57" s="2708"/>
      <c r="AC57" s="2708"/>
    </row>
    <row r="58" spans="1:29" s="620" customFormat="1">
      <c r="A58" s="621" t="s">
        <v>2346</v>
      </c>
      <c r="B58" s="216">
        <f t="shared" ref="B58:B64" si="17">ROUND($C$48*C58*D58,0)</f>
        <v>0</v>
      </c>
      <c r="C58" s="168">
        <f t="shared" si="16"/>
        <v>0</v>
      </c>
      <c r="D58" s="998">
        <v>0.25</v>
      </c>
      <c r="E58" s="622"/>
      <c r="F58" s="940">
        <f t="shared" si="15"/>
        <v>0</v>
      </c>
      <c r="G58" s="2956"/>
      <c r="H58" s="941">
        <f>项目基本情况!B37</f>
        <v>0</v>
      </c>
      <c r="I58" s="945">
        <f>SUMIF(修正!A57:A68,H58,修正!C57:C68)</f>
        <v>0</v>
      </c>
      <c r="J58" s="949"/>
      <c r="K58" s="2659"/>
      <c r="L58" s="2708"/>
      <c r="M58" s="2708"/>
      <c r="N58" s="2708"/>
      <c r="O58" s="2708"/>
      <c r="P58" s="2708"/>
      <c r="Q58" s="2708"/>
      <c r="R58" s="2708"/>
      <c r="S58" s="2708"/>
      <c r="T58" s="2708"/>
      <c r="U58" s="2708"/>
      <c r="V58" s="2708"/>
      <c r="W58" s="2708"/>
      <c r="X58" s="2708"/>
      <c r="Y58" s="2708"/>
      <c r="Z58" s="2708"/>
      <c r="AA58" s="2708"/>
      <c r="AB58" s="2708"/>
      <c r="AC58" s="2708"/>
    </row>
    <row r="59" spans="1:29" s="620" customFormat="1">
      <c r="A59" s="621" t="s">
        <v>2347</v>
      </c>
      <c r="B59" s="216">
        <f t="shared" si="17"/>
        <v>0</v>
      </c>
      <c r="C59" s="168">
        <f t="shared" si="16"/>
        <v>0</v>
      </c>
      <c r="D59" s="998">
        <v>0.25</v>
      </c>
      <c r="E59" s="622"/>
      <c r="F59" s="940">
        <f t="shared" si="15"/>
        <v>0</v>
      </c>
      <c r="G59" s="2956"/>
      <c r="H59" s="941">
        <f>项目基本情况!B37</f>
        <v>0</v>
      </c>
      <c r="I59" s="945">
        <f>SUMIF(修正!A57:A68,H59,修正!D57:D68)</f>
        <v>0</v>
      </c>
      <c r="J59" s="949"/>
      <c r="K59" s="2649"/>
      <c r="L59" s="2708"/>
      <c r="M59" s="2708"/>
      <c r="N59" s="2708"/>
      <c r="O59" s="2708"/>
      <c r="P59" s="2708"/>
      <c r="Q59" s="2708"/>
      <c r="R59" s="2708"/>
      <c r="S59" s="2708"/>
      <c r="T59" s="2708"/>
      <c r="U59" s="2708"/>
      <c r="V59" s="2708"/>
      <c r="W59" s="2708"/>
      <c r="X59" s="2708"/>
      <c r="Y59" s="2708"/>
      <c r="Z59" s="2708"/>
      <c r="AA59" s="2708"/>
      <c r="AB59" s="2708"/>
      <c r="AC59" s="2708"/>
    </row>
    <row r="60" spans="1:29" s="620" customFormat="1">
      <c r="A60" s="621" t="s">
        <v>2348</v>
      </c>
      <c r="B60" s="216">
        <f t="shared" si="17"/>
        <v>1131</v>
      </c>
      <c r="C60" s="168">
        <f t="shared" si="16"/>
        <v>0.25</v>
      </c>
      <c r="D60" s="998">
        <v>0.25</v>
      </c>
      <c r="E60" s="215">
        <f>'数据-汇总表'!E11</f>
        <v>0</v>
      </c>
      <c r="F60" s="940">
        <f t="shared" si="15"/>
        <v>0</v>
      </c>
      <c r="G60" s="1965" t="s">
        <v>2349</v>
      </c>
      <c r="H60" s="941" t="str">
        <f>项目基本情况!C37</f>
        <v>五级</v>
      </c>
      <c r="I60" s="945">
        <f>SUMIF(修正!A57:A68,H60,修正!E57:E68)</f>
        <v>0.25</v>
      </c>
      <c r="J60" s="949"/>
      <c r="K60" s="2649"/>
      <c r="L60" s="2708"/>
      <c r="M60" s="2708"/>
      <c r="N60" s="2708"/>
      <c r="O60" s="2708"/>
      <c r="P60" s="2708"/>
      <c r="Q60" s="2708"/>
      <c r="R60" s="2708"/>
      <c r="S60" s="2708"/>
      <c r="T60" s="2708"/>
      <c r="U60" s="2708"/>
      <c r="V60" s="2708"/>
      <c r="W60" s="2708"/>
      <c r="X60" s="2708"/>
      <c r="Y60" s="2708"/>
      <c r="Z60" s="2708"/>
      <c r="AA60" s="2708"/>
      <c r="AB60" s="2708"/>
      <c r="AC60" s="2708"/>
    </row>
    <row r="61" spans="1:29" s="620" customFormat="1">
      <c r="A61" s="621" t="s">
        <v>2350</v>
      </c>
      <c r="B61" s="216">
        <f t="shared" si="17"/>
        <v>1131</v>
      </c>
      <c r="C61" s="168">
        <f t="shared" si="16"/>
        <v>0.25</v>
      </c>
      <c r="D61" s="998">
        <v>0.25</v>
      </c>
      <c r="E61" s="215">
        <f>'数据-汇总表'!E12</f>
        <v>0</v>
      </c>
      <c r="F61" s="940">
        <f t="shared" si="15"/>
        <v>0</v>
      </c>
      <c r="G61" s="946" t="s">
        <v>2351</v>
      </c>
      <c r="H61" s="941" t="str">
        <f>IF(G61="商业",项目基本情况!B37,IF(G61="办公",项目基本情况!C37,IF(G61="住宅",项目基本情况!D37,项目基本情况!E37)))</f>
        <v>五级</v>
      </c>
      <c r="I61" s="945">
        <f>SUMIF(修正!A57:A68,H61,修正!F57:F68)</f>
        <v>0.25</v>
      </c>
      <c r="J61" s="949"/>
      <c r="K61" s="2659"/>
      <c r="L61" s="2708"/>
      <c r="M61" s="2708"/>
      <c r="N61" s="2708"/>
      <c r="O61" s="2708"/>
      <c r="P61" s="2708"/>
      <c r="Q61" s="2708"/>
      <c r="R61" s="2708"/>
      <c r="S61" s="2708"/>
      <c r="T61" s="2708"/>
      <c r="U61" s="2708"/>
      <c r="V61" s="2708"/>
      <c r="W61" s="2708"/>
      <c r="X61" s="2708"/>
      <c r="Y61" s="2708"/>
      <c r="Z61" s="2708"/>
      <c r="AA61" s="2708"/>
      <c r="AB61" s="2708"/>
      <c r="AC61" s="2708"/>
    </row>
    <row r="62" spans="1:29" s="620" customFormat="1">
      <c r="A62" s="621" t="s">
        <v>2352</v>
      </c>
      <c r="B62" s="216">
        <f t="shared" si="17"/>
        <v>0</v>
      </c>
      <c r="C62" s="168">
        <f t="shared" si="16"/>
        <v>0</v>
      </c>
      <c r="D62" s="998">
        <v>0.25</v>
      </c>
      <c r="E62" s="215">
        <f>'数据-汇总表'!E13</f>
        <v>0</v>
      </c>
      <c r="F62" s="940">
        <f t="shared" si="15"/>
        <v>0</v>
      </c>
      <c r="G62" s="946" t="s">
        <v>2353</v>
      </c>
      <c r="H62" s="941">
        <f>IF(G62="商业",项目基本情况!B37,IF(G62="办公",项目基本情况!C37,IF(G62="住宅",项目基本情况!D37,项目基本情况!E37)))</f>
        <v>0</v>
      </c>
      <c r="I62" s="945">
        <f>SUMIF(修正!A57:A68,H62,修正!G57:G68)</f>
        <v>0</v>
      </c>
      <c r="J62" s="949"/>
      <c r="K62" s="2649"/>
      <c r="L62" s="2708"/>
      <c r="M62" s="2708"/>
      <c r="N62" s="2708"/>
      <c r="O62" s="2708"/>
      <c r="P62" s="2708"/>
      <c r="Q62" s="2708"/>
      <c r="R62" s="2708"/>
      <c r="S62" s="2708"/>
      <c r="T62" s="2708"/>
      <c r="U62" s="2708"/>
      <c r="V62" s="2708"/>
      <c r="W62" s="2708"/>
      <c r="X62" s="2708"/>
      <c r="Y62" s="2708"/>
      <c r="Z62" s="2708"/>
      <c r="AA62" s="2708"/>
      <c r="AB62" s="2708"/>
      <c r="AC62" s="2708"/>
    </row>
    <row r="63" spans="1:29" s="620" customFormat="1">
      <c r="A63" s="621" t="s">
        <v>2354</v>
      </c>
      <c r="B63" s="216">
        <f t="shared" si="17"/>
        <v>0</v>
      </c>
      <c r="C63" s="168">
        <f t="shared" si="16"/>
        <v>0</v>
      </c>
      <c r="D63" s="998">
        <v>0.25</v>
      </c>
      <c r="E63" s="215">
        <f>'数据-汇总表'!E14</f>
        <v>0</v>
      </c>
      <c r="F63" s="940">
        <f t="shared" si="15"/>
        <v>0</v>
      </c>
      <c r="G63" s="1965" t="s">
        <v>2345</v>
      </c>
      <c r="H63" s="941">
        <f>项目基本情况!B37</f>
        <v>0</v>
      </c>
      <c r="I63" s="945">
        <f>SUMIF(修正!A57:A68,H63,修正!G57:G68)</f>
        <v>0</v>
      </c>
      <c r="J63" s="949"/>
      <c r="K63" s="2659"/>
      <c r="L63" s="2708"/>
      <c r="M63" s="2708"/>
      <c r="N63" s="2708"/>
      <c r="O63" s="2708"/>
      <c r="P63" s="2708"/>
      <c r="Q63" s="2708"/>
      <c r="R63" s="2708"/>
      <c r="S63" s="2708"/>
      <c r="T63" s="2708"/>
      <c r="U63" s="2708"/>
      <c r="V63" s="2708"/>
      <c r="W63" s="2708"/>
      <c r="X63" s="2708"/>
      <c r="Y63" s="2708"/>
      <c r="Z63" s="2708"/>
      <c r="AA63" s="2708"/>
      <c r="AB63" s="2708"/>
      <c r="AC63" s="2708"/>
    </row>
    <row r="64" spans="1:29" s="620" customFormat="1" ht="15" thickBot="1">
      <c r="A64" s="621" t="s">
        <v>2355</v>
      </c>
      <c r="B64" s="216">
        <f t="shared" si="17"/>
        <v>678</v>
      </c>
      <c r="C64" s="168">
        <f t="shared" si="16"/>
        <v>0.15</v>
      </c>
      <c r="D64" s="998">
        <v>0.25</v>
      </c>
      <c r="E64" s="215">
        <f>'数据-汇总表'!E15</f>
        <v>60266.74</v>
      </c>
      <c r="F64" s="940">
        <f t="shared" si="15"/>
        <v>4086</v>
      </c>
      <c r="G64" s="1966" t="s">
        <v>2349</v>
      </c>
      <c r="H64" s="951" t="str">
        <f>项目基本情况!C37</f>
        <v>五级</v>
      </c>
      <c r="I64" s="947">
        <f>SUMIF(修正!A57:A68,H64,修正!G57:G68)</f>
        <v>0.15</v>
      </c>
      <c r="J64" s="950"/>
      <c r="K64" s="2649"/>
      <c r="L64" s="2708"/>
      <c r="M64" s="2708"/>
      <c r="N64" s="2708"/>
      <c r="O64" s="2708"/>
      <c r="P64" s="2708"/>
      <c r="Q64" s="2708"/>
      <c r="R64" s="2708"/>
      <c r="S64" s="2708"/>
      <c r="T64" s="2708"/>
      <c r="U64" s="2708"/>
      <c r="V64" s="2708"/>
      <c r="W64" s="2708"/>
      <c r="X64" s="2708"/>
      <c r="Y64" s="2708"/>
      <c r="Z64" s="2708"/>
      <c r="AA64" s="2708"/>
      <c r="AB64" s="2708"/>
      <c r="AC64" s="2708"/>
    </row>
    <row r="65" spans="1:29" s="620" customFormat="1" ht="13.5" thickBot="1">
      <c r="A65" s="623" t="s">
        <v>2356</v>
      </c>
      <c r="B65" s="624" t="s">
        <v>28</v>
      </c>
      <c r="C65" s="624" t="s">
        <v>29</v>
      </c>
      <c r="D65" s="624" t="s">
        <v>816</v>
      </c>
      <c r="E65" s="624">
        <f>IF(B46="楼面地价",SUM(E56:E64),'数据-汇总表'!D3)</f>
        <v>176954.78</v>
      </c>
      <c r="F65" s="625">
        <f>IF(B46="楼面地价",SUM(F56:F64),ROUND(C48*E65/10000,0))</f>
        <v>215151</v>
      </c>
      <c r="G65" s="686"/>
      <c r="H65" s="686"/>
      <c r="I65" s="686"/>
      <c r="J65" s="686"/>
      <c r="K65" s="2709"/>
      <c r="L65" s="2708"/>
      <c r="M65" s="2708"/>
      <c r="N65" s="2708"/>
      <c r="O65" s="2708"/>
      <c r="P65" s="2708"/>
      <c r="Q65" s="2708"/>
      <c r="R65" s="2708"/>
      <c r="S65" s="2708"/>
      <c r="T65" s="2708"/>
      <c r="U65" s="2708"/>
      <c r="V65" s="2708"/>
      <c r="W65" s="2708"/>
      <c r="X65" s="2708"/>
      <c r="Y65" s="2708"/>
      <c r="Z65" s="2708"/>
      <c r="AA65" s="2708"/>
      <c r="AB65" s="2708"/>
      <c r="AC65" s="2708"/>
    </row>
    <row r="66" spans="1:29">
      <c r="A66" s="393"/>
      <c r="B66" s="665"/>
      <c r="C66" s="666"/>
      <c r="D66" s="393"/>
      <c r="E66" s="393"/>
      <c r="F66" s="393"/>
      <c r="G66" s="393"/>
      <c r="H66" s="393"/>
      <c r="I66" s="393"/>
      <c r="J66" s="968"/>
      <c r="K66" s="942"/>
      <c r="L66" s="943"/>
      <c r="M66" s="968"/>
      <c r="N66" s="968"/>
      <c r="O66" s="968"/>
      <c r="P66" s="2649"/>
      <c r="Q66" s="2649"/>
      <c r="R66" s="2649"/>
      <c r="S66" s="2649"/>
      <c r="T66" s="2649"/>
      <c r="U66" s="2649"/>
      <c r="V66" s="2649"/>
      <c r="W66" s="2649"/>
      <c r="X66" s="2649"/>
      <c r="Y66" s="2649"/>
      <c r="Z66" s="2649"/>
      <c r="AA66" s="2649"/>
      <c r="AB66" s="2649"/>
      <c r="AC66" s="2649"/>
    </row>
    <row r="67" spans="1:29">
      <c r="A67" s="393"/>
      <c r="B67" s="665"/>
      <c r="C67" s="665" t="str">
        <f>YEAR(C7)&amp;"-"&amp;MONTH(C7)&amp;"-1"</f>
        <v>2022-11-1</v>
      </c>
      <c r="D67" s="665">
        <f>EDATE(C67,-3)</f>
        <v>44774</v>
      </c>
      <c r="E67" s="665">
        <f>EDATE(D67,-3)</f>
        <v>44682</v>
      </c>
      <c r="F67" s="665">
        <f t="shared" ref="F67:O67" si="18">EDATE(E67,-3)</f>
        <v>44593</v>
      </c>
      <c r="G67" s="665">
        <f t="shared" si="18"/>
        <v>44501</v>
      </c>
      <c r="H67" s="665">
        <f t="shared" si="18"/>
        <v>44409</v>
      </c>
      <c r="I67" s="665">
        <f t="shared" si="18"/>
        <v>44317</v>
      </c>
      <c r="J67" s="665">
        <f t="shared" si="18"/>
        <v>44228</v>
      </c>
      <c r="K67" s="665">
        <f t="shared" si="18"/>
        <v>44136</v>
      </c>
      <c r="L67" s="665">
        <f t="shared" si="18"/>
        <v>44044</v>
      </c>
      <c r="M67" s="665">
        <f t="shared" si="18"/>
        <v>43952</v>
      </c>
      <c r="N67" s="665">
        <f t="shared" si="18"/>
        <v>43862</v>
      </c>
      <c r="O67" s="665">
        <f t="shared" si="18"/>
        <v>43770</v>
      </c>
      <c r="P67" s="2649"/>
      <c r="Q67" s="2649"/>
      <c r="R67" s="2649"/>
      <c r="S67" s="2649"/>
      <c r="T67" s="2649"/>
      <c r="U67" s="2649"/>
      <c r="V67" s="2649"/>
      <c r="W67" s="2649"/>
      <c r="X67" s="2649"/>
      <c r="Y67" s="2649"/>
      <c r="Z67" s="2649"/>
      <c r="AA67" s="2649"/>
      <c r="AB67" s="2649"/>
      <c r="AC67" s="2649"/>
    </row>
    <row r="68" spans="1:29" ht="21.75" thickBot="1">
      <c r="A68" s="667" t="s">
        <v>2250</v>
      </c>
      <c r="B68" s="393"/>
      <c r="C68" s="668"/>
      <c r="D68" s="668"/>
      <c r="E68" s="668"/>
      <c r="F68" s="669"/>
      <c r="G68" s="669"/>
      <c r="H68" s="668"/>
      <c r="I68" s="668"/>
      <c r="J68" s="993"/>
      <c r="K68" s="994"/>
      <c r="L68" s="995"/>
      <c r="M68" s="993"/>
      <c r="N68" s="2699"/>
      <c r="O68" s="2699"/>
      <c r="P68" s="2699"/>
      <c r="Q68" s="2670"/>
      <c r="R68" s="2649"/>
      <c r="S68" s="2649"/>
      <c r="T68" s="2649"/>
      <c r="U68" s="2649"/>
      <c r="V68" s="2649"/>
      <c r="W68" s="2649"/>
      <c r="X68" s="2649"/>
      <c r="Y68" s="2649"/>
      <c r="Z68" s="2649"/>
      <c r="AA68" s="2649"/>
      <c r="AB68" s="2649"/>
      <c r="AC68" s="2649"/>
    </row>
    <row r="69" spans="1:29" s="450" customFormat="1" ht="15">
      <c r="A69" s="1760" t="s">
        <v>2357</v>
      </c>
      <c r="B69" s="1154"/>
      <c r="C69" s="1211" t="str">
        <f>YEAR(C67)&amp;"-"&amp;ROUNDUP(MONTH(C67)/3,0)</f>
        <v>2022-4</v>
      </c>
      <c r="D69" s="1211" t="str">
        <f>YEAR(D67)&amp;"-"&amp;ROUNDUP(MONTH(D67)/3,0)</f>
        <v>2022-3</v>
      </c>
      <c r="E69" s="1211" t="str">
        <f t="shared" ref="E69:O69" si="19">YEAR(E67)&amp;"-"&amp;ROUNDUP(MONTH(E67)/3,0)</f>
        <v>2022-2</v>
      </c>
      <c r="F69" s="1211" t="str">
        <f t="shared" si="19"/>
        <v>2022-1</v>
      </c>
      <c r="G69" s="1211" t="str">
        <f t="shared" si="19"/>
        <v>2021-4</v>
      </c>
      <c r="H69" s="1211" t="str">
        <f t="shared" si="19"/>
        <v>2021-3</v>
      </c>
      <c r="I69" s="1211" t="str">
        <f t="shared" si="19"/>
        <v>2021-2</v>
      </c>
      <c r="J69" s="1211" t="str">
        <f t="shared" si="19"/>
        <v>2021-1</v>
      </c>
      <c r="K69" s="1211" t="str">
        <f t="shared" si="19"/>
        <v>2020-4</v>
      </c>
      <c r="L69" s="1211" t="str">
        <f t="shared" si="19"/>
        <v>2020-3</v>
      </c>
      <c r="M69" s="1211" t="str">
        <f t="shared" si="19"/>
        <v>2020-2</v>
      </c>
      <c r="N69" s="1211" t="str">
        <f t="shared" si="19"/>
        <v>2020-1</v>
      </c>
      <c r="O69" s="1211" t="str">
        <f t="shared" si="19"/>
        <v>2019-4</v>
      </c>
      <c r="P69" s="2672"/>
      <c r="Q69" s="2672"/>
      <c r="R69" s="2672"/>
      <c r="S69" s="2672"/>
      <c r="T69" s="2672"/>
      <c r="U69" s="2672"/>
      <c r="V69" s="2672"/>
      <c r="W69" s="2672"/>
      <c r="X69" s="2672"/>
      <c r="Y69" s="2672"/>
      <c r="Z69" s="2672"/>
      <c r="AA69" s="2672"/>
      <c r="AB69" s="2672"/>
      <c r="AC69" s="2672"/>
    </row>
    <row r="70" spans="1:29" s="107" customFormat="1" ht="30" customHeight="1">
      <c r="A70" s="1967" t="s">
        <v>27</v>
      </c>
      <c r="B70" s="286" t="str">
        <f>"北京市平均增长率"&amp;TEXT(SUMIF(基准地价修正!N21:N25,A70,基准地价修正!P21:P25),"0.00%")</f>
        <v>北京市平均增长率0.00%</v>
      </c>
      <c r="C70" s="538">
        <v>100</v>
      </c>
      <c r="D70" s="9">
        <f>C70-$C$71</f>
        <v>99</v>
      </c>
      <c r="E70" s="9">
        <f t="shared" ref="E70:M70" si="20">D70-$C$71</f>
        <v>98</v>
      </c>
      <c r="F70" s="9">
        <f t="shared" si="20"/>
        <v>97</v>
      </c>
      <c r="G70" s="9">
        <f t="shared" si="20"/>
        <v>96</v>
      </c>
      <c r="H70" s="9">
        <f t="shared" si="20"/>
        <v>95</v>
      </c>
      <c r="I70" s="9">
        <f t="shared" si="20"/>
        <v>94</v>
      </c>
      <c r="J70" s="9">
        <f t="shared" si="20"/>
        <v>93</v>
      </c>
      <c r="K70" s="9">
        <f t="shared" si="20"/>
        <v>92</v>
      </c>
      <c r="L70" s="9">
        <f t="shared" si="20"/>
        <v>91</v>
      </c>
      <c r="M70" s="9">
        <f t="shared" si="20"/>
        <v>90</v>
      </c>
      <c r="N70" s="9"/>
      <c r="O70" s="1208"/>
      <c r="P70" s="2670"/>
      <c r="Q70" s="2603"/>
      <c r="R70" s="2603"/>
      <c r="S70" s="2603"/>
      <c r="T70" s="2603"/>
      <c r="U70" s="2603"/>
      <c r="V70" s="2603"/>
      <c r="W70" s="2603"/>
      <c r="X70" s="2603"/>
      <c r="Y70" s="2603"/>
      <c r="Z70" s="2603"/>
      <c r="AA70" s="2603"/>
      <c r="AB70" s="2603"/>
      <c r="AC70" s="2603"/>
    </row>
    <row r="71" spans="1:29" s="107" customFormat="1" ht="15.75" thickBot="1">
      <c r="A71" s="457" t="s">
        <v>2161</v>
      </c>
      <c r="B71" s="458"/>
      <c r="C71" s="459">
        <v>1</v>
      </c>
      <c r="D71" s="460"/>
      <c r="E71" s="460"/>
      <c r="F71" s="460"/>
      <c r="G71" s="460"/>
      <c r="H71" s="460"/>
      <c r="I71" s="460"/>
      <c r="J71" s="460"/>
      <c r="K71" s="460"/>
      <c r="L71" s="460"/>
      <c r="M71" s="461"/>
      <c r="N71" s="460"/>
      <c r="O71" s="996"/>
      <c r="P71" s="2670"/>
      <c r="Q71" s="2670"/>
      <c r="R71" s="2603"/>
      <c r="S71" s="2603"/>
      <c r="T71" s="2603"/>
      <c r="U71" s="2603"/>
      <c r="V71" s="2603"/>
      <c r="W71" s="2603"/>
      <c r="X71" s="2603"/>
      <c r="Y71" s="2603"/>
      <c r="Z71" s="2603"/>
      <c r="AA71" s="2603"/>
      <c r="AB71" s="2603"/>
      <c r="AC71" s="2603"/>
    </row>
    <row r="72" spans="1:29" s="107" customFormat="1" ht="15">
      <c r="A72" s="463" t="s">
        <v>2126</v>
      </c>
      <c r="B72" s="452"/>
      <c r="C72" s="464" t="s">
        <v>2228</v>
      </c>
      <c r="D72" s="34"/>
      <c r="E72" s="34"/>
      <c r="F72" s="34"/>
      <c r="G72" s="34"/>
      <c r="H72" s="34"/>
      <c r="I72" s="34"/>
      <c r="J72" s="34"/>
      <c r="K72" s="34"/>
      <c r="L72" s="465"/>
      <c r="M72" s="466"/>
      <c r="N72" s="2682"/>
      <c r="O72" s="2682"/>
      <c r="P72" s="2706"/>
      <c r="Q72" s="2670"/>
      <c r="R72" s="2603"/>
      <c r="S72" s="2603"/>
      <c r="T72" s="2603"/>
      <c r="U72" s="2603"/>
      <c r="V72" s="2603"/>
      <c r="W72" s="2603"/>
      <c r="X72" s="2603"/>
      <c r="Y72" s="2603"/>
      <c r="Z72" s="2603"/>
      <c r="AA72" s="2603"/>
      <c r="AB72" s="2603"/>
      <c r="AC72" s="2603"/>
    </row>
    <row r="73" spans="1:29" s="107" customFormat="1" ht="15.75" thickBot="1">
      <c r="A73" s="463"/>
      <c r="B73" s="452"/>
      <c r="C73" s="571">
        <v>100</v>
      </c>
      <c r="D73" s="454"/>
      <c r="E73" s="454"/>
      <c r="F73" s="454"/>
      <c r="G73" s="454"/>
      <c r="H73" s="454"/>
      <c r="I73" s="454"/>
      <c r="J73" s="454"/>
      <c r="K73" s="454"/>
      <c r="L73" s="454"/>
      <c r="M73" s="456"/>
      <c r="N73" s="2682"/>
      <c r="O73" s="2682"/>
      <c r="P73" s="2670"/>
      <c r="Q73" s="2670"/>
      <c r="R73" s="2603"/>
      <c r="S73" s="2603"/>
      <c r="T73" s="2603"/>
      <c r="U73" s="2603"/>
      <c r="V73" s="2603"/>
      <c r="W73" s="2603"/>
      <c r="X73" s="2603"/>
      <c r="Y73" s="2603"/>
      <c r="Z73" s="2603"/>
      <c r="AA73" s="2603"/>
      <c r="AB73" s="2603"/>
      <c r="AC73" s="2603"/>
    </row>
    <row r="74" spans="1:29">
      <c r="A74" s="387" t="s">
        <v>2164</v>
      </c>
      <c r="B74" s="468" t="s">
        <v>2130</v>
      </c>
      <c r="C74" s="3114" t="s">
        <v>3766</v>
      </c>
      <c r="D74" s="3114" t="s">
        <v>3767</v>
      </c>
      <c r="E74" s="470"/>
      <c r="F74" s="470"/>
      <c r="G74" s="470"/>
      <c r="H74" s="470"/>
      <c r="I74" s="470"/>
      <c r="J74" s="470"/>
      <c r="K74" s="471"/>
      <c r="L74" s="472"/>
      <c r="M74" s="473"/>
      <c r="N74" s="2683"/>
      <c r="O74" s="2683"/>
      <c r="P74" s="2682"/>
      <c r="Q74" s="2670"/>
      <c r="R74" s="2649"/>
      <c r="S74" s="2649"/>
      <c r="T74" s="2649"/>
      <c r="U74" s="2649"/>
      <c r="V74" s="2649"/>
      <c r="W74" s="2649"/>
      <c r="X74" s="2649"/>
      <c r="Y74" s="2649"/>
      <c r="Z74" s="2649"/>
      <c r="AA74" s="2649"/>
      <c r="AB74" s="2649"/>
      <c r="AC74" s="2649"/>
    </row>
    <row r="75" spans="1:29" ht="15.75" thickBot="1">
      <c r="A75" s="375"/>
      <c r="B75" s="474"/>
      <c r="C75" s="475">
        <v>100</v>
      </c>
      <c r="D75" s="475">
        <v>110</v>
      </c>
      <c r="E75" s="475"/>
      <c r="F75" s="475"/>
      <c r="G75" s="475"/>
      <c r="H75" s="475"/>
      <c r="I75" s="475"/>
      <c r="J75" s="475"/>
      <c r="K75" s="475"/>
      <c r="L75" s="475"/>
      <c r="M75" s="476"/>
      <c r="N75" s="2684"/>
      <c r="O75" s="2684"/>
      <c r="P75" s="2682"/>
      <c r="Q75" s="2670"/>
      <c r="R75" s="2649"/>
      <c r="S75" s="2649"/>
      <c r="T75" s="2649"/>
      <c r="U75" s="2649"/>
      <c r="V75" s="2649"/>
      <c r="W75" s="2649"/>
      <c r="X75" s="2649"/>
      <c r="Y75" s="2649"/>
      <c r="Z75" s="2649"/>
      <c r="AA75" s="2649"/>
      <c r="AB75" s="2649"/>
      <c r="AC75" s="2649"/>
    </row>
    <row r="76" spans="1:29" ht="27.75" thickTop="1">
      <c r="A76" s="375"/>
      <c r="B76" s="477" t="s">
        <v>2133</v>
      </c>
      <c r="C76" s="478"/>
      <c r="D76" s="478"/>
      <c r="E76" s="478"/>
      <c r="F76" s="478"/>
      <c r="G76" s="478"/>
      <c r="H76" s="478"/>
      <c r="I76" s="478"/>
      <c r="J76" s="478"/>
      <c r="K76" s="479"/>
      <c r="L76" s="480"/>
      <c r="M76" s="481"/>
      <c r="N76" s="2683"/>
      <c r="O76" s="2683"/>
      <c r="P76" s="2682"/>
      <c r="Q76" s="2670"/>
      <c r="R76" s="2649"/>
      <c r="S76" s="2649"/>
      <c r="T76" s="2649"/>
      <c r="U76" s="2649"/>
      <c r="V76" s="2649"/>
      <c r="W76" s="2649"/>
      <c r="X76" s="2649"/>
      <c r="Y76" s="2649"/>
      <c r="Z76" s="2649"/>
      <c r="AA76" s="2649"/>
      <c r="AB76" s="2649"/>
      <c r="AC76" s="2649"/>
    </row>
    <row r="77" spans="1:29" ht="15.75" thickBot="1">
      <c r="A77" s="375"/>
      <c r="B77" s="482"/>
      <c r="C77" s="483"/>
      <c r="D77" s="483"/>
      <c r="E77" s="483"/>
      <c r="F77" s="483"/>
      <c r="G77" s="483"/>
      <c r="H77" s="483"/>
      <c r="I77" s="483"/>
      <c r="J77" s="483"/>
      <c r="K77" s="483"/>
      <c r="L77" s="483"/>
      <c r="M77" s="484"/>
      <c r="N77" s="2684"/>
      <c r="O77" s="2684"/>
      <c r="P77" s="2682"/>
      <c r="Q77" s="2670"/>
      <c r="R77" s="2649"/>
      <c r="S77" s="2649"/>
      <c r="T77" s="2649"/>
      <c r="U77" s="2649"/>
      <c r="V77" s="2649"/>
      <c r="W77" s="2649"/>
      <c r="X77" s="2649"/>
      <c r="Y77" s="2649"/>
      <c r="Z77" s="2649"/>
      <c r="AA77" s="2649"/>
      <c r="AB77" s="2649"/>
      <c r="AC77" s="2649"/>
    </row>
    <row r="78" spans="1:29" ht="15.75" thickTop="1">
      <c r="A78" s="375"/>
      <c r="B78" s="485" t="s">
        <v>2134</v>
      </c>
      <c r="C78" s="486" t="str">
        <f>C79&amp;"（含）"&amp;"-"&amp;D79</f>
        <v>0（含）-1.5</v>
      </c>
      <c r="D78" s="486" t="str">
        <f t="shared" ref="D78:L78" si="21">D79&amp;"（含）"&amp;"-"&amp;E79</f>
        <v>1.5（含）-3</v>
      </c>
      <c r="E78" s="486" t="str">
        <f t="shared" si="21"/>
        <v>3（含）-4.5</v>
      </c>
      <c r="F78" s="486" t="str">
        <f t="shared" si="21"/>
        <v>4.5（含）-6</v>
      </c>
      <c r="G78" s="486" t="str">
        <f t="shared" si="21"/>
        <v>6（含）-</v>
      </c>
      <c r="H78" s="486" t="str">
        <f t="shared" si="21"/>
        <v>（含）-</v>
      </c>
      <c r="I78" s="486" t="str">
        <f t="shared" si="21"/>
        <v>（含）-</v>
      </c>
      <c r="J78" s="486" t="str">
        <f t="shared" si="21"/>
        <v>（含）-</v>
      </c>
      <c r="K78" s="486" t="str">
        <f t="shared" si="21"/>
        <v>（含）-</v>
      </c>
      <c r="L78" s="486" t="str">
        <f t="shared" si="21"/>
        <v>（含）-</v>
      </c>
      <c r="M78" s="395" t="str">
        <f>M79&amp;"（含）"&amp;"-"&amp;P79</f>
        <v>（含）-</v>
      </c>
      <c r="N78" s="2684"/>
      <c r="O78" s="2684"/>
      <c r="P78" s="2682"/>
      <c r="Q78" s="2670"/>
      <c r="R78" s="2649"/>
      <c r="S78" s="2649"/>
      <c r="T78" s="2649"/>
      <c r="U78" s="2649"/>
      <c r="V78" s="2649"/>
      <c r="W78" s="2649"/>
      <c r="X78" s="2649"/>
      <c r="Y78" s="2649"/>
      <c r="Z78" s="2649"/>
      <c r="AA78" s="2649"/>
      <c r="AB78" s="2649"/>
      <c r="AC78" s="2649"/>
    </row>
    <row r="79" spans="1:29" ht="15">
      <c r="A79" s="375"/>
      <c r="B79" s="487"/>
      <c r="C79" s="488">
        <v>0</v>
      </c>
      <c r="D79" s="488">
        <v>1.5</v>
      </c>
      <c r="E79" s="488">
        <v>3</v>
      </c>
      <c r="F79" s="488">
        <v>4.5</v>
      </c>
      <c r="G79" s="488">
        <v>6</v>
      </c>
      <c r="H79" s="488"/>
      <c r="I79" s="488"/>
      <c r="J79" s="488"/>
      <c r="K79" s="489"/>
      <c r="L79" s="490"/>
      <c r="M79" s="491"/>
      <c r="N79" s="2683"/>
      <c r="O79" s="2683"/>
      <c r="P79" s="2682"/>
      <c r="Q79" s="2670"/>
      <c r="R79" s="2649"/>
      <c r="S79" s="2649"/>
      <c r="T79" s="2649"/>
      <c r="U79" s="2649"/>
      <c r="V79" s="2649"/>
      <c r="W79" s="2649"/>
      <c r="X79" s="2649"/>
      <c r="Y79" s="2649"/>
      <c r="Z79" s="2649"/>
      <c r="AA79" s="2649"/>
      <c r="AB79" s="2649"/>
      <c r="AC79" s="2649"/>
    </row>
    <row r="80" spans="1:29" ht="15.75" thickBot="1">
      <c r="A80" s="375"/>
      <c r="B80" s="474"/>
      <c r="C80" s="483">
        <v>100</v>
      </c>
      <c r="D80" s="483">
        <f t="shared" ref="D80:M80" si="22">IF($B$46="单位面积地价",C80+$K11,C80-$K11)</f>
        <v>97</v>
      </c>
      <c r="E80" s="483">
        <f t="shared" si="22"/>
        <v>94</v>
      </c>
      <c r="F80" s="483">
        <f t="shared" si="22"/>
        <v>91</v>
      </c>
      <c r="G80" s="483">
        <f t="shared" si="22"/>
        <v>88</v>
      </c>
      <c r="H80" s="483">
        <f t="shared" si="22"/>
        <v>85</v>
      </c>
      <c r="I80" s="483">
        <f t="shared" si="22"/>
        <v>82</v>
      </c>
      <c r="J80" s="483">
        <f t="shared" si="22"/>
        <v>79</v>
      </c>
      <c r="K80" s="483">
        <f t="shared" si="22"/>
        <v>76</v>
      </c>
      <c r="L80" s="483">
        <f t="shared" si="22"/>
        <v>73</v>
      </c>
      <c r="M80" s="483">
        <f t="shared" si="22"/>
        <v>70</v>
      </c>
      <c r="N80" s="2684"/>
      <c r="O80" s="2684"/>
      <c r="P80" s="2682"/>
      <c r="Q80" s="2670"/>
      <c r="R80" s="2649"/>
      <c r="S80" s="2649"/>
      <c r="T80" s="2649"/>
      <c r="U80" s="2649"/>
      <c r="V80" s="2649"/>
      <c r="W80" s="2649"/>
      <c r="X80" s="2649"/>
      <c r="Y80" s="2649"/>
      <c r="Z80" s="2649"/>
      <c r="AA80" s="2649"/>
      <c r="AB80" s="2649"/>
      <c r="AC80" s="2649"/>
    </row>
    <row r="81" spans="1:29" s="416" customFormat="1" ht="15.75" thickTop="1">
      <c r="A81" s="492"/>
      <c r="B81" s="477" t="str">
        <f>B12</f>
        <v>配建</v>
      </c>
      <c r="C81" s="493"/>
      <c r="D81" s="493"/>
      <c r="E81" s="493"/>
      <c r="F81" s="493"/>
      <c r="G81" s="493"/>
      <c r="H81" s="494"/>
      <c r="I81" s="494"/>
      <c r="J81" s="494"/>
      <c r="K81" s="494"/>
      <c r="L81" s="495"/>
      <c r="M81" s="496"/>
      <c r="N81" s="2685"/>
      <c r="O81" s="2685"/>
      <c r="P81" s="2685"/>
      <c r="Q81" s="2677"/>
      <c r="R81" s="2655"/>
      <c r="S81" s="2655"/>
      <c r="T81" s="2655"/>
      <c r="U81" s="2655"/>
      <c r="V81" s="2655"/>
      <c r="W81" s="2655"/>
      <c r="X81" s="2655"/>
      <c r="Y81" s="2655"/>
      <c r="Z81" s="2655"/>
      <c r="AA81" s="2655"/>
      <c r="AB81" s="2655"/>
      <c r="AC81" s="2655"/>
    </row>
    <row r="82" spans="1:29" s="416" customFormat="1" ht="15.75" thickBot="1">
      <c r="A82" s="492"/>
      <c r="B82" s="482"/>
      <c r="C82" s="499"/>
      <c r="D82" s="475"/>
      <c r="E82" s="475"/>
      <c r="F82" s="475"/>
      <c r="G82" s="475"/>
      <c r="H82" s="475"/>
      <c r="I82" s="475"/>
      <c r="J82" s="475"/>
      <c r="K82" s="475"/>
      <c r="L82" s="475"/>
      <c r="M82" s="476"/>
      <c r="N82" s="2684"/>
      <c r="O82" s="2684"/>
      <c r="P82" s="2685"/>
      <c r="Q82" s="2677"/>
      <c r="R82" s="2655"/>
      <c r="S82" s="2655"/>
      <c r="T82" s="2655"/>
      <c r="U82" s="2655"/>
      <c r="V82" s="2655"/>
      <c r="W82" s="2655"/>
      <c r="X82" s="2655"/>
      <c r="Y82" s="2655"/>
      <c r="Z82" s="2655"/>
      <c r="AA82" s="2655"/>
      <c r="AB82" s="2655"/>
      <c r="AC82" s="2655"/>
    </row>
    <row r="83" spans="1:29" s="416" customFormat="1" ht="15.75" thickTop="1">
      <c r="A83" s="492"/>
      <c r="B83" s="477">
        <f>B13</f>
        <v>111</v>
      </c>
      <c r="C83" s="493"/>
      <c r="D83" s="493"/>
      <c r="E83" s="493"/>
      <c r="F83" s="493"/>
      <c r="G83" s="493"/>
      <c r="H83" s="494"/>
      <c r="I83" s="494"/>
      <c r="J83" s="494"/>
      <c r="K83" s="494"/>
      <c r="L83" s="495"/>
      <c r="M83" s="496"/>
      <c r="N83" s="2685"/>
      <c r="O83" s="2685"/>
      <c r="P83" s="2655"/>
      <c r="Q83" s="2679"/>
      <c r="R83" s="2655"/>
      <c r="S83" s="2655"/>
      <c r="T83" s="2655"/>
      <c r="U83" s="2655"/>
      <c r="V83" s="2655"/>
      <c r="W83" s="2655"/>
      <c r="X83" s="2655"/>
      <c r="Y83" s="2655"/>
      <c r="Z83" s="2655"/>
      <c r="AA83" s="2655"/>
      <c r="AB83" s="2655"/>
      <c r="AC83" s="2655"/>
    </row>
    <row r="84" spans="1:29" s="416" customFormat="1" ht="15.75" thickBot="1">
      <c r="A84" s="492"/>
      <c r="B84" s="482"/>
      <c r="C84" s="499"/>
      <c r="D84" s="499"/>
      <c r="E84" s="499"/>
      <c r="F84" s="499"/>
      <c r="G84" s="499"/>
      <c r="H84" s="501"/>
      <c r="I84" s="501"/>
      <c r="J84" s="501"/>
      <c r="K84" s="501"/>
      <c r="L84" s="501"/>
      <c r="M84" s="502"/>
      <c r="N84" s="2685"/>
      <c r="O84" s="2685"/>
      <c r="P84" s="2685"/>
      <c r="Q84" s="2677"/>
      <c r="R84" s="2655"/>
      <c r="S84" s="2655"/>
      <c r="T84" s="2655"/>
      <c r="U84" s="2655"/>
      <c r="V84" s="2655"/>
      <c r="W84" s="2655"/>
      <c r="X84" s="2655"/>
      <c r="Y84" s="2655"/>
      <c r="Z84" s="2655"/>
      <c r="AA84" s="2655"/>
      <c r="AB84" s="2655"/>
      <c r="AC84" s="2655"/>
    </row>
    <row r="85" spans="1:29" s="416" customFormat="1" ht="15.75" thickTop="1">
      <c r="A85" s="492"/>
      <c r="B85" s="485">
        <f>B14</f>
        <v>111</v>
      </c>
      <c r="C85" s="34"/>
      <c r="D85" s="34"/>
      <c r="E85" s="34"/>
      <c r="F85" s="34"/>
      <c r="G85" s="34"/>
      <c r="H85" s="503"/>
      <c r="I85" s="503"/>
      <c r="J85" s="503"/>
      <c r="K85" s="503"/>
      <c r="L85" s="504"/>
      <c r="M85" s="505"/>
      <c r="N85" s="2685"/>
      <c r="O85" s="2685"/>
      <c r="P85" s="2710"/>
      <c r="Q85" s="2677"/>
      <c r="R85" s="2655"/>
      <c r="S85" s="2655"/>
      <c r="T85" s="2655"/>
      <c r="U85" s="2655"/>
      <c r="V85" s="2655"/>
      <c r="W85" s="2655"/>
      <c r="X85" s="2655"/>
      <c r="Y85" s="2655"/>
      <c r="Z85" s="2655"/>
      <c r="AA85" s="2655"/>
      <c r="AB85" s="2655"/>
      <c r="AC85" s="2655"/>
    </row>
    <row r="86" spans="1:29" s="416" customFormat="1" ht="15.75" thickBot="1">
      <c r="A86" s="507"/>
      <c r="B86" s="508"/>
      <c r="C86" s="509"/>
      <c r="D86" s="509"/>
      <c r="E86" s="509"/>
      <c r="F86" s="509"/>
      <c r="G86" s="509"/>
      <c r="H86" s="510"/>
      <c r="I86" s="510"/>
      <c r="J86" s="510"/>
      <c r="K86" s="510"/>
      <c r="L86" s="510"/>
      <c r="M86" s="511"/>
      <c r="N86" s="2685"/>
      <c r="O86" s="2685"/>
      <c r="P86" s="2685"/>
      <c r="Q86" s="2677"/>
      <c r="R86" s="2655"/>
      <c r="S86" s="2655"/>
      <c r="T86" s="2655"/>
      <c r="U86" s="2655"/>
      <c r="V86" s="2655"/>
      <c r="W86" s="2655"/>
      <c r="X86" s="2655"/>
      <c r="Y86" s="2655"/>
      <c r="Z86" s="2655"/>
      <c r="AA86" s="2655"/>
      <c r="AB86" s="2655"/>
      <c r="AC86" s="2655"/>
    </row>
    <row r="87" spans="1:29">
      <c r="A87" s="387" t="s">
        <v>2135</v>
      </c>
      <c r="B87" s="468" t="s">
        <v>2172</v>
      </c>
      <c r="C87" s="512" t="s">
        <v>2173</v>
      </c>
      <c r="D87" s="512" t="s">
        <v>2174</v>
      </c>
      <c r="E87" s="512" t="s">
        <v>2175</v>
      </c>
      <c r="F87" s="512" t="s">
        <v>2176</v>
      </c>
      <c r="G87" s="512" t="s">
        <v>2177</v>
      </c>
      <c r="H87" s="469"/>
      <c r="I87" s="469"/>
      <c r="J87" s="469"/>
      <c r="K87" s="513"/>
      <c r="L87" s="514"/>
      <c r="M87" s="515"/>
      <c r="N87" s="2683"/>
      <c r="O87" s="2683"/>
      <c r="P87" s="2707"/>
      <c r="Q87" s="2670"/>
      <c r="R87" s="2649"/>
      <c r="S87" s="2649"/>
      <c r="T87" s="2649"/>
      <c r="U87" s="2649"/>
      <c r="V87" s="2649"/>
      <c r="W87" s="2649"/>
      <c r="X87" s="2649"/>
      <c r="Y87" s="2649"/>
      <c r="Z87" s="2649"/>
      <c r="AA87" s="2649"/>
      <c r="AB87" s="2649"/>
      <c r="AC87" s="2649"/>
    </row>
    <row r="88" spans="1:29" ht="15.75" thickBot="1">
      <c r="A88" s="375"/>
      <c r="B88" s="482"/>
      <c r="C88" s="483">
        <v>100</v>
      </c>
      <c r="D88" s="483">
        <f>C88-$K15</f>
        <v>100</v>
      </c>
      <c r="E88" s="483">
        <f>D88-$K15</f>
        <v>100</v>
      </c>
      <c r="F88" s="483">
        <f>E88-$K15</f>
        <v>100</v>
      </c>
      <c r="G88" s="483">
        <f>F88-$K15</f>
        <v>100</v>
      </c>
      <c r="H88" s="483"/>
      <c r="I88" s="483"/>
      <c r="J88" s="483"/>
      <c r="K88" s="483"/>
      <c r="L88" s="483"/>
      <c r="M88" s="484"/>
      <c r="N88" s="2684"/>
      <c r="O88" s="2684"/>
      <c r="P88" s="2682"/>
      <c r="Q88" s="2670"/>
      <c r="R88" s="2649"/>
      <c r="S88" s="2649"/>
      <c r="T88" s="2649"/>
      <c r="U88" s="2649"/>
      <c r="V88" s="2649"/>
      <c r="W88" s="2649"/>
      <c r="X88" s="2649"/>
      <c r="Y88" s="2649"/>
      <c r="Z88" s="2649"/>
      <c r="AA88" s="2649"/>
      <c r="AB88" s="2649"/>
      <c r="AC88" s="2649"/>
    </row>
    <row r="89" spans="1:29" ht="15.75" thickTop="1">
      <c r="A89" s="375"/>
      <c r="B89" s="477" t="s">
        <v>2358</v>
      </c>
      <c r="C89" s="517" t="s">
        <v>2173</v>
      </c>
      <c r="D89" s="517" t="s">
        <v>2174</v>
      </c>
      <c r="E89" s="517" t="s">
        <v>2175</v>
      </c>
      <c r="F89" s="517" t="s">
        <v>2176</v>
      </c>
      <c r="G89" s="517" t="s">
        <v>2177</v>
      </c>
      <c r="H89" s="478"/>
      <c r="I89" s="478"/>
      <c r="J89" s="478"/>
      <c r="K89" s="479"/>
      <c r="L89" s="480"/>
      <c r="M89" s="481"/>
      <c r="N89" s="2683"/>
      <c r="O89" s="2683"/>
      <c r="P89" s="2682"/>
      <c r="Q89" s="2670"/>
      <c r="R89" s="2649"/>
      <c r="S89" s="2649"/>
      <c r="T89" s="2649"/>
      <c r="U89" s="2649"/>
      <c r="V89" s="2649"/>
      <c r="W89" s="2649"/>
      <c r="X89" s="2649"/>
      <c r="Y89" s="2649"/>
      <c r="Z89" s="2649"/>
      <c r="AA89" s="2649"/>
      <c r="AB89" s="2649"/>
      <c r="AC89" s="2649"/>
    </row>
    <row r="90" spans="1:29" ht="15.75" thickBot="1">
      <c r="A90" s="375"/>
      <c r="B90" s="482"/>
      <c r="C90" s="483">
        <v>100</v>
      </c>
      <c r="D90" s="483">
        <f>C90-$K17</f>
        <v>100</v>
      </c>
      <c r="E90" s="483">
        <f>D90-$K17</f>
        <v>100</v>
      </c>
      <c r="F90" s="483">
        <f>E90-$K17</f>
        <v>100</v>
      </c>
      <c r="G90" s="483">
        <f>F90-$K17</f>
        <v>100</v>
      </c>
      <c r="H90" s="483"/>
      <c r="I90" s="483"/>
      <c r="J90" s="483"/>
      <c r="K90" s="483"/>
      <c r="L90" s="483"/>
      <c r="M90" s="484"/>
      <c r="N90" s="2684"/>
      <c r="O90" s="2684"/>
      <c r="P90" s="2682"/>
      <c r="Q90" s="2670"/>
      <c r="R90" s="2649"/>
      <c r="S90" s="2649"/>
      <c r="T90" s="2649"/>
      <c r="U90" s="2649"/>
      <c r="V90" s="2649"/>
      <c r="W90" s="2649"/>
      <c r="X90" s="2649"/>
      <c r="Y90" s="2649"/>
      <c r="Z90" s="2649"/>
      <c r="AA90" s="2649"/>
      <c r="AB90" s="2649"/>
      <c r="AC90" s="2649"/>
    </row>
    <row r="91" spans="1:29" ht="15.75" thickTop="1">
      <c r="A91" s="375"/>
      <c r="B91" s="477" t="s">
        <v>2273</v>
      </c>
      <c r="C91" s="517" t="s">
        <v>2173</v>
      </c>
      <c r="D91" s="517" t="s">
        <v>2174</v>
      </c>
      <c r="E91" s="517" t="s">
        <v>2175</v>
      </c>
      <c r="F91" s="517" t="s">
        <v>2176</v>
      </c>
      <c r="G91" s="517" t="s">
        <v>2177</v>
      </c>
      <c r="H91" s="478"/>
      <c r="I91" s="478"/>
      <c r="J91" s="478"/>
      <c r="K91" s="479"/>
      <c r="L91" s="480"/>
      <c r="M91" s="481"/>
      <c r="N91" s="2683"/>
      <c r="O91" s="2683"/>
      <c r="P91" s="2682"/>
      <c r="Q91" s="2670"/>
      <c r="R91" s="2649"/>
      <c r="S91" s="2649"/>
      <c r="T91" s="2649"/>
      <c r="U91" s="2649"/>
      <c r="V91" s="2649"/>
      <c r="W91" s="2649"/>
      <c r="X91" s="2649"/>
      <c r="Y91" s="2649"/>
      <c r="Z91" s="2649"/>
      <c r="AA91" s="2649"/>
      <c r="AB91" s="2649"/>
      <c r="AC91" s="2649"/>
    </row>
    <row r="92" spans="1:29" ht="15.75" thickBot="1">
      <c r="A92" s="375"/>
      <c r="B92" s="482"/>
      <c r="C92" s="483">
        <v>100</v>
      </c>
      <c r="D92" s="483">
        <f>C92-$K19</f>
        <v>97</v>
      </c>
      <c r="E92" s="483">
        <f>D92-$K19</f>
        <v>94</v>
      </c>
      <c r="F92" s="483">
        <f>E92-$K19</f>
        <v>91</v>
      </c>
      <c r="G92" s="483">
        <f>F92-$K19</f>
        <v>88</v>
      </c>
      <c r="H92" s="483"/>
      <c r="I92" s="483"/>
      <c r="J92" s="483"/>
      <c r="K92" s="483"/>
      <c r="L92" s="483"/>
      <c r="M92" s="484"/>
      <c r="N92" s="2684"/>
      <c r="O92" s="2684"/>
      <c r="P92" s="2682"/>
      <c r="Q92" s="2670"/>
      <c r="R92" s="2649"/>
      <c r="S92" s="2649"/>
      <c r="T92" s="2649"/>
      <c r="U92" s="2649"/>
      <c r="V92" s="2649"/>
      <c r="W92" s="2649"/>
      <c r="X92" s="2649"/>
      <c r="Y92" s="2649"/>
      <c r="Z92" s="2649"/>
      <c r="AA92" s="2649"/>
      <c r="AB92" s="2649"/>
      <c r="AC92" s="2649"/>
    </row>
    <row r="93" spans="1:29" ht="15.75" thickTop="1">
      <c r="A93" s="375"/>
      <c r="B93" s="477" t="s">
        <v>2178</v>
      </c>
      <c r="C93" s="517" t="s">
        <v>2173</v>
      </c>
      <c r="D93" s="517" t="s">
        <v>2174</v>
      </c>
      <c r="E93" s="517" t="s">
        <v>2175</v>
      </c>
      <c r="F93" s="517" t="s">
        <v>2176</v>
      </c>
      <c r="G93" s="517" t="s">
        <v>2177</v>
      </c>
      <c r="H93" s="478"/>
      <c r="I93" s="478"/>
      <c r="J93" s="478"/>
      <c r="K93" s="479"/>
      <c r="L93" s="480"/>
      <c r="M93" s="481"/>
      <c r="N93" s="2683"/>
      <c r="O93" s="2683"/>
      <c r="P93" s="2682"/>
      <c r="Q93" s="2670"/>
      <c r="R93" s="2649"/>
      <c r="S93" s="2649"/>
      <c r="T93" s="2649"/>
      <c r="U93" s="2649"/>
      <c r="V93" s="2649"/>
      <c r="W93" s="2649"/>
      <c r="X93" s="2649"/>
      <c r="Y93" s="2649"/>
      <c r="Z93" s="2649"/>
      <c r="AA93" s="2649"/>
      <c r="AB93" s="2649"/>
      <c r="AC93" s="2649"/>
    </row>
    <row r="94" spans="1:29" ht="15.75" thickBot="1">
      <c r="A94" s="375"/>
      <c r="B94" s="482"/>
      <c r="C94" s="483">
        <v>100</v>
      </c>
      <c r="D94" s="483">
        <f>C94-$K21</f>
        <v>97</v>
      </c>
      <c r="E94" s="483">
        <f>D94-$K21</f>
        <v>94</v>
      </c>
      <c r="F94" s="483">
        <f>E94-$K21</f>
        <v>91</v>
      </c>
      <c r="G94" s="483">
        <f>F94-$K21</f>
        <v>88</v>
      </c>
      <c r="H94" s="483"/>
      <c r="I94" s="483"/>
      <c r="J94" s="483"/>
      <c r="K94" s="483"/>
      <c r="L94" s="483"/>
      <c r="M94" s="484"/>
      <c r="N94" s="2684"/>
      <c r="O94" s="2684"/>
      <c r="P94" s="2682"/>
      <c r="Q94" s="2670"/>
      <c r="R94" s="2649"/>
      <c r="S94" s="2649"/>
      <c r="T94" s="2649"/>
      <c r="U94" s="2649"/>
      <c r="V94" s="2649"/>
      <c r="W94" s="2649"/>
      <c r="X94" s="2649"/>
      <c r="Y94" s="2649"/>
      <c r="Z94" s="2649"/>
      <c r="AA94" s="2649"/>
      <c r="AB94" s="2649"/>
      <c r="AC94" s="2649"/>
    </row>
    <row r="95" spans="1:29" s="107" customFormat="1" ht="15.75" thickTop="1">
      <c r="A95" s="378"/>
      <c r="B95" s="477" t="s">
        <v>2359</v>
      </c>
      <c r="C95" s="517" t="s">
        <v>2173</v>
      </c>
      <c r="D95" s="517" t="s">
        <v>2174</v>
      </c>
      <c r="E95" s="517" t="s">
        <v>2175</v>
      </c>
      <c r="F95" s="517" t="s">
        <v>2176</v>
      </c>
      <c r="G95" s="517" t="s">
        <v>2177</v>
      </c>
      <c r="H95" s="517"/>
      <c r="I95" s="517"/>
      <c r="J95" s="517"/>
      <c r="K95" s="517"/>
      <c r="L95" s="626"/>
      <c r="M95" s="555"/>
      <c r="N95" s="2682"/>
      <c r="O95" s="2682"/>
      <c r="P95" s="2682"/>
      <c r="Q95" s="2670"/>
      <c r="R95" s="2603"/>
      <c r="S95" s="2603"/>
      <c r="T95" s="2603"/>
      <c r="U95" s="2603"/>
      <c r="V95" s="2603"/>
      <c r="W95" s="2603"/>
      <c r="X95" s="2603"/>
      <c r="Y95" s="2603"/>
      <c r="Z95" s="2603"/>
      <c r="AA95" s="2603"/>
      <c r="AB95" s="2603"/>
      <c r="AC95" s="2603"/>
    </row>
    <row r="96" spans="1:29" s="107" customFormat="1" ht="15.75" thickBot="1">
      <c r="A96" s="378"/>
      <c r="B96" s="482"/>
      <c r="C96" s="520">
        <v>100</v>
      </c>
      <c r="D96" s="483">
        <f>C96-$K23</f>
        <v>98</v>
      </c>
      <c r="E96" s="483">
        <f>D96-$K23</f>
        <v>96</v>
      </c>
      <c r="F96" s="483">
        <f>E96-$K23</f>
        <v>94</v>
      </c>
      <c r="G96" s="483">
        <f>F96-$K23</f>
        <v>92</v>
      </c>
      <c r="H96" s="483"/>
      <c r="I96" s="483"/>
      <c r="J96" s="483"/>
      <c r="K96" s="483"/>
      <c r="L96" s="483"/>
      <c r="M96" s="484"/>
      <c r="N96" s="2684"/>
      <c r="O96" s="2684"/>
      <c r="P96" s="2682"/>
      <c r="Q96" s="2670"/>
      <c r="R96" s="2603"/>
      <c r="S96" s="2603"/>
      <c r="T96" s="2603"/>
      <c r="U96" s="2603"/>
      <c r="V96" s="2603"/>
      <c r="W96" s="2603"/>
      <c r="X96" s="2603"/>
      <c r="Y96" s="2603"/>
      <c r="Z96" s="2603"/>
      <c r="AA96" s="2603"/>
      <c r="AB96" s="2603"/>
      <c r="AC96" s="2603"/>
    </row>
    <row r="97" spans="1:29" s="107" customFormat="1" ht="27.75" thickTop="1">
      <c r="A97" s="378"/>
      <c r="B97" s="477" t="s">
        <v>2360</v>
      </c>
      <c r="C97" s="512" t="s">
        <v>2173</v>
      </c>
      <c r="D97" s="512" t="s">
        <v>2174</v>
      </c>
      <c r="E97" s="512" t="s">
        <v>2175</v>
      </c>
      <c r="F97" s="512" t="s">
        <v>2176</v>
      </c>
      <c r="G97" s="512" t="s">
        <v>2177</v>
      </c>
      <c r="H97" s="517"/>
      <c r="I97" s="517"/>
      <c r="J97" s="517"/>
      <c r="K97" s="517"/>
      <c r="L97" s="517"/>
      <c r="M97" s="555"/>
      <c r="N97" s="2682"/>
      <c r="O97" s="2682"/>
      <c r="P97" s="2682"/>
      <c r="Q97" s="2670"/>
      <c r="R97" s="2603"/>
      <c r="S97" s="2603"/>
      <c r="T97" s="2603"/>
      <c r="U97" s="2603"/>
      <c r="V97" s="2603"/>
      <c r="W97" s="2603"/>
      <c r="X97" s="2603"/>
      <c r="Y97" s="2603"/>
      <c r="Z97" s="2603"/>
      <c r="AA97" s="2603"/>
      <c r="AB97" s="2603"/>
      <c r="AC97" s="2603"/>
    </row>
    <row r="98" spans="1:29" s="107" customFormat="1" ht="15.75" thickBot="1">
      <c r="A98" s="378"/>
      <c r="B98" s="482"/>
      <c r="C98" s="483">
        <v>100</v>
      </c>
      <c r="D98" s="483">
        <f>C98-$K25</f>
        <v>97</v>
      </c>
      <c r="E98" s="483">
        <f>D98-$K25</f>
        <v>94</v>
      </c>
      <c r="F98" s="483">
        <f>E98-$K25</f>
        <v>91</v>
      </c>
      <c r="G98" s="483">
        <f>F98-$K25</f>
        <v>88</v>
      </c>
      <c r="H98" s="483"/>
      <c r="I98" s="483"/>
      <c r="J98" s="483"/>
      <c r="K98" s="483"/>
      <c r="L98" s="483"/>
      <c r="M98" s="484"/>
      <c r="N98" s="2684"/>
      <c r="O98" s="2684"/>
      <c r="P98" s="2682"/>
      <c r="Q98" s="2670"/>
      <c r="R98" s="2603"/>
      <c r="S98" s="2603"/>
      <c r="T98" s="2603"/>
      <c r="U98" s="2603"/>
      <c r="V98" s="2603"/>
      <c r="W98" s="2603"/>
      <c r="X98" s="2603"/>
      <c r="Y98" s="2603"/>
      <c r="Z98" s="2603"/>
      <c r="AA98" s="2603"/>
      <c r="AB98" s="2603"/>
      <c r="AC98" s="2603"/>
    </row>
    <row r="99" spans="1:29" s="416" customFormat="1" ht="15.75" thickTop="1">
      <c r="A99" s="492"/>
      <c r="B99" s="477" t="s">
        <v>2230</v>
      </c>
      <c r="C99" s="512" t="s">
        <v>2173</v>
      </c>
      <c r="D99" s="512" t="s">
        <v>2174</v>
      </c>
      <c r="E99" s="512" t="s">
        <v>2175</v>
      </c>
      <c r="F99" s="512" t="s">
        <v>2176</v>
      </c>
      <c r="G99" s="512" t="s">
        <v>2177</v>
      </c>
      <c r="H99" s="535"/>
      <c r="I99" s="535"/>
      <c r="J99" s="535"/>
      <c r="K99" s="535"/>
      <c r="L99" s="536"/>
      <c r="M99" s="537"/>
      <c r="N99" s="2685"/>
      <c r="O99" s="2685"/>
      <c r="P99" s="2685"/>
      <c r="Q99" s="2677"/>
      <c r="R99" s="2655"/>
      <c r="S99" s="2655"/>
      <c r="T99" s="2655"/>
      <c r="U99" s="2655"/>
      <c r="V99" s="2655"/>
      <c r="W99" s="2655"/>
      <c r="X99" s="2655"/>
      <c r="Y99" s="2655"/>
      <c r="Z99" s="2655"/>
      <c r="AA99" s="2655"/>
      <c r="AB99" s="2655"/>
      <c r="AC99" s="2655"/>
    </row>
    <row r="100" spans="1:29" s="416" customFormat="1" ht="15.75" thickBot="1">
      <c r="A100" s="492"/>
      <c r="B100" s="482"/>
      <c r="C100" s="483">
        <v>100</v>
      </c>
      <c r="D100" s="483">
        <f>C100-$K27</f>
        <v>98</v>
      </c>
      <c r="E100" s="483">
        <f>D100-$K27</f>
        <v>96</v>
      </c>
      <c r="F100" s="483">
        <f>E100-$K27</f>
        <v>94</v>
      </c>
      <c r="G100" s="483">
        <f>F100-$K27</f>
        <v>92</v>
      </c>
      <c r="H100" s="542"/>
      <c r="I100" s="542"/>
      <c r="J100" s="542"/>
      <c r="K100" s="542"/>
      <c r="L100" s="542"/>
      <c r="M100" s="543"/>
      <c r="N100" s="2685"/>
      <c r="O100" s="2685"/>
      <c r="P100" s="2685"/>
      <c r="Q100" s="2677"/>
      <c r="R100" s="2655"/>
      <c r="S100" s="2655"/>
      <c r="T100" s="2655"/>
      <c r="U100" s="2655"/>
      <c r="V100" s="2655"/>
      <c r="W100" s="2655"/>
      <c r="X100" s="2655"/>
      <c r="Y100" s="2655"/>
      <c r="Z100" s="2655"/>
      <c r="AA100" s="2655"/>
      <c r="AB100" s="2655"/>
      <c r="AC100" s="2655"/>
    </row>
    <row r="101" spans="1:29" s="416" customFormat="1" ht="15.75" thickTop="1">
      <c r="A101" s="492"/>
      <c r="B101" s="485" t="s">
        <v>2231</v>
      </c>
      <c r="C101" s="589" t="s">
        <v>2251</v>
      </c>
      <c r="D101" s="589" t="s">
        <v>2252</v>
      </c>
      <c r="E101" s="589" t="s">
        <v>2253</v>
      </c>
      <c r="F101" s="589" t="s">
        <v>2254</v>
      </c>
      <c r="G101" s="589" t="s">
        <v>2255</v>
      </c>
      <c r="H101" s="535"/>
      <c r="I101" s="535"/>
      <c r="J101" s="535"/>
      <c r="K101" s="535"/>
      <c r="L101" s="535"/>
      <c r="M101" s="1175"/>
      <c r="N101" s="2685"/>
      <c r="O101" s="2685"/>
      <c r="P101" s="2685"/>
      <c r="Q101" s="2677"/>
      <c r="R101" s="2655"/>
      <c r="S101" s="2655"/>
      <c r="T101" s="2655"/>
      <c r="U101" s="2655"/>
      <c r="V101" s="2655"/>
      <c r="W101" s="2655"/>
      <c r="X101" s="2655"/>
      <c r="Y101" s="2655"/>
      <c r="Z101" s="2655"/>
      <c r="AA101" s="2655"/>
      <c r="AB101" s="2655"/>
      <c r="AC101" s="2655"/>
    </row>
    <row r="102" spans="1:29" s="416" customFormat="1" ht="15.75" thickBot="1">
      <c r="A102" s="492"/>
      <c r="B102" s="485"/>
      <c r="C102" s="483">
        <v>100</v>
      </c>
      <c r="D102" s="483">
        <f>C102-$K29</f>
        <v>98</v>
      </c>
      <c r="E102" s="483">
        <f>D102-$K29</f>
        <v>96</v>
      </c>
      <c r="F102" s="483">
        <f>E102-$K29</f>
        <v>94</v>
      </c>
      <c r="G102" s="483">
        <f>F102-$K29</f>
        <v>92</v>
      </c>
      <c r="H102" s="487"/>
      <c r="I102" s="487"/>
      <c r="J102" s="487"/>
      <c r="K102" s="487"/>
      <c r="L102" s="487"/>
      <c r="M102" s="1175"/>
      <c r="N102" s="2685"/>
      <c r="O102" s="2685"/>
      <c r="P102" s="2685"/>
      <c r="Q102" s="2677"/>
      <c r="R102" s="2655"/>
      <c r="S102" s="2655"/>
      <c r="T102" s="2655"/>
      <c r="U102" s="2655"/>
      <c r="V102" s="2655"/>
      <c r="W102" s="2655"/>
      <c r="X102" s="2655"/>
      <c r="Y102" s="2655"/>
      <c r="Z102" s="2655"/>
      <c r="AA102" s="2655"/>
      <c r="AB102" s="2655"/>
      <c r="AC102" s="2655"/>
    </row>
    <row r="103" spans="1:29" ht="15.75" thickTop="1">
      <c r="A103" s="375"/>
      <c r="B103" s="477" t="str">
        <f>B31</f>
        <v>临街状况</v>
      </c>
      <c r="C103" s="478" t="s">
        <v>2361</v>
      </c>
      <c r="D103" s="478" t="s">
        <v>2362</v>
      </c>
      <c r="E103" s="478" t="s">
        <v>2363</v>
      </c>
      <c r="F103" s="478" t="s">
        <v>2364</v>
      </c>
      <c r="G103" s="478"/>
      <c r="H103" s="478"/>
      <c r="I103" s="478"/>
      <c r="J103" s="478"/>
      <c r="K103" s="479"/>
      <c r="L103" s="480"/>
      <c r="M103" s="481"/>
      <c r="N103" s="2683"/>
      <c r="O103" s="2683"/>
      <c r="P103" s="2682"/>
      <c r="Q103" s="2670"/>
      <c r="R103" s="2649"/>
      <c r="S103" s="2649"/>
      <c r="T103" s="2649"/>
      <c r="U103" s="2649"/>
      <c r="V103" s="2649"/>
      <c r="W103" s="2649"/>
      <c r="X103" s="2649"/>
      <c r="Y103" s="2649"/>
      <c r="Z103" s="2649"/>
      <c r="AA103" s="2649"/>
      <c r="AB103" s="2649"/>
      <c r="AC103" s="2649"/>
    </row>
    <row r="104" spans="1:29" ht="15.75" thickBot="1">
      <c r="A104" s="375"/>
      <c r="B104" s="482"/>
      <c r="C104" s="483">
        <v>100</v>
      </c>
      <c r="D104" s="483">
        <f t="shared" ref="D104:M104" si="23">C104-$K31</f>
        <v>97</v>
      </c>
      <c r="E104" s="483">
        <f t="shared" si="23"/>
        <v>94</v>
      </c>
      <c r="F104" s="483">
        <f t="shared" si="23"/>
        <v>91</v>
      </c>
      <c r="G104" s="483">
        <f t="shared" si="23"/>
        <v>88</v>
      </c>
      <c r="H104" s="483">
        <f t="shared" si="23"/>
        <v>85</v>
      </c>
      <c r="I104" s="483">
        <f t="shared" si="23"/>
        <v>82</v>
      </c>
      <c r="J104" s="483">
        <f t="shared" si="23"/>
        <v>79</v>
      </c>
      <c r="K104" s="483">
        <f t="shared" si="23"/>
        <v>76</v>
      </c>
      <c r="L104" s="483">
        <f t="shared" si="23"/>
        <v>73</v>
      </c>
      <c r="M104" s="483">
        <f t="shared" si="23"/>
        <v>70</v>
      </c>
      <c r="N104" s="2684"/>
      <c r="O104" s="2684"/>
      <c r="P104" s="2682"/>
      <c r="Q104" s="2670"/>
      <c r="R104" s="2649"/>
      <c r="S104" s="2649"/>
      <c r="T104" s="2649"/>
      <c r="U104" s="2649"/>
      <c r="V104" s="2649"/>
      <c r="W104" s="2649"/>
      <c r="X104" s="2649"/>
      <c r="Y104" s="2649"/>
      <c r="Z104" s="2649"/>
      <c r="AA104" s="2649"/>
      <c r="AB104" s="2649"/>
      <c r="AC104" s="2649"/>
    </row>
    <row r="105" spans="1:29" ht="27.75" thickTop="1">
      <c r="A105" s="375"/>
      <c r="B105" s="477" t="s">
        <v>2267</v>
      </c>
      <c r="C105" s="493" t="s">
        <v>3768</v>
      </c>
      <c r="D105" s="493" t="s">
        <v>3769</v>
      </c>
      <c r="E105" s="493" t="s">
        <v>3770</v>
      </c>
      <c r="F105" s="493" t="s">
        <v>3771</v>
      </c>
      <c r="G105" s="493"/>
      <c r="H105" s="521"/>
      <c r="I105" s="521"/>
      <c r="J105" s="521"/>
      <c r="K105" s="522"/>
      <c r="L105" s="523"/>
      <c r="M105" s="524"/>
      <c r="N105" s="2683"/>
      <c r="O105" s="2683"/>
      <c r="P105" s="2682"/>
      <c r="Q105" s="2670"/>
      <c r="R105" s="2649"/>
      <c r="S105" s="2649"/>
      <c r="T105" s="2649"/>
      <c r="U105" s="2649"/>
      <c r="V105" s="2649"/>
      <c r="W105" s="2649"/>
      <c r="X105" s="2649"/>
      <c r="Y105" s="2649"/>
      <c r="Z105" s="2649"/>
      <c r="AA105" s="2649"/>
      <c r="AB105" s="2649"/>
      <c r="AC105" s="2649"/>
    </row>
    <row r="106" spans="1:29" ht="15.75" thickBot="1">
      <c r="A106" s="375"/>
      <c r="B106" s="482"/>
      <c r="C106" s="483">
        <v>100</v>
      </c>
      <c r="D106" s="483">
        <f t="shared" ref="D106:M106" si="24">C106-$K32</f>
        <v>98</v>
      </c>
      <c r="E106" s="483">
        <f t="shared" si="24"/>
        <v>96</v>
      </c>
      <c r="F106" s="483">
        <f t="shared" si="24"/>
        <v>94</v>
      </c>
      <c r="G106" s="483">
        <f t="shared" si="24"/>
        <v>92</v>
      </c>
      <c r="H106" s="483">
        <f t="shared" si="24"/>
        <v>90</v>
      </c>
      <c r="I106" s="483">
        <f t="shared" si="24"/>
        <v>88</v>
      </c>
      <c r="J106" s="483">
        <f t="shared" si="24"/>
        <v>86</v>
      </c>
      <c r="K106" s="483">
        <f t="shared" si="24"/>
        <v>84</v>
      </c>
      <c r="L106" s="483">
        <f t="shared" si="24"/>
        <v>82</v>
      </c>
      <c r="M106" s="483">
        <f t="shared" si="24"/>
        <v>80</v>
      </c>
      <c r="N106" s="2684"/>
      <c r="O106" s="2684"/>
      <c r="P106" s="2682"/>
      <c r="Q106" s="2670"/>
      <c r="R106" s="2649"/>
      <c r="S106" s="2649"/>
      <c r="T106" s="2649"/>
      <c r="U106" s="2649"/>
      <c r="V106" s="2649"/>
      <c r="W106" s="2649"/>
      <c r="X106" s="2649"/>
      <c r="Y106" s="2649"/>
      <c r="Z106" s="2649"/>
      <c r="AA106" s="2649"/>
      <c r="AB106" s="2649"/>
      <c r="AC106" s="2649"/>
    </row>
    <row r="107" spans="1:29" ht="15.75" thickTop="1">
      <c r="A107" s="375"/>
      <c r="B107" s="477" t="s">
        <v>2326</v>
      </c>
      <c r="C107" s="521"/>
      <c r="D107" s="521"/>
      <c r="E107" s="521"/>
      <c r="F107" s="521"/>
      <c r="G107" s="521"/>
      <c r="H107" s="521"/>
      <c r="I107" s="521"/>
      <c r="J107" s="521"/>
      <c r="K107" s="522"/>
      <c r="L107" s="523"/>
      <c r="M107" s="524"/>
      <c r="N107" s="2683"/>
      <c r="O107" s="2683"/>
      <c r="P107" s="2682"/>
      <c r="Q107" s="2670"/>
      <c r="R107" s="2649"/>
      <c r="S107" s="2649"/>
      <c r="T107" s="2649"/>
      <c r="U107" s="2649"/>
      <c r="V107" s="2649"/>
      <c r="W107" s="2649"/>
      <c r="X107" s="2649"/>
      <c r="Y107" s="2649"/>
      <c r="Z107" s="2649"/>
      <c r="AA107" s="2649"/>
      <c r="AB107" s="2649"/>
      <c r="AC107" s="2649"/>
    </row>
    <row r="108" spans="1:29" ht="15.75" thickBot="1">
      <c r="A108" s="375"/>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684"/>
      <c r="O108" s="2684"/>
      <c r="P108" s="2682"/>
      <c r="Q108" s="2670"/>
      <c r="R108" s="2649"/>
      <c r="S108" s="2649"/>
      <c r="T108" s="2649"/>
      <c r="U108" s="2649"/>
      <c r="V108" s="2649"/>
      <c r="W108" s="2649"/>
      <c r="X108" s="2649"/>
      <c r="Y108" s="2649"/>
      <c r="Z108" s="2649"/>
      <c r="AA108" s="2649"/>
      <c r="AB108" s="2649"/>
      <c r="AC108" s="2649"/>
    </row>
    <row r="109" spans="1:29" ht="15.75" thickTop="1">
      <c r="A109" s="375"/>
      <c r="B109" s="485">
        <f>B35</f>
        <v>111</v>
      </c>
      <c r="C109" s="493"/>
      <c r="D109" s="493"/>
      <c r="E109" s="493"/>
      <c r="F109" s="493"/>
      <c r="G109" s="525"/>
      <c r="H109" s="525"/>
      <c r="I109" s="525"/>
      <c r="J109" s="525"/>
      <c r="K109" s="526"/>
      <c r="L109" s="527"/>
      <c r="M109" s="528"/>
      <c r="N109" s="2683"/>
      <c r="O109" s="2683"/>
      <c r="P109" s="2682"/>
      <c r="Q109" s="2670"/>
      <c r="R109" s="2649"/>
      <c r="S109" s="2649"/>
      <c r="T109" s="2649"/>
      <c r="U109" s="2649"/>
      <c r="V109" s="2649"/>
      <c r="W109" s="2649"/>
      <c r="X109" s="2649"/>
      <c r="Y109" s="2649"/>
      <c r="Z109" s="2649"/>
      <c r="AA109" s="2649"/>
      <c r="AB109" s="2649"/>
      <c r="AC109" s="2649"/>
    </row>
    <row r="110" spans="1:29" ht="15.75" thickBot="1">
      <c r="A110" s="375"/>
      <c r="B110" s="508"/>
      <c r="C110" s="499"/>
      <c r="D110" s="499"/>
      <c r="E110" s="499"/>
      <c r="F110" s="499"/>
      <c r="G110" s="529"/>
      <c r="H110" s="529"/>
      <c r="I110" s="529"/>
      <c r="J110" s="529"/>
      <c r="K110" s="529"/>
      <c r="L110" s="529"/>
      <c r="M110" s="530"/>
      <c r="N110" s="2684"/>
      <c r="O110" s="2684"/>
      <c r="P110" s="2682"/>
      <c r="Q110" s="2670"/>
      <c r="R110" s="2649"/>
      <c r="S110" s="2649"/>
      <c r="T110" s="2649"/>
      <c r="U110" s="2649"/>
      <c r="V110" s="2649"/>
      <c r="W110" s="2649"/>
      <c r="X110" s="2649"/>
      <c r="Y110" s="2649"/>
      <c r="Z110" s="2649"/>
      <c r="AA110" s="2649"/>
      <c r="AB110" s="2649"/>
      <c r="AC110" s="2649"/>
    </row>
    <row r="111" spans="1:29" ht="15" thickTop="1">
      <c r="A111" s="603"/>
      <c r="B111" s="477">
        <f>B36</f>
        <v>111</v>
      </c>
      <c r="C111" s="34"/>
      <c r="D111" s="34"/>
      <c r="E111" s="34"/>
      <c r="F111" s="34"/>
      <c r="G111" s="521"/>
      <c r="H111" s="521"/>
      <c r="I111" s="521"/>
      <c r="J111" s="521"/>
      <c r="K111" s="522"/>
      <c r="L111" s="523"/>
      <c r="M111" s="524"/>
      <c r="N111" s="2683"/>
      <c r="O111" s="2683"/>
      <c r="P111" s="2682"/>
      <c r="Q111" s="2670"/>
      <c r="R111" s="2649"/>
      <c r="S111" s="2649"/>
      <c r="T111" s="2649"/>
      <c r="U111" s="2649"/>
      <c r="V111" s="2649"/>
      <c r="W111" s="2649"/>
      <c r="X111" s="2649"/>
      <c r="Y111" s="2649"/>
      <c r="Z111" s="2649"/>
      <c r="AA111" s="2649"/>
      <c r="AB111" s="2649"/>
      <c r="AC111" s="2649"/>
    </row>
    <row r="112" spans="1:29" ht="15.75" thickBot="1">
      <c r="A112" s="375"/>
      <c r="B112" s="482"/>
      <c r="C112" s="509"/>
      <c r="D112" s="509"/>
      <c r="E112" s="509"/>
      <c r="F112" s="509"/>
      <c r="G112" s="475"/>
      <c r="H112" s="475"/>
      <c r="I112" s="475"/>
      <c r="J112" s="475"/>
      <c r="K112" s="475"/>
      <c r="L112" s="475"/>
      <c r="M112" s="476"/>
      <c r="N112" s="2684"/>
      <c r="O112" s="2684"/>
      <c r="P112" s="2682"/>
      <c r="Q112" s="2670"/>
      <c r="R112" s="2649"/>
      <c r="S112" s="2649"/>
      <c r="T112" s="2649"/>
      <c r="U112" s="2649"/>
      <c r="V112" s="2649"/>
      <c r="W112" s="2649"/>
      <c r="X112" s="2649"/>
      <c r="Y112" s="2649"/>
      <c r="Z112" s="2649"/>
      <c r="AA112" s="2649"/>
      <c r="AB112" s="2649"/>
      <c r="AC112" s="2649"/>
    </row>
    <row r="113" spans="1:29" s="416" customFormat="1" ht="15" thickTop="1">
      <c r="A113" s="414"/>
      <c r="B113" s="531">
        <f>B37</f>
        <v>111</v>
      </c>
      <c r="C113" s="9"/>
      <c r="D113" s="9"/>
      <c r="E113" s="9"/>
      <c r="F113" s="9"/>
      <c r="G113" s="9"/>
      <c r="H113" s="9"/>
      <c r="I113" s="9"/>
      <c r="J113" s="532"/>
      <c r="K113" s="532"/>
      <c r="L113" s="533"/>
      <c r="M113" s="534"/>
      <c r="N113" s="2685"/>
      <c r="O113" s="2685"/>
      <c r="P113" s="2685"/>
      <c r="Q113" s="2677"/>
      <c r="R113" s="2655"/>
      <c r="S113" s="2655"/>
      <c r="T113" s="2655"/>
      <c r="U113" s="2655"/>
      <c r="V113" s="2655"/>
      <c r="W113" s="2655"/>
      <c r="X113" s="2655"/>
      <c r="Y113" s="2655"/>
      <c r="Z113" s="2655"/>
      <c r="AA113" s="2655"/>
      <c r="AB113" s="2655"/>
      <c r="AC113" s="2655"/>
    </row>
    <row r="114" spans="1:29" s="416" customFormat="1" ht="15.75" thickBot="1">
      <c r="A114" s="492"/>
      <c r="B114" s="485"/>
      <c r="C114" s="454"/>
      <c r="D114" s="605"/>
      <c r="E114" s="605"/>
      <c r="F114" s="605"/>
      <c r="G114" s="605"/>
      <c r="H114" s="605"/>
      <c r="I114" s="605"/>
      <c r="J114" s="605"/>
      <c r="K114" s="605"/>
      <c r="L114" s="605"/>
      <c r="M114" s="627"/>
      <c r="N114" s="2684"/>
      <c r="O114" s="2684"/>
      <c r="P114" s="2685"/>
      <c r="Q114" s="2677"/>
      <c r="R114" s="2655"/>
      <c r="S114" s="2655"/>
      <c r="T114" s="2655"/>
      <c r="U114" s="2655"/>
      <c r="V114" s="2655"/>
      <c r="W114" s="2655"/>
      <c r="X114" s="2655"/>
      <c r="Y114" s="2655"/>
      <c r="Z114" s="2655"/>
      <c r="AA114" s="2655"/>
      <c r="AB114" s="2655"/>
      <c r="AC114" s="2655"/>
    </row>
    <row r="115" spans="1:29" ht="28.5">
      <c r="A115" s="387" t="s">
        <v>2139</v>
      </c>
      <c r="B115" s="468" t="s">
        <v>2365</v>
      </c>
      <c r="C115" s="469" t="str">
        <f>C116&amp;"(含)"&amp;"-"&amp;D116</f>
        <v>0(含)-10000</v>
      </c>
      <c r="D115" s="469" t="str">
        <f t="shared" ref="D115:M115" si="26">D116&amp;"(含)"&amp;"-"&amp;E116</f>
        <v>10000(含)-20000</v>
      </c>
      <c r="E115" s="469" t="str">
        <f t="shared" si="26"/>
        <v>20000(含)-30000</v>
      </c>
      <c r="F115" s="469" t="str">
        <f t="shared" si="26"/>
        <v>30000(含)-40000</v>
      </c>
      <c r="G115" s="469" t="str">
        <f t="shared" si="26"/>
        <v>40000(含)-50000</v>
      </c>
      <c r="H115" s="469" t="str">
        <f t="shared" si="26"/>
        <v>50000(含)-</v>
      </c>
      <c r="I115" s="469" t="str">
        <f t="shared" si="26"/>
        <v>(含)-</v>
      </c>
      <c r="J115" s="469" t="str">
        <f t="shared" si="26"/>
        <v>(含)-</v>
      </c>
      <c r="K115" s="469" t="str">
        <f t="shared" si="26"/>
        <v>(含)-</v>
      </c>
      <c r="L115" s="469" t="str">
        <f t="shared" si="26"/>
        <v>(含)-</v>
      </c>
      <c r="M115" s="469" t="str">
        <f t="shared" si="26"/>
        <v>(含)-</v>
      </c>
      <c r="N115" s="2683"/>
      <c r="O115" s="2683"/>
      <c r="P115" s="2682"/>
      <c r="Q115" s="2670"/>
      <c r="R115" s="2649"/>
      <c r="S115" s="2649"/>
      <c r="T115" s="2649"/>
      <c r="U115" s="2649"/>
      <c r="V115" s="2649"/>
      <c r="W115" s="2649"/>
      <c r="X115" s="2649"/>
      <c r="Y115" s="2649"/>
      <c r="Z115" s="2649"/>
      <c r="AA115" s="2649"/>
      <c r="AB115" s="2649"/>
      <c r="AC115" s="2649"/>
    </row>
    <row r="116" spans="1:29" ht="15">
      <c r="A116" s="375"/>
      <c r="B116" s="485"/>
      <c r="C116" s="9">
        <v>0</v>
      </c>
      <c r="D116" s="9">
        <v>10000</v>
      </c>
      <c r="E116" s="9">
        <v>20000</v>
      </c>
      <c r="F116" s="9">
        <v>30000</v>
      </c>
      <c r="G116" s="9">
        <v>40000</v>
      </c>
      <c r="H116" s="9">
        <v>50000</v>
      </c>
      <c r="I116" s="9"/>
      <c r="J116" s="532"/>
      <c r="K116" s="532"/>
      <c r="L116" s="533"/>
      <c r="M116" s="534"/>
      <c r="N116" s="2683"/>
      <c r="O116" s="2683"/>
      <c r="P116" s="2682"/>
      <c r="Q116" s="2670"/>
      <c r="R116" s="2649"/>
      <c r="S116" s="2649"/>
      <c r="T116" s="2649"/>
      <c r="U116" s="2649"/>
      <c r="V116" s="2649"/>
      <c r="W116" s="2649"/>
      <c r="X116" s="2649"/>
      <c r="Y116" s="2649"/>
      <c r="Z116" s="2649"/>
      <c r="AA116" s="2649"/>
      <c r="AB116" s="2649"/>
      <c r="AC116" s="2649"/>
    </row>
    <row r="117" spans="1:29" ht="15.75" thickBot="1">
      <c r="A117" s="375"/>
      <c r="B117" s="482"/>
      <c r="C117" s="509">
        <v>100</v>
      </c>
      <c r="D117" s="529">
        <v>100.5</v>
      </c>
      <c r="E117" s="529">
        <v>101</v>
      </c>
      <c r="F117" s="529">
        <v>101.5</v>
      </c>
      <c r="G117" s="529">
        <v>102</v>
      </c>
      <c r="H117" s="529">
        <v>102.5</v>
      </c>
      <c r="I117" s="529"/>
      <c r="J117" s="529"/>
      <c r="K117" s="529"/>
      <c r="L117" s="529"/>
      <c r="M117" s="530"/>
      <c r="N117" s="2684"/>
      <c r="O117" s="2684"/>
      <c r="P117" s="2682"/>
      <c r="Q117" s="2670"/>
      <c r="R117" s="2649"/>
      <c r="S117" s="2649"/>
      <c r="T117" s="2649"/>
      <c r="U117" s="2649"/>
      <c r="V117" s="2649"/>
      <c r="W117" s="2649"/>
      <c r="X117" s="2649"/>
      <c r="Y117" s="2649"/>
      <c r="Z117" s="2649"/>
      <c r="AA117" s="2649"/>
      <c r="AB117" s="2649"/>
      <c r="AC117" s="2649"/>
    </row>
    <row r="118" spans="1:29" ht="15" thickTop="1">
      <c r="A118" s="417"/>
      <c r="B118" s="477" t="s">
        <v>2366</v>
      </c>
      <c r="C118" s="521" t="s">
        <v>3772</v>
      </c>
      <c r="D118" s="521" t="s">
        <v>3773</v>
      </c>
      <c r="E118" s="521" t="s">
        <v>3774</v>
      </c>
      <c r="F118" s="521" t="s">
        <v>3775</v>
      </c>
      <c r="G118" s="521" t="s">
        <v>3776</v>
      </c>
      <c r="H118" s="521"/>
      <c r="I118" s="521"/>
      <c r="J118" s="521"/>
      <c r="K118" s="522"/>
      <c r="L118" s="523"/>
      <c r="M118" s="524"/>
      <c r="N118" s="2683"/>
      <c r="O118" s="2683"/>
      <c r="P118" s="2682"/>
      <c r="Q118" s="2670"/>
      <c r="R118" s="2649"/>
      <c r="S118" s="2649"/>
      <c r="T118" s="2649"/>
      <c r="U118" s="2649"/>
      <c r="V118" s="2649"/>
      <c r="W118" s="2649"/>
      <c r="X118" s="2649"/>
      <c r="Y118" s="2649"/>
      <c r="Z118" s="2649"/>
      <c r="AA118" s="2649"/>
      <c r="AB118" s="2649"/>
      <c r="AC118" s="2649"/>
    </row>
    <row r="119" spans="1:29" ht="15.75" thickBot="1">
      <c r="A119" s="375"/>
      <c r="B119" s="482"/>
      <c r="C119" s="483">
        <v>100</v>
      </c>
      <c r="D119" s="483">
        <f t="shared" ref="D119:M119" si="27">C119-$K39</f>
        <v>99</v>
      </c>
      <c r="E119" s="483">
        <f t="shared" si="27"/>
        <v>98</v>
      </c>
      <c r="F119" s="483">
        <f t="shared" si="27"/>
        <v>97</v>
      </c>
      <c r="G119" s="483">
        <f t="shared" si="27"/>
        <v>96</v>
      </c>
      <c r="H119" s="483">
        <f t="shared" si="27"/>
        <v>95</v>
      </c>
      <c r="I119" s="483">
        <f t="shared" si="27"/>
        <v>94</v>
      </c>
      <c r="J119" s="483">
        <f t="shared" si="27"/>
        <v>93</v>
      </c>
      <c r="K119" s="483">
        <f t="shared" si="27"/>
        <v>92</v>
      </c>
      <c r="L119" s="483">
        <f t="shared" si="27"/>
        <v>91</v>
      </c>
      <c r="M119" s="484">
        <f t="shared" si="27"/>
        <v>90</v>
      </c>
      <c r="N119" s="2684"/>
      <c r="O119" s="2684"/>
      <c r="P119" s="2682"/>
      <c r="Q119" s="2670"/>
      <c r="R119" s="2649"/>
      <c r="S119" s="2649"/>
      <c r="T119" s="2649"/>
      <c r="U119" s="2649"/>
      <c r="V119" s="2649"/>
      <c r="W119" s="2649"/>
      <c r="X119" s="2649"/>
      <c r="Y119" s="2649"/>
      <c r="Z119" s="2649"/>
      <c r="AA119" s="2649"/>
      <c r="AB119" s="2649"/>
      <c r="AC119" s="2649"/>
    </row>
    <row r="120" spans="1:29" ht="15" thickTop="1">
      <c r="A120" s="417"/>
      <c r="B120" s="477" t="s">
        <v>2367</v>
      </c>
      <c r="C120" s="3115" t="s">
        <v>3777</v>
      </c>
      <c r="D120" s="493"/>
      <c r="E120" s="493"/>
      <c r="F120" s="521"/>
      <c r="G120" s="521"/>
      <c r="H120" s="521"/>
      <c r="I120" s="521"/>
      <c r="J120" s="521"/>
      <c r="K120" s="522"/>
      <c r="L120" s="523"/>
      <c r="M120" s="524"/>
      <c r="N120" s="2683"/>
      <c r="O120" s="2683"/>
      <c r="P120" s="2682"/>
      <c r="Q120" s="2670"/>
      <c r="R120" s="2649"/>
      <c r="S120" s="2649"/>
      <c r="T120" s="2649"/>
      <c r="U120" s="2649"/>
      <c r="V120" s="2649"/>
      <c r="W120" s="2649"/>
      <c r="X120" s="2649"/>
      <c r="Y120" s="2649"/>
      <c r="Z120" s="2649"/>
      <c r="AA120" s="2649"/>
      <c r="AB120" s="2649"/>
      <c r="AC120" s="2649"/>
    </row>
    <row r="121" spans="1:29" ht="15.75" thickBot="1">
      <c r="A121" s="375"/>
      <c r="B121" s="482"/>
      <c r="C121" s="483">
        <v>100</v>
      </c>
      <c r="D121" s="483">
        <f t="shared" ref="D121:M121" si="28">C121-$K40</f>
        <v>100</v>
      </c>
      <c r="E121" s="483">
        <f t="shared" si="28"/>
        <v>100</v>
      </c>
      <c r="F121" s="483">
        <f t="shared" si="28"/>
        <v>100</v>
      </c>
      <c r="G121" s="483">
        <f t="shared" si="28"/>
        <v>100</v>
      </c>
      <c r="H121" s="483">
        <f t="shared" si="28"/>
        <v>100</v>
      </c>
      <c r="I121" s="483">
        <f t="shared" si="28"/>
        <v>100</v>
      </c>
      <c r="J121" s="483">
        <f t="shared" si="28"/>
        <v>100</v>
      </c>
      <c r="K121" s="483">
        <f t="shared" si="28"/>
        <v>100</v>
      </c>
      <c r="L121" s="483">
        <f t="shared" si="28"/>
        <v>100</v>
      </c>
      <c r="M121" s="484">
        <f t="shared" si="28"/>
        <v>100</v>
      </c>
      <c r="N121" s="2684"/>
      <c r="O121" s="2684"/>
      <c r="P121" s="2682"/>
      <c r="Q121" s="2670"/>
      <c r="R121" s="2649"/>
      <c r="S121" s="2649"/>
      <c r="T121" s="2649"/>
      <c r="U121" s="2649"/>
      <c r="V121" s="2649"/>
      <c r="W121" s="2649"/>
      <c r="X121" s="2649"/>
      <c r="Y121" s="2649"/>
      <c r="Z121" s="2649"/>
      <c r="AA121" s="2649"/>
      <c r="AB121" s="2649"/>
      <c r="AC121" s="2649"/>
    </row>
    <row r="122" spans="1:29" s="416" customFormat="1" ht="15" thickTop="1">
      <c r="A122" s="414"/>
      <c r="B122" s="477" t="s">
        <v>2368</v>
      </c>
      <c r="C122" s="493" t="s">
        <v>3778</v>
      </c>
      <c r="D122" s="493" t="s">
        <v>3779</v>
      </c>
      <c r="E122" s="493" t="s">
        <v>3780</v>
      </c>
      <c r="F122" s="493" t="s">
        <v>3781</v>
      </c>
      <c r="G122" s="493" t="s">
        <v>3782</v>
      </c>
      <c r="H122" s="521"/>
      <c r="I122" s="521"/>
      <c r="J122" s="521"/>
      <c r="K122" s="522"/>
      <c r="L122" s="523"/>
      <c r="M122" s="524"/>
      <c r="N122" s="2685"/>
      <c r="O122" s="2685"/>
      <c r="P122" s="2685"/>
      <c r="Q122" s="2677"/>
      <c r="R122" s="2655"/>
      <c r="S122" s="2655"/>
      <c r="T122" s="2655"/>
      <c r="U122" s="2655"/>
      <c r="V122" s="2655"/>
      <c r="W122" s="2655"/>
      <c r="X122" s="2655"/>
      <c r="Y122" s="2655"/>
      <c r="Z122" s="2655"/>
      <c r="AA122" s="2655"/>
      <c r="AB122" s="2655"/>
      <c r="AC122" s="2655"/>
    </row>
    <row r="123" spans="1:29" s="416" customFormat="1" ht="15.75" thickBot="1">
      <c r="A123" s="492"/>
      <c r="B123" s="482"/>
      <c r="C123" s="483">
        <v>100</v>
      </c>
      <c r="D123" s="483">
        <f t="shared" ref="D123:M123" si="29">C123-$K41</f>
        <v>99</v>
      </c>
      <c r="E123" s="483">
        <f t="shared" si="29"/>
        <v>98</v>
      </c>
      <c r="F123" s="483">
        <f t="shared" si="29"/>
        <v>97</v>
      </c>
      <c r="G123" s="483">
        <f t="shared" si="29"/>
        <v>96</v>
      </c>
      <c r="H123" s="483">
        <f t="shared" si="29"/>
        <v>95</v>
      </c>
      <c r="I123" s="483">
        <f t="shared" si="29"/>
        <v>94</v>
      </c>
      <c r="J123" s="483">
        <f t="shared" si="29"/>
        <v>93</v>
      </c>
      <c r="K123" s="483">
        <f t="shared" si="29"/>
        <v>92</v>
      </c>
      <c r="L123" s="483">
        <f t="shared" si="29"/>
        <v>91</v>
      </c>
      <c r="M123" s="484">
        <f t="shared" si="29"/>
        <v>90</v>
      </c>
      <c r="N123" s="2685"/>
      <c r="O123" s="2685"/>
      <c r="P123" s="2685"/>
      <c r="Q123" s="2677"/>
      <c r="R123" s="2655"/>
      <c r="S123" s="2655"/>
      <c r="T123" s="2655"/>
      <c r="U123" s="2655"/>
      <c r="V123" s="2655"/>
      <c r="W123" s="2655"/>
      <c r="X123" s="2655"/>
      <c r="Y123" s="2655"/>
      <c r="Z123" s="2655"/>
      <c r="AA123" s="2655"/>
      <c r="AB123" s="2655"/>
      <c r="AC123" s="2655"/>
    </row>
    <row r="124" spans="1:29" ht="15" thickTop="1">
      <c r="A124" s="417"/>
      <c r="B124" s="477" t="s">
        <v>2369</v>
      </c>
      <c r="C124" s="493" t="s">
        <v>3783</v>
      </c>
      <c r="D124" s="493" t="s">
        <v>3784</v>
      </c>
      <c r="E124" s="521" t="s">
        <v>3774</v>
      </c>
      <c r="F124" s="521" t="s">
        <v>3785</v>
      </c>
      <c r="G124" s="521" t="s">
        <v>3786</v>
      </c>
      <c r="H124" s="521"/>
      <c r="I124" s="521"/>
      <c r="J124" s="521"/>
      <c r="K124" s="522"/>
      <c r="L124" s="523"/>
      <c r="M124" s="524"/>
      <c r="N124" s="2683"/>
      <c r="O124" s="2683"/>
      <c r="P124" s="2682"/>
      <c r="Q124" s="2670"/>
      <c r="R124" s="2649"/>
      <c r="S124" s="2649"/>
      <c r="T124" s="2649"/>
      <c r="U124" s="2649"/>
      <c r="V124" s="2649"/>
      <c r="W124" s="2649"/>
      <c r="X124" s="2649"/>
      <c r="Y124" s="2649"/>
      <c r="Z124" s="2649"/>
      <c r="AA124" s="2649"/>
      <c r="AB124" s="2649"/>
      <c r="AC124" s="2649"/>
    </row>
    <row r="125" spans="1:29" ht="15.75" thickBot="1">
      <c r="A125" s="375"/>
      <c r="B125" s="482"/>
      <c r="C125" s="483">
        <v>100</v>
      </c>
      <c r="D125" s="483">
        <f t="shared" ref="D125:M125" si="30">C125-$K42</f>
        <v>99</v>
      </c>
      <c r="E125" s="483">
        <f t="shared" si="30"/>
        <v>98</v>
      </c>
      <c r="F125" s="483">
        <f t="shared" si="30"/>
        <v>97</v>
      </c>
      <c r="G125" s="483">
        <f t="shared" si="30"/>
        <v>96</v>
      </c>
      <c r="H125" s="483">
        <f t="shared" si="30"/>
        <v>95</v>
      </c>
      <c r="I125" s="483">
        <f t="shared" si="30"/>
        <v>94</v>
      </c>
      <c r="J125" s="483">
        <f t="shared" si="30"/>
        <v>93</v>
      </c>
      <c r="K125" s="483">
        <f t="shared" si="30"/>
        <v>92</v>
      </c>
      <c r="L125" s="483">
        <f t="shared" si="30"/>
        <v>91</v>
      </c>
      <c r="M125" s="484">
        <f t="shared" si="30"/>
        <v>90</v>
      </c>
      <c r="N125" s="2684"/>
      <c r="O125" s="2684"/>
      <c r="P125" s="2682"/>
      <c r="Q125" s="2670"/>
      <c r="R125" s="2649"/>
      <c r="S125" s="2649"/>
      <c r="T125" s="2649"/>
      <c r="U125" s="2649"/>
      <c r="V125" s="2649"/>
      <c r="W125" s="2649"/>
      <c r="X125" s="2649"/>
      <c r="Y125" s="2649"/>
      <c r="Z125" s="2649"/>
      <c r="AA125" s="2649"/>
      <c r="AB125" s="2649"/>
      <c r="AC125" s="2649"/>
    </row>
    <row r="126" spans="1:29" ht="15" thickTop="1">
      <c r="A126" s="417"/>
      <c r="B126" s="477">
        <f>B43</f>
        <v>111</v>
      </c>
      <c r="C126" s="493"/>
      <c r="D126" s="493"/>
      <c r="E126" s="493"/>
      <c r="F126" s="493"/>
      <c r="G126" s="493"/>
      <c r="H126" s="521"/>
      <c r="I126" s="521"/>
      <c r="J126" s="521"/>
      <c r="K126" s="522"/>
      <c r="L126" s="523"/>
      <c r="M126" s="524"/>
      <c r="N126" s="2683"/>
      <c r="O126" s="2683"/>
      <c r="P126" s="2682"/>
      <c r="Q126" s="2670"/>
      <c r="R126" s="2649"/>
      <c r="S126" s="2649"/>
      <c r="T126" s="2649"/>
      <c r="U126" s="2649"/>
      <c r="V126" s="2649"/>
      <c r="W126" s="2649"/>
      <c r="X126" s="2649"/>
      <c r="Y126" s="2649"/>
      <c r="Z126" s="2649"/>
      <c r="AA126" s="2649"/>
      <c r="AB126" s="2649"/>
      <c r="AC126" s="2649"/>
    </row>
    <row r="127" spans="1:29" ht="15.75" thickBot="1">
      <c r="A127" s="375"/>
      <c r="B127" s="482"/>
      <c r="C127" s="499"/>
      <c r="D127" s="499"/>
      <c r="E127" s="499"/>
      <c r="F127" s="499"/>
      <c r="G127" s="475"/>
      <c r="H127" s="475"/>
      <c r="I127" s="475"/>
      <c r="J127" s="475"/>
      <c r="K127" s="475"/>
      <c r="L127" s="475"/>
      <c r="M127" s="476"/>
      <c r="N127" s="2684"/>
      <c r="O127" s="2684"/>
      <c r="P127" s="2682"/>
      <c r="Q127" s="2670"/>
      <c r="R127" s="2649"/>
      <c r="S127" s="2649"/>
      <c r="T127" s="2649"/>
      <c r="U127" s="2649"/>
      <c r="V127" s="2649"/>
      <c r="W127" s="2649"/>
      <c r="X127" s="2649"/>
      <c r="Y127" s="2649"/>
      <c r="Z127" s="2649"/>
      <c r="AA127" s="2649"/>
      <c r="AB127" s="2649"/>
      <c r="AC127" s="2649"/>
    </row>
    <row r="128" spans="1:29" ht="15" thickTop="1">
      <c r="A128" s="417"/>
      <c r="B128" s="477">
        <f>B44</f>
        <v>111</v>
      </c>
      <c r="C128" s="34"/>
      <c r="D128" s="34"/>
      <c r="E128" s="34"/>
      <c r="F128" s="34"/>
      <c r="G128" s="521"/>
      <c r="H128" s="521"/>
      <c r="I128" s="521"/>
      <c r="J128" s="521"/>
      <c r="K128" s="522"/>
      <c r="L128" s="523"/>
      <c r="M128" s="524"/>
      <c r="N128" s="2683"/>
      <c r="O128" s="2683"/>
      <c r="P128" s="2682"/>
      <c r="Q128" s="2670"/>
      <c r="R128" s="2649"/>
      <c r="S128" s="2649"/>
      <c r="T128" s="2649"/>
      <c r="U128" s="2649"/>
      <c r="V128" s="2649"/>
      <c r="W128" s="2649"/>
      <c r="X128" s="2649"/>
      <c r="Y128" s="2649"/>
      <c r="Z128" s="2649"/>
      <c r="AA128" s="2649"/>
      <c r="AB128" s="2649"/>
      <c r="AC128" s="2649"/>
    </row>
    <row r="129" spans="1:29" ht="15.75" thickBot="1">
      <c r="A129" s="375"/>
      <c r="B129" s="482"/>
      <c r="C129" s="509"/>
      <c r="D129" s="509"/>
      <c r="E129" s="509"/>
      <c r="F129" s="509"/>
      <c r="G129" s="475"/>
      <c r="H129" s="475"/>
      <c r="I129" s="475"/>
      <c r="J129" s="475"/>
      <c r="K129" s="475"/>
      <c r="L129" s="475"/>
      <c r="M129" s="476"/>
      <c r="N129" s="2684"/>
      <c r="O129" s="2684"/>
      <c r="P129" s="2682"/>
      <c r="Q129" s="2670"/>
      <c r="R129" s="2649"/>
      <c r="S129" s="2649"/>
      <c r="T129" s="2649"/>
      <c r="U129" s="2649"/>
      <c r="V129" s="2649"/>
      <c r="W129" s="2649"/>
      <c r="X129" s="2649"/>
      <c r="Y129" s="2649"/>
      <c r="Z129" s="2649"/>
      <c r="AA129" s="2649"/>
      <c r="AB129" s="2649"/>
      <c r="AC129" s="2649"/>
    </row>
    <row r="130" spans="1:29" s="416" customFormat="1" ht="15" thickTop="1">
      <c r="A130" s="414"/>
      <c r="B130" s="477">
        <f>B45</f>
        <v>111</v>
      </c>
      <c r="C130" s="34"/>
      <c r="D130" s="34"/>
      <c r="E130" s="34"/>
      <c r="F130" s="34"/>
      <c r="G130" s="494"/>
      <c r="H130" s="494"/>
      <c r="I130" s="494"/>
      <c r="J130" s="494"/>
      <c r="K130" s="494"/>
      <c r="L130" s="495"/>
      <c r="M130" s="496"/>
      <c r="N130" s="2685"/>
      <c r="O130" s="2685"/>
      <c r="P130" s="2685"/>
      <c r="Q130" s="2677"/>
      <c r="R130" s="2655"/>
      <c r="S130" s="2655"/>
      <c r="T130" s="2655"/>
      <c r="U130" s="2655"/>
      <c r="V130" s="2655"/>
      <c r="W130" s="2655"/>
      <c r="X130" s="2655"/>
      <c r="Y130" s="2655"/>
      <c r="Z130" s="2655"/>
      <c r="AA130" s="2655"/>
      <c r="AB130" s="2655"/>
      <c r="AC130" s="2655"/>
    </row>
    <row r="131" spans="1:29" s="416" customFormat="1" ht="15.75" thickBot="1">
      <c r="A131" s="507"/>
      <c r="B131" s="628"/>
      <c r="C131" s="509"/>
      <c r="D131" s="509"/>
      <c r="E131" s="509"/>
      <c r="F131" s="509"/>
      <c r="G131" s="529"/>
      <c r="H131" s="529"/>
      <c r="I131" s="529"/>
      <c r="J131" s="529"/>
      <c r="K131" s="529"/>
      <c r="L131" s="529"/>
      <c r="M131" s="530"/>
      <c r="N131" s="2685"/>
      <c r="O131" s="2685"/>
      <c r="P131" s="2685"/>
      <c r="Q131" s="2677"/>
      <c r="R131" s="2655"/>
      <c r="S131" s="2655"/>
      <c r="T131" s="2655"/>
      <c r="U131" s="2655"/>
      <c r="V131" s="2655"/>
      <c r="W131" s="2655"/>
      <c r="X131" s="2655"/>
      <c r="Y131" s="2655"/>
      <c r="Z131" s="2655"/>
      <c r="AA131" s="2655"/>
      <c r="AB131" s="2655"/>
      <c r="AC131" s="265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workbookViewId="0">
      <pane ySplit="1" topLeftCell="A2" activePane="bottomLeft" state="frozen"/>
      <selection pane="bottomLeft" activeCell="A24" sqref="A24"/>
    </sheetView>
  </sheetViews>
  <sheetFormatPr defaultColWidth="9" defaultRowHeight="12"/>
  <cols>
    <col min="1" max="1" width="28" style="3118" customWidth="1"/>
    <col min="2" max="2" width="7.5" style="3118" hidden="1" customWidth="1"/>
    <col min="3" max="3" width="8.625" style="3118" customWidth="1"/>
    <col min="4" max="4" width="9" style="3118" customWidth="1"/>
    <col min="5" max="5" width="17.75" style="3118" customWidth="1"/>
    <col min="6" max="6" width="10.25" style="3118" customWidth="1"/>
    <col min="7" max="7" width="9.75" style="3118" customWidth="1"/>
    <col min="8" max="8" width="20" style="3118" hidden="1" customWidth="1"/>
    <col min="9" max="9" width="11.5" style="3118" hidden="1" customWidth="1"/>
    <col min="10" max="10" width="6.875" style="3118" customWidth="1"/>
    <col min="11" max="11" width="20" style="3118" hidden="1" customWidth="1"/>
    <col min="12" max="12" width="10" style="3118" customWidth="1"/>
    <col min="13" max="13" width="12.25" style="3118" customWidth="1"/>
    <col min="14" max="14" width="20" style="3118" hidden="1" customWidth="1"/>
    <col min="15" max="15" width="14.25" style="3118" customWidth="1"/>
    <col min="16" max="16" width="20" style="3118" hidden="1" customWidth="1"/>
    <col min="17" max="17" width="8.375" style="3118" customWidth="1"/>
    <col min="18" max="18" width="12.25" style="3118" customWidth="1"/>
    <col min="19" max="19" width="13.25" style="3118" customWidth="1"/>
    <col min="20" max="20" width="10" style="3118" customWidth="1"/>
    <col min="21" max="21" width="11.625" style="3118" customWidth="1"/>
    <col min="22" max="22" width="11.375" style="3118" customWidth="1"/>
    <col min="23" max="23" width="10.25" style="3118" customWidth="1"/>
    <col min="24" max="24" width="20" style="3118" customWidth="1"/>
    <col min="25" max="16384" width="9" style="3118"/>
  </cols>
  <sheetData>
    <row r="1" spans="1:23">
      <c r="A1" s="3118" t="s">
        <v>3795</v>
      </c>
      <c r="B1" s="3118" t="s">
        <v>3796</v>
      </c>
      <c r="C1" s="3118" t="s">
        <v>3797</v>
      </c>
      <c r="D1" s="3118" t="s">
        <v>3798</v>
      </c>
      <c r="E1" s="3118" t="s">
        <v>3799</v>
      </c>
      <c r="F1" s="3118" t="s">
        <v>3800</v>
      </c>
      <c r="G1" s="3118" t="s">
        <v>3801</v>
      </c>
      <c r="H1" s="3118" t="s">
        <v>3802</v>
      </c>
      <c r="I1" s="3118" t="s">
        <v>3803</v>
      </c>
      <c r="J1" s="3118" t="s">
        <v>3804</v>
      </c>
      <c r="K1" s="3118" t="s">
        <v>3805</v>
      </c>
      <c r="L1" s="3118" t="s">
        <v>3806</v>
      </c>
      <c r="M1" s="3118" t="s">
        <v>3807</v>
      </c>
      <c r="N1" s="3118" t="s">
        <v>3808</v>
      </c>
      <c r="O1" s="3118" t="s">
        <v>3809</v>
      </c>
      <c r="P1" s="3118" t="s">
        <v>3810</v>
      </c>
      <c r="Q1" s="3118" t="s">
        <v>3811</v>
      </c>
      <c r="R1" s="3118" t="s">
        <v>3812</v>
      </c>
      <c r="S1" s="3118" t="s">
        <v>3813</v>
      </c>
      <c r="T1" s="3118" t="s">
        <v>3814</v>
      </c>
      <c r="U1" s="3118" t="s">
        <v>3815</v>
      </c>
      <c r="V1" s="3118" t="s">
        <v>3816</v>
      </c>
      <c r="W1" s="3118" t="s">
        <v>3817</v>
      </c>
    </row>
    <row r="2" spans="1:23" hidden="1">
      <c r="A2" s="3118" t="s">
        <v>3818</v>
      </c>
      <c r="B2" s="3118" t="s">
        <v>3719</v>
      </c>
      <c r="C2" s="3118" t="s">
        <v>3819</v>
      </c>
      <c r="D2" s="3118" t="s">
        <v>3820</v>
      </c>
      <c r="E2" s="3118">
        <v>32733.22</v>
      </c>
      <c r="F2" s="3118">
        <v>72013.08</v>
      </c>
      <c r="G2" s="3118">
        <v>2.2000000000000002</v>
      </c>
      <c r="H2" s="3118" t="s">
        <v>3821</v>
      </c>
      <c r="I2" s="3118" t="s">
        <v>3822</v>
      </c>
      <c r="J2" s="3118" t="s">
        <v>3823</v>
      </c>
      <c r="K2" s="3118" t="s">
        <v>3824</v>
      </c>
      <c r="L2" s="3118" t="s">
        <v>3825</v>
      </c>
      <c r="M2" s="3119">
        <v>44865.000497685185</v>
      </c>
      <c r="N2" s="3118" t="s">
        <v>3826</v>
      </c>
      <c r="O2" s="3118" t="s">
        <v>3827</v>
      </c>
      <c r="P2" s="3118" t="s">
        <v>3828</v>
      </c>
      <c r="Q2" s="3118">
        <v>149000</v>
      </c>
      <c r="R2" s="3118">
        <v>3034.63</v>
      </c>
      <c r="S2" s="3118">
        <v>20691</v>
      </c>
      <c r="T2" s="3118">
        <v>0</v>
      </c>
      <c r="U2" s="3118" t="s">
        <v>3829</v>
      </c>
      <c r="V2" s="3118" t="s">
        <v>3824</v>
      </c>
      <c r="W2" s="3118" t="s">
        <v>3824</v>
      </c>
    </row>
    <row r="3" spans="1:23" hidden="1">
      <c r="A3" s="3118" t="s">
        <v>3830</v>
      </c>
      <c r="B3" s="3118" t="s">
        <v>3719</v>
      </c>
      <c r="C3" s="3118" t="s">
        <v>3831</v>
      </c>
      <c r="D3" s="3118" t="s">
        <v>3820</v>
      </c>
      <c r="E3" s="3118">
        <v>29506.55</v>
      </c>
      <c r="F3" s="3118">
        <v>64914.41</v>
      </c>
      <c r="G3" s="3118">
        <v>2.2000000000000002</v>
      </c>
      <c r="H3" s="3118" t="s">
        <v>3821</v>
      </c>
      <c r="I3" s="3118" t="s">
        <v>3822</v>
      </c>
      <c r="J3" s="3118" t="s">
        <v>3823</v>
      </c>
      <c r="K3" s="3118" t="s">
        <v>3824</v>
      </c>
      <c r="L3" s="3118" t="s">
        <v>3825</v>
      </c>
      <c r="M3" s="3119">
        <v>44865.000497685185</v>
      </c>
      <c r="N3" s="3118" t="s">
        <v>3826</v>
      </c>
      <c r="O3" s="3118" t="s">
        <v>3832</v>
      </c>
      <c r="P3" s="3118" t="s">
        <v>3828</v>
      </c>
      <c r="Q3" s="3118">
        <v>135000</v>
      </c>
      <c r="R3" s="3118">
        <v>3050.17</v>
      </c>
      <c r="S3" s="3118">
        <v>20797</v>
      </c>
      <c r="T3" s="3118">
        <v>0</v>
      </c>
      <c r="U3" s="3118" t="s">
        <v>3829</v>
      </c>
      <c r="V3" s="3118" t="s">
        <v>3824</v>
      </c>
      <c r="W3" s="3118" t="s">
        <v>3824</v>
      </c>
    </row>
    <row r="4" spans="1:23" s="3120" customFormat="1">
      <c r="A4" s="3120" t="s">
        <v>3833</v>
      </c>
      <c r="B4" s="3120" t="s">
        <v>3719</v>
      </c>
      <c r="C4" s="3120" t="s">
        <v>3834</v>
      </c>
      <c r="D4" s="3120" t="s">
        <v>3820</v>
      </c>
      <c r="E4" s="3120">
        <v>12629.88</v>
      </c>
      <c r="F4" s="3120">
        <v>80000</v>
      </c>
      <c r="G4" s="3120" t="s">
        <v>3835</v>
      </c>
      <c r="H4" s="3120" t="s">
        <v>3821</v>
      </c>
      <c r="I4" s="3120" t="s">
        <v>3836</v>
      </c>
      <c r="J4" s="3120" t="s">
        <v>3823</v>
      </c>
      <c r="K4" s="3120" t="s">
        <v>3824</v>
      </c>
      <c r="L4" s="3120" t="s">
        <v>3825</v>
      </c>
      <c r="M4" s="3121">
        <v>44798.000497685185</v>
      </c>
      <c r="N4" s="3120" t="s">
        <v>3826</v>
      </c>
      <c r="O4" s="3120" t="s">
        <v>3837</v>
      </c>
      <c r="P4" s="3120" t="s">
        <v>3838</v>
      </c>
      <c r="Q4" s="3120">
        <v>166000</v>
      </c>
      <c r="R4" s="3120">
        <v>8762.2900000000009</v>
      </c>
      <c r="S4" s="3120">
        <v>20750</v>
      </c>
      <c r="T4" s="3120">
        <v>0</v>
      </c>
      <c r="U4" s="3120" t="s">
        <v>3829</v>
      </c>
      <c r="V4" s="3120" t="s">
        <v>3824</v>
      </c>
      <c r="W4" s="3120" t="s">
        <v>3824</v>
      </c>
    </row>
    <row r="5" spans="1:23" hidden="1">
      <c r="A5" s="3118" t="s">
        <v>3839</v>
      </c>
      <c r="B5" s="3118" t="s">
        <v>3719</v>
      </c>
      <c r="C5" s="3118" t="s">
        <v>3840</v>
      </c>
      <c r="D5" s="3118" t="s">
        <v>3820</v>
      </c>
      <c r="E5" s="3118">
        <v>10000</v>
      </c>
      <c r="F5" s="3118">
        <v>22000</v>
      </c>
      <c r="G5" s="3118" t="s">
        <v>3841</v>
      </c>
      <c r="H5" s="3118" t="s">
        <v>3821</v>
      </c>
      <c r="I5" s="3118" t="s">
        <v>3822</v>
      </c>
      <c r="J5" s="3118" t="s">
        <v>3823</v>
      </c>
      <c r="K5" s="3118" t="s">
        <v>3824</v>
      </c>
      <c r="L5" s="3118" t="s">
        <v>3825</v>
      </c>
      <c r="M5" s="3119">
        <v>44795.000497685185</v>
      </c>
      <c r="N5" s="3118" t="s">
        <v>3826</v>
      </c>
      <c r="O5" s="3118" t="s">
        <v>3842</v>
      </c>
      <c r="P5" s="3118" t="s">
        <v>3843</v>
      </c>
      <c r="Q5" s="3118">
        <v>36400</v>
      </c>
      <c r="R5" s="3118">
        <v>2426.67</v>
      </c>
      <c r="S5" s="3118">
        <v>16545</v>
      </c>
      <c r="T5" s="3118">
        <v>0</v>
      </c>
      <c r="U5" s="3118" t="s">
        <v>3844</v>
      </c>
      <c r="V5" s="3118" t="s">
        <v>3824</v>
      </c>
      <c r="W5" s="3118" t="s">
        <v>3824</v>
      </c>
    </row>
    <row r="6" spans="1:23" hidden="1">
      <c r="A6" s="3118" t="s">
        <v>3845</v>
      </c>
      <c r="B6" s="3118" t="s">
        <v>3719</v>
      </c>
      <c r="C6" s="3118" t="s">
        <v>3846</v>
      </c>
      <c r="D6" s="3118" t="s">
        <v>3820</v>
      </c>
      <c r="E6" s="3118">
        <v>5500</v>
      </c>
      <c r="F6" s="3118">
        <v>12100</v>
      </c>
      <c r="G6" s="3118" t="s">
        <v>3841</v>
      </c>
      <c r="H6" s="3118" t="s">
        <v>3821</v>
      </c>
      <c r="I6" s="3118" t="s">
        <v>3822</v>
      </c>
      <c r="J6" s="3118" t="s">
        <v>3823</v>
      </c>
      <c r="K6" s="3118" t="s">
        <v>3824</v>
      </c>
      <c r="L6" s="3118" t="s">
        <v>3825</v>
      </c>
      <c r="M6" s="3119">
        <v>44796.000497685185</v>
      </c>
      <c r="N6" s="3118" t="s">
        <v>3826</v>
      </c>
      <c r="O6" s="3118" t="s">
        <v>3847</v>
      </c>
      <c r="P6" s="3118" t="s">
        <v>3825</v>
      </c>
      <c r="Q6" s="3118">
        <v>20000</v>
      </c>
      <c r="R6" s="3118">
        <v>2424.2399999999998</v>
      </c>
      <c r="S6" s="3118">
        <v>16529</v>
      </c>
      <c r="T6" s="3118">
        <v>0</v>
      </c>
      <c r="U6" s="3118" t="s">
        <v>3844</v>
      </c>
      <c r="V6" s="3118" t="s">
        <v>3824</v>
      </c>
      <c r="W6" s="3118" t="s">
        <v>3824</v>
      </c>
    </row>
    <row r="7" spans="1:23" hidden="1">
      <c r="A7" s="3118" t="s">
        <v>3848</v>
      </c>
      <c r="B7" s="3118" t="s">
        <v>3719</v>
      </c>
      <c r="C7" s="3118" t="s">
        <v>3849</v>
      </c>
      <c r="D7" s="3118" t="s">
        <v>3820</v>
      </c>
      <c r="E7" s="3118">
        <v>16122.82</v>
      </c>
      <c r="F7" s="3118">
        <v>45143.91</v>
      </c>
      <c r="G7" s="3118" t="s">
        <v>3850</v>
      </c>
      <c r="H7" s="3118" t="s">
        <v>3821</v>
      </c>
      <c r="I7" s="3118" t="s">
        <v>3822</v>
      </c>
      <c r="J7" s="3118" t="s">
        <v>3823</v>
      </c>
      <c r="K7" s="3118" t="s">
        <v>3824</v>
      </c>
      <c r="L7" s="3118" t="s">
        <v>3851</v>
      </c>
      <c r="M7" s="3119">
        <v>44761.000497685185</v>
      </c>
      <c r="N7" s="3118" t="s">
        <v>3826</v>
      </c>
      <c r="O7" s="3118" t="s">
        <v>3852</v>
      </c>
      <c r="P7" s="3118" t="s">
        <v>3853</v>
      </c>
      <c r="Q7" s="3118">
        <v>76000</v>
      </c>
      <c r="R7" s="3118">
        <v>3142.54</v>
      </c>
      <c r="S7" s="3118">
        <v>16835</v>
      </c>
      <c r="T7" s="3118">
        <v>0</v>
      </c>
      <c r="U7" s="3118" t="s">
        <v>3854</v>
      </c>
      <c r="V7" s="3118" t="s">
        <v>3824</v>
      </c>
      <c r="W7" s="3118" t="s">
        <v>3824</v>
      </c>
    </row>
    <row r="8" spans="1:23" hidden="1">
      <c r="A8" s="3118" t="s">
        <v>3855</v>
      </c>
      <c r="B8" s="3118" t="s">
        <v>3719</v>
      </c>
      <c r="C8" s="3118" t="s">
        <v>3856</v>
      </c>
      <c r="D8" s="3118" t="s">
        <v>3820</v>
      </c>
      <c r="E8" s="3118">
        <v>17308.8</v>
      </c>
      <c r="F8" s="3118">
        <v>86544</v>
      </c>
      <c r="G8" s="3118" t="s">
        <v>3857</v>
      </c>
      <c r="H8" s="3118" t="s">
        <v>3821</v>
      </c>
      <c r="I8" s="3118" t="s">
        <v>3822</v>
      </c>
      <c r="J8" s="3118" t="s">
        <v>3823</v>
      </c>
      <c r="K8" s="3118" t="s">
        <v>3824</v>
      </c>
      <c r="L8" s="3118" t="s">
        <v>3851</v>
      </c>
      <c r="M8" s="3119">
        <v>44735.000497685185</v>
      </c>
      <c r="N8" s="3118" t="s">
        <v>3826</v>
      </c>
      <c r="O8" s="3118" t="s">
        <v>3858</v>
      </c>
      <c r="P8" s="3118" t="s">
        <v>3859</v>
      </c>
      <c r="Q8" s="3118">
        <v>91400</v>
      </c>
      <c r="R8" s="3118">
        <v>3520.37</v>
      </c>
      <c r="S8" s="3118">
        <v>10561</v>
      </c>
      <c r="T8" s="3118">
        <v>0</v>
      </c>
      <c r="U8" s="3118" t="s">
        <v>3860</v>
      </c>
      <c r="V8" s="3118" t="s">
        <v>3824</v>
      </c>
      <c r="W8" s="3118" t="s">
        <v>3824</v>
      </c>
    </row>
    <row r="9" spans="1:23" hidden="1">
      <c r="A9" s="3118" t="s">
        <v>3861</v>
      </c>
      <c r="B9" s="3118" t="s">
        <v>3719</v>
      </c>
      <c r="C9" s="3118" t="s">
        <v>3862</v>
      </c>
      <c r="D9" s="3118" t="s">
        <v>3820</v>
      </c>
      <c r="E9" s="3118">
        <v>59169.74</v>
      </c>
      <c r="F9" s="3118">
        <v>130173.43</v>
      </c>
      <c r="G9" s="3118" t="s">
        <v>3841</v>
      </c>
      <c r="H9" s="3118" t="s">
        <v>3821</v>
      </c>
      <c r="I9" s="3118" t="s">
        <v>3822</v>
      </c>
      <c r="J9" s="3118" t="s">
        <v>3823</v>
      </c>
      <c r="K9" s="3118" t="s">
        <v>3824</v>
      </c>
      <c r="L9" s="3118" t="s">
        <v>3825</v>
      </c>
      <c r="M9" s="3119">
        <v>44680.000497685185</v>
      </c>
      <c r="N9" s="3118" t="s">
        <v>3826</v>
      </c>
      <c r="O9" s="3118" t="s">
        <v>3863</v>
      </c>
      <c r="P9" s="3118" t="s">
        <v>3864</v>
      </c>
      <c r="Q9" s="3118">
        <v>131600</v>
      </c>
      <c r="R9" s="3118">
        <v>1482.74</v>
      </c>
      <c r="S9" s="3118">
        <v>10110</v>
      </c>
      <c r="T9" s="3118">
        <v>0</v>
      </c>
      <c r="U9" s="3118" t="s">
        <v>3829</v>
      </c>
      <c r="V9" s="3118" t="s">
        <v>3824</v>
      </c>
      <c r="W9" s="3118" t="s">
        <v>3824</v>
      </c>
    </row>
    <row r="10" spans="1:23" hidden="1">
      <c r="A10" s="3118" t="s">
        <v>3865</v>
      </c>
      <c r="B10" s="3118" t="s">
        <v>3719</v>
      </c>
      <c r="C10" s="3118" t="s">
        <v>3866</v>
      </c>
      <c r="D10" s="3118" t="s">
        <v>3820</v>
      </c>
      <c r="E10" s="3118">
        <v>12066.9</v>
      </c>
      <c r="F10" s="3118">
        <v>18100.349999999999</v>
      </c>
      <c r="G10" s="3118">
        <v>1.5</v>
      </c>
      <c r="H10" s="3118" t="s">
        <v>3821</v>
      </c>
      <c r="I10" s="3118" t="s">
        <v>3836</v>
      </c>
      <c r="J10" s="3118" t="s">
        <v>3823</v>
      </c>
      <c r="K10" s="3118" t="s">
        <v>3824</v>
      </c>
      <c r="L10" s="3118" t="s">
        <v>3825</v>
      </c>
      <c r="M10" s="3119">
        <v>44621.000497685185</v>
      </c>
      <c r="N10" s="3118" t="s">
        <v>3826</v>
      </c>
      <c r="O10" s="3118" t="s">
        <v>3863</v>
      </c>
      <c r="P10" s="3118" t="s">
        <v>3825</v>
      </c>
      <c r="Q10" s="3118">
        <v>9400</v>
      </c>
      <c r="R10" s="3118">
        <v>519.33000000000004</v>
      </c>
      <c r="S10" s="3118">
        <v>5193</v>
      </c>
      <c r="T10" s="3118">
        <v>0</v>
      </c>
      <c r="U10" s="3118" t="s">
        <v>3867</v>
      </c>
      <c r="V10" s="3118" t="s">
        <v>3824</v>
      </c>
      <c r="W10" s="3118" t="s">
        <v>3824</v>
      </c>
    </row>
    <row r="11" spans="1:23" hidden="1">
      <c r="A11" s="3118" t="s">
        <v>3868</v>
      </c>
      <c r="B11" s="3118" t="s">
        <v>3719</v>
      </c>
      <c r="C11" s="3118" t="s">
        <v>3869</v>
      </c>
      <c r="D11" s="3118" t="s">
        <v>3820</v>
      </c>
      <c r="E11" s="3118">
        <v>15178.6</v>
      </c>
      <c r="F11" s="3118">
        <v>45535.8</v>
      </c>
      <c r="G11" s="3118">
        <v>3</v>
      </c>
      <c r="H11" s="3118" t="s">
        <v>3821</v>
      </c>
      <c r="I11" s="3118" t="s">
        <v>3822</v>
      </c>
      <c r="J11" s="3118" t="s">
        <v>3823</v>
      </c>
      <c r="K11" s="3118" t="s">
        <v>3824</v>
      </c>
      <c r="L11" s="3118" t="s">
        <v>3825</v>
      </c>
      <c r="M11" s="3119">
        <v>44600.000497685185</v>
      </c>
      <c r="N11" s="3118" t="s">
        <v>3826</v>
      </c>
      <c r="O11" s="3118" t="s">
        <v>3870</v>
      </c>
      <c r="P11" s="3118" t="s">
        <v>3871</v>
      </c>
      <c r="Q11" s="3118">
        <v>58400</v>
      </c>
      <c r="R11" s="3118">
        <v>2565.0100000000002</v>
      </c>
      <c r="S11" s="3118">
        <v>12825</v>
      </c>
      <c r="T11" s="3118">
        <v>0</v>
      </c>
      <c r="U11" s="3118" t="s">
        <v>3844</v>
      </c>
      <c r="V11" s="3118" t="s">
        <v>3824</v>
      </c>
      <c r="W11" s="3118" t="s">
        <v>3824</v>
      </c>
    </row>
    <row r="12" spans="1:23" hidden="1">
      <c r="A12" s="3118" t="s">
        <v>3872</v>
      </c>
      <c r="B12" s="3118" t="s">
        <v>3719</v>
      </c>
      <c r="C12" s="3118" t="s">
        <v>3873</v>
      </c>
      <c r="D12" s="3118" t="s">
        <v>3820</v>
      </c>
      <c r="E12" s="3118">
        <v>29991.73</v>
      </c>
      <c r="F12" s="3118">
        <v>119966.93</v>
      </c>
      <c r="G12" s="3118">
        <v>4</v>
      </c>
      <c r="H12" s="3118" t="s">
        <v>3821</v>
      </c>
      <c r="I12" s="3118" t="s">
        <v>3822</v>
      </c>
      <c r="J12" s="3118" t="s">
        <v>3823</v>
      </c>
      <c r="K12" s="3118" t="s">
        <v>3824</v>
      </c>
      <c r="L12" s="3118" t="s">
        <v>3825</v>
      </c>
      <c r="M12" s="3119">
        <v>44566.000497685185</v>
      </c>
      <c r="N12" s="3118" t="s">
        <v>3826</v>
      </c>
      <c r="O12" s="3118" t="s">
        <v>3874</v>
      </c>
      <c r="P12" s="3118" t="s">
        <v>3825</v>
      </c>
      <c r="Q12" s="3118">
        <v>165300</v>
      </c>
      <c r="R12" s="3118">
        <v>3674.35</v>
      </c>
      <c r="S12" s="3118">
        <v>13779</v>
      </c>
      <c r="T12" s="3118">
        <v>0</v>
      </c>
      <c r="U12" s="3118" t="s">
        <v>3875</v>
      </c>
      <c r="V12" s="3118" t="s">
        <v>3824</v>
      </c>
      <c r="W12" s="3118" t="s">
        <v>3824</v>
      </c>
    </row>
    <row r="13" spans="1:23" hidden="1">
      <c r="A13" s="3118" t="s">
        <v>3876</v>
      </c>
      <c r="B13" s="3118" t="s">
        <v>3719</v>
      </c>
      <c r="C13" s="3118" t="s">
        <v>3877</v>
      </c>
      <c r="D13" s="3118" t="s">
        <v>3820</v>
      </c>
      <c r="E13" s="3118">
        <v>15197.52</v>
      </c>
      <c r="F13" s="3118">
        <v>30395.05</v>
      </c>
      <c r="G13" s="3118">
        <v>2</v>
      </c>
      <c r="H13" s="3118" t="s">
        <v>3821</v>
      </c>
      <c r="I13" s="3118" t="s">
        <v>3878</v>
      </c>
      <c r="J13" s="3118" t="s">
        <v>3879</v>
      </c>
      <c r="K13" s="3118" t="s">
        <v>3824</v>
      </c>
      <c r="L13" s="3118" t="s">
        <v>3825</v>
      </c>
      <c r="M13" s="3119">
        <v>44554.000497685185</v>
      </c>
      <c r="N13" s="3118" t="s">
        <v>3826</v>
      </c>
      <c r="O13" s="3118" t="s">
        <v>3880</v>
      </c>
      <c r="P13" s="3118" t="s">
        <v>3881</v>
      </c>
      <c r="Q13" s="3118">
        <v>42600</v>
      </c>
      <c r="R13" s="3118">
        <v>1868.73</v>
      </c>
      <c r="S13" s="3118">
        <v>14015</v>
      </c>
      <c r="T13" s="3118">
        <v>0</v>
      </c>
      <c r="U13" s="3118" t="s">
        <v>3844</v>
      </c>
      <c r="V13" s="3118" t="s">
        <v>3824</v>
      </c>
      <c r="W13" s="3118" t="s">
        <v>3824</v>
      </c>
    </row>
    <row r="14" spans="1:23" hidden="1">
      <c r="A14" s="3118" t="s">
        <v>3882</v>
      </c>
      <c r="B14" s="3118" t="s">
        <v>3719</v>
      </c>
      <c r="C14" s="3118" t="s">
        <v>3883</v>
      </c>
      <c r="D14" s="3118" t="s">
        <v>3820</v>
      </c>
      <c r="E14" s="3118">
        <v>38252.550000000003</v>
      </c>
      <c r="F14" s="3118">
        <v>84155.61</v>
      </c>
      <c r="G14" s="3118">
        <v>2.2000000000000002</v>
      </c>
      <c r="H14" s="3118" t="s">
        <v>3821</v>
      </c>
      <c r="I14" s="3118" t="s">
        <v>3822</v>
      </c>
      <c r="J14" s="3118" t="s">
        <v>3823</v>
      </c>
      <c r="K14" s="3118" t="s">
        <v>3824</v>
      </c>
      <c r="L14" s="3118" t="s">
        <v>3825</v>
      </c>
      <c r="M14" s="3119">
        <v>44495.000497685185</v>
      </c>
      <c r="N14" s="3118" t="s">
        <v>3826</v>
      </c>
      <c r="O14" s="3118" t="s">
        <v>3884</v>
      </c>
      <c r="P14" s="3118" t="s">
        <v>3825</v>
      </c>
      <c r="Q14" s="3118">
        <v>175000</v>
      </c>
      <c r="R14" s="3118">
        <v>3049.91</v>
      </c>
      <c r="S14" s="3118">
        <v>20795</v>
      </c>
      <c r="T14" s="3118">
        <v>0</v>
      </c>
      <c r="U14" s="3118" t="s">
        <v>3875</v>
      </c>
      <c r="V14" s="3118" t="s">
        <v>3824</v>
      </c>
      <c r="W14" s="3118" t="s">
        <v>3824</v>
      </c>
    </row>
    <row r="15" spans="1:23" hidden="1">
      <c r="A15" s="3118" t="s">
        <v>3885</v>
      </c>
      <c r="B15" s="3118" t="s">
        <v>3719</v>
      </c>
      <c r="C15" s="3118" t="s">
        <v>3886</v>
      </c>
      <c r="D15" s="3118" t="s">
        <v>3820</v>
      </c>
      <c r="E15" s="3118">
        <v>30025.18</v>
      </c>
      <c r="F15" s="3118">
        <v>66055.39</v>
      </c>
      <c r="G15" s="3118">
        <v>2.2000000000000002</v>
      </c>
      <c r="H15" s="3118" t="s">
        <v>3821</v>
      </c>
      <c r="I15" s="3118" t="s">
        <v>3822</v>
      </c>
      <c r="J15" s="3118" t="s">
        <v>3823</v>
      </c>
      <c r="K15" s="3118" t="s">
        <v>3824</v>
      </c>
      <c r="L15" s="3118" t="s">
        <v>3825</v>
      </c>
      <c r="M15" s="3119">
        <v>44495.000497685185</v>
      </c>
      <c r="N15" s="3118" t="s">
        <v>3826</v>
      </c>
      <c r="O15" s="3118" t="s">
        <v>3887</v>
      </c>
      <c r="P15" s="3118" t="s">
        <v>3825</v>
      </c>
      <c r="Q15" s="3118">
        <v>137000</v>
      </c>
      <c r="R15" s="3118">
        <v>3041.89</v>
      </c>
      <c r="S15" s="3118">
        <v>20740</v>
      </c>
      <c r="T15" s="3118">
        <v>0</v>
      </c>
      <c r="U15" s="3118" t="s">
        <v>3875</v>
      </c>
      <c r="V15" s="3118" t="s">
        <v>3824</v>
      </c>
      <c r="W15" s="3118" t="s">
        <v>3824</v>
      </c>
    </row>
    <row r="16" spans="1:23" hidden="1">
      <c r="A16" s="3118" t="s">
        <v>3888</v>
      </c>
      <c r="B16" s="3118" t="s">
        <v>3719</v>
      </c>
      <c r="C16" s="3118" t="s">
        <v>3889</v>
      </c>
      <c r="D16" s="3118" t="s">
        <v>3820</v>
      </c>
      <c r="E16" s="3118">
        <v>204418.11</v>
      </c>
      <c r="F16" s="3118">
        <v>302000</v>
      </c>
      <c r="G16" s="3118">
        <v>1.5</v>
      </c>
      <c r="H16" s="3118" t="s">
        <v>3821</v>
      </c>
      <c r="I16" s="3118" t="s">
        <v>3822</v>
      </c>
      <c r="J16" s="3118" t="s">
        <v>3823</v>
      </c>
      <c r="K16" s="3118" t="s">
        <v>3824</v>
      </c>
      <c r="L16" s="3118" t="s">
        <v>3825</v>
      </c>
      <c r="M16" s="3119">
        <v>44495.000497685185</v>
      </c>
      <c r="N16" s="3118" t="s">
        <v>3826</v>
      </c>
      <c r="O16" s="3118" t="s">
        <v>3890</v>
      </c>
      <c r="P16" s="3118" t="s">
        <v>3891</v>
      </c>
      <c r="Q16" s="3118">
        <v>506700</v>
      </c>
      <c r="R16" s="3118">
        <v>1652.5</v>
      </c>
      <c r="S16" s="3118">
        <v>16778</v>
      </c>
      <c r="T16" s="3118">
        <v>0</v>
      </c>
      <c r="U16" s="3118" t="s">
        <v>3875</v>
      </c>
      <c r="V16" s="3118" t="s">
        <v>3824</v>
      </c>
      <c r="W16" s="3118" t="s">
        <v>3824</v>
      </c>
    </row>
    <row r="17" spans="1:23" s="3120" customFormat="1">
      <c r="A17" s="3120" t="s">
        <v>3892</v>
      </c>
      <c r="B17" s="3120" t="s">
        <v>3719</v>
      </c>
      <c r="C17" s="3120" t="s">
        <v>3893</v>
      </c>
      <c r="D17" s="3120" t="s">
        <v>3820</v>
      </c>
      <c r="E17" s="3120">
        <v>12136.3</v>
      </c>
      <c r="F17" s="3120">
        <v>42477</v>
      </c>
      <c r="G17" s="3120">
        <v>3.5</v>
      </c>
      <c r="H17" s="3120" t="s">
        <v>3821</v>
      </c>
      <c r="I17" s="3120" t="s">
        <v>3836</v>
      </c>
      <c r="J17" s="3120" t="s">
        <v>3823</v>
      </c>
      <c r="K17" s="3120" t="s">
        <v>3824</v>
      </c>
      <c r="L17" s="3120" t="s">
        <v>3825</v>
      </c>
      <c r="M17" s="3121">
        <v>44495.000497685185</v>
      </c>
      <c r="N17" s="3120" t="s">
        <v>3826</v>
      </c>
      <c r="O17" s="3120" t="s">
        <v>3894</v>
      </c>
      <c r="P17" s="3120" t="s">
        <v>3895</v>
      </c>
      <c r="Q17" s="3120">
        <v>71000</v>
      </c>
      <c r="R17" s="3120">
        <v>3900.15</v>
      </c>
      <c r="S17" s="3120">
        <v>16715</v>
      </c>
      <c r="T17" s="3120">
        <v>0</v>
      </c>
      <c r="U17" s="3120" t="s">
        <v>3875</v>
      </c>
      <c r="V17" s="3120" t="s">
        <v>3824</v>
      </c>
      <c r="W17" s="3120" t="s">
        <v>3824</v>
      </c>
    </row>
    <row r="18" spans="1:23" s="3120" customFormat="1">
      <c r="A18" s="3120" t="s">
        <v>3896</v>
      </c>
      <c r="B18" s="3120" t="s">
        <v>3719</v>
      </c>
      <c r="C18" s="3120" t="s">
        <v>3897</v>
      </c>
      <c r="D18" s="3120" t="s">
        <v>3820</v>
      </c>
      <c r="E18" s="3120">
        <v>5907.54</v>
      </c>
      <c r="F18" s="3120">
        <v>21900</v>
      </c>
      <c r="G18" s="3120">
        <v>3.71</v>
      </c>
      <c r="H18" s="3120" t="s">
        <v>3821</v>
      </c>
      <c r="I18" s="3120" t="s">
        <v>3898</v>
      </c>
      <c r="J18" s="3120" t="s">
        <v>3823</v>
      </c>
      <c r="K18" s="3120" t="s">
        <v>3824</v>
      </c>
      <c r="L18" s="3120" t="s">
        <v>3825</v>
      </c>
      <c r="M18" s="3121">
        <v>44495.000497685185</v>
      </c>
      <c r="N18" s="3120" t="s">
        <v>3826</v>
      </c>
      <c r="O18" s="3120" t="s">
        <v>3899</v>
      </c>
      <c r="P18" s="3120" t="s">
        <v>3825</v>
      </c>
      <c r="Q18" s="3120">
        <v>46000</v>
      </c>
      <c r="R18" s="3120">
        <v>5191.1099999999997</v>
      </c>
      <c r="S18" s="3120">
        <v>21005</v>
      </c>
      <c r="T18" s="3120">
        <v>0</v>
      </c>
      <c r="U18" s="3120" t="s">
        <v>3875</v>
      </c>
      <c r="V18" s="3120" t="s">
        <v>3824</v>
      </c>
      <c r="W18" s="3120" t="s">
        <v>3824</v>
      </c>
    </row>
    <row r="19" spans="1:23">
      <c r="A19" s="3118" t="s">
        <v>3900</v>
      </c>
      <c r="B19" s="3118" t="s">
        <v>3719</v>
      </c>
      <c r="C19" s="3118" t="s">
        <v>3901</v>
      </c>
      <c r="D19" s="3118" t="s">
        <v>3820</v>
      </c>
      <c r="E19" s="3118">
        <v>25121.77</v>
      </c>
      <c r="F19" s="3118">
        <v>55267.89</v>
      </c>
      <c r="G19" s="3118">
        <v>2.2000000000000002</v>
      </c>
      <c r="H19" s="3118" t="s">
        <v>3821</v>
      </c>
      <c r="I19" s="3118" t="s">
        <v>3822</v>
      </c>
      <c r="J19" s="3118" t="s">
        <v>3823</v>
      </c>
      <c r="K19" s="3118" t="s">
        <v>3824</v>
      </c>
      <c r="L19" s="3118" t="s">
        <v>3825</v>
      </c>
      <c r="M19" s="3119">
        <v>44495.000497685185</v>
      </c>
      <c r="N19" s="3118" t="s">
        <v>3826</v>
      </c>
      <c r="O19" s="3118" t="s">
        <v>3902</v>
      </c>
      <c r="P19" s="3118" t="s">
        <v>3825</v>
      </c>
      <c r="Q19" s="3118">
        <v>115000</v>
      </c>
      <c r="R19" s="3118">
        <v>3051.8</v>
      </c>
      <c r="S19" s="3118">
        <v>20808</v>
      </c>
      <c r="T19" s="3118">
        <v>0</v>
      </c>
      <c r="U19" s="3118" t="s">
        <v>3875</v>
      </c>
      <c r="V19" s="3118" t="s">
        <v>3824</v>
      </c>
      <c r="W19" s="3118" t="s">
        <v>3824</v>
      </c>
    </row>
    <row r="20" spans="1:23">
      <c r="A20" s="3118" t="s">
        <v>3903</v>
      </c>
      <c r="B20" s="3118" t="s">
        <v>3719</v>
      </c>
      <c r="C20" s="3118" t="s">
        <v>3904</v>
      </c>
      <c r="D20" s="3118" t="s">
        <v>3820</v>
      </c>
      <c r="E20" s="3118">
        <v>17147.95</v>
      </c>
      <c r="F20" s="3118">
        <v>53158.65</v>
      </c>
      <c r="G20" s="3118" t="s">
        <v>3905</v>
      </c>
      <c r="H20" s="3118" t="s">
        <v>3821</v>
      </c>
      <c r="I20" s="3118" t="s">
        <v>3906</v>
      </c>
      <c r="J20" s="3118" t="s">
        <v>3823</v>
      </c>
      <c r="K20" s="3118" t="s">
        <v>3824</v>
      </c>
      <c r="L20" s="3118" t="s">
        <v>3825</v>
      </c>
      <c r="M20" s="3119">
        <v>44335.000497685185</v>
      </c>
      <c r="N20" s="3118" t="s">
        <v>3826</v>
      </c>
      <c r="O20" s="3118" t="s">
        <v>3907</v>
      </c>
      <c r="P20" s="3118" t="s">
        <v>3908</v>
      </c>
      <c r="Q20" s="3118">
        <v>69200</v>
      </c>
      <c r="R20" s="3118">
        <v>2690.31</v>
      </c>
      <c r="S20" s="3118">
        <v>13018</v>
      </c>
      <c r="T20" s="3118">
        <v>0</v>
      </c>
      <c r="U20" s="3118" t="s">
        <v>3909</v>
      </c>
      <c r="V20" s="3118" t="s">
        <v>3824</v>
      </c>
      <c r="W20" s="3118" t="s">
        <v>3824</v>
      </c>
    </row>
    <row r="21" spans="1:23">
      <c r="A21" s="3118" t="s">
        <v>3910</v>
      </c>
      <c r="B21" s="3118" t="s">
        <v>3719</v>
      </c>
      <c r="C21" s="3118" t="s">
        <v>3911</v>
      </c>
      <c r="D21" s="3118" t="s">
        <v>3820</v>
      </c>
      <c r="E21" s="3118">
        <v>22058.78</v>
      </c>
      <c r="F21" s="3118">
        <v>47390</v>
      </c>
      <c r="G21" s="3118" t="s">
        <v>3912</v>
      </c>
      <c r="H21" s="3118" t="s">
        <v>3821</v>
      </c>
      <c r="I21" s="3118" t="s">
        <v>3822</v>
      </c>
      <c r="J21" s="3118" t="s">
        <v>3823</v>
      </c>
      <c r="K21" s="3118" t="s">
        <v>3824</v>
      </c>
      <c r="L21" s="3118" t="s">
        <v>3825</v>
      </c>
      <c r="M21" s="3119">
        <v>44234.000497685185</v>
      </c>
      <c r="N21" s="3118" t="s">
        <v>3826</v>
      </c>
      <c r="O21" s="3118" t="s">
        <v>3913</v>
      </c>
      <c r="P21" s="3118" t="s">
        <v>3914</v>
      </c>
      <c r="Q21" s="3118">
        <v>32700</v>
      </c>
      <c r="R21" s="3118">
        <v>988.27</v>
      </c>
      <c r="S21" s="3118">
        <v>6900</v>
      </c>
      <c r="T21" s="3118">
        <v>0</v>
      </c>
      <c r="U21" s="3118" t="s">
        <v>3909</v>
      </c>
      <c r="V21" s="3118" t="s">
        <v>3824</v>
      </c>
      <c r="W21" s="3118" t="s">
        <v>3824</v>
      </c>
    </row>
    <row r="22" spans="1:23">
      <c r="A22" s="3118" t="s">
        <v>3915</v>
      </c>
      <c r="B22" s="3118" t="s">
        <v>3719</v>
      </c>
      <c r="C22" s="3118" t="s">
        <v>3916</v>
      </c>
      <c r="D22" s="3118" t="s">
        <v>3820</v>
      </c>
      <c r="E22" s="3118">
        <v>25224.15</v>
      </c>
      <c r="F22" s="3118">
        <v>75672.45</v>
      </c>
      <c r="G22" s="3118" t="s">
        <v>3917</v>
      </c>
      <c r="H22" s="3118" t="s">
        <v>3821</v>
      </c>
      <c r="I22" s="3118" t="s">
        <v>3822</v>
      </c>
      <c r="J22" s="3118" t="s">
        <v>3823</v>
      </c>
      <c r="K22" s="3118" t="s">
        <v>3824</v>
      </c>
      <c r="L22" s="3118" t="s">
        <v>3825</v>
      </c>
      <c r="M22" s="3119">
        <v>44193.000497685185</v>
      </c>
      <c r="N22" s="3118" t="s">
        <v>3826</v>
      </c>
      <c r="O22" s="3118" t="s">
        <v>3918</v>
      </c>
      <c r="P22" s="3118" t="s">
        <v>3908</v>
      </c>
      <c r="Q22" s="3118">
        <v>60800</v>
      </c>
      <c r="R22" s="3118">
        <v>1606.93</v>
      </c>
      <c r="S22" s="3118">
        <v>8035</v>
      </c>
      <c r="T22" s="3118">
        <v>0</v>
      </c>
      <c r="U22" s="3118" t="s">
        <v>3844</v>
      </c>
      <c r="V22" s="3118" t="s">
        <v>3824</v>
      </c>
      <c r="W22" s="3118" t="s">
        <v>3824</v>
      </c>
    </row>
    <row r="23" spans="1:23">
      <c r="A23" s="3118" t="s">
        <v>3919</v>
      </c>
      <c r="B23" s="3118" t="s">
        <v>3719</v>
      </c>
      <c r="C23" s="3118" t="s">
        <v>3920</v>
      </c>
      <c r="D23" s="3118" t="s">
        <v>3820</v>
      </c>
      <c r="E23" s="3118">
        <v>28676.63</v>
      </c>
      <c r="F23" s="3118">
        <v>114706.51</v>
      </c>
      <c r="G23" s="3118" t="s">
        <v>3921</v>
      </c>
      <c r="H23" s="3118" t="s">
        <v>3821</v>
      </c>
      <c r="I23" s="3118" t="s">
        <v>3922</v>
      </c>
      <c r="J23" s="3118" t="s">
        <v>3823</v>
      </c>
      <c r="K23" s="3118" t="s">
        <v>3824</v>
      </c>
      <c r="L23" s="3118" t="s">
        <v>3825</v>
      </c>
      <c r="M23" s="3119">
        <v>44179.000497685185</v>
      </c>
      <c r="N23" s="3118" t="s">
        <v>3826</v>
      </c>
      <c r="O23" s="3118" t="s">
        <v>3923</v>
      </c>
      <c r="P23" s="3118" t="s">
        <v>3924</v>
      </c>
      <c r="Q23" s="3118">
        <v>175500</v>
      </c>
      <c r="R23" s="3118">
        <v>4079.98</v>
      </c>
      <c r="S23" s="3118">
        <v>15300</v>
      </c>
      <c r="T23" s="3118">
        <v>0</v>
      </c>
      <c r="U23" s="3118" t="s">
        <v>3844</v>
      </c>
      <c r="V23" s="3118" t="s">
        <v>3824</v>
      </c>
      <c r="W23" s="3118" t="s">
        <v>3824</v>
      </c>
    </row>
    <row r="24" spans="1:23">
      <c r="A24" s="3118" t="s">
        <v>3925</v>
      </c>
      <c r="B24" s="3118" t="s">
        <v>3719</v>
      </c>
      <c r="C24" s="3118" t="s">
        <v>3926</v>
      </c>
      <c r="D24" s="3118" t="s">
        <v>3820</v>
      </c>
      <c r="E24" s="3118">
        <v>51788.13</v>
      </c>
      <c r="F24" s="3118">
        <v>184800</v>
      </c>
      <c r="G24" s="3118" t="s">
        <v>3927</v>
      </c>
      <c r="H24" s="3118" t="s">
        <v>3821</v>
      </c>
      <c r="I24" s="3118" t="s">
        <v>3836</v>
      </c>
      <c r="J24" s="3118" t="s">
        <v>3823</v>
      </c>
      <c r="K24" s="3118" t="s">
        <v>3824</v>
      </c>
      <c r="L24" s="3118" t="s">
        <v>3825</v>
      </c>
      <c r="M24" s="3119">
        <v>44167.000497685185</v>
      </c>
      <c r="N24" s="3118" t="s">
        <v>3826</v>
      </c>
      <c r="O24" s="3118" t="s">
        <v>3928</v>
      </c>
      <c r="P24" s="3118" t="s">
        <v>3929</v>
      </c>
      <c r="Q24" s="3118">
        <v>579500</v>
      </c>
      <c r="R24" s="3118">
        <v>7459.88</v>
      </c>
      <c r="S24" s="3118">
        <v>31358</v>
      </c>
      <c r="T24" s="3118">
        <v>1.58</v>
      </c>
      <c r="U24" s="3118" t="s">
        <v>3844</v>
      </c>
      <c r="V24" s="3118" t="s">
        <v>3824</v>
      </c>
      <c r="W24" s="3118" t="s">
        <v>3824</v>
      </c>
    </row>
    <row r="25" spans="1:23">
      <c r="A25" s="3118" t="s">
        <v>3930</v>
      </c>
      <c r="B25" s="3118" t="s">
        <v>3719</v>
      </c>
      <c r="C25" s="3118" t="s">
        <v>3931</v>
      </c>
      <c r="D25" s="3118" t="s">
        <v>3820</v>
      </c>
      <c r="E25" s="3118">
        <v>265269.8</v>
      </c>
      <c r="F25" s="3118">
        <v>665975.69999999995</v>
      </c>
      <c r="G25" s="3118" t="s">
        <v>3932</v>
      </c>
      <c r="H25" s="3118" t="s">
        <v>3821</v>
      </c>
      <c r="I25" s="3118" t="s">
        <v>3822</v>
      </c>
      <c r="J25" s="3118" t="s">
        <v>3823</v>
      </c>
      <c r="K25" s="3118" t="s">
        <v>3824</v>
      </c>
      <c r="L25" s="3118" t="s">
        <v>3825</v>
      </c>
      <c r="M25" s="3119">
        <v>44046.000497685185</v>
      </c>
      <c r="N25" s="3118" t="s">
        <v>3826</v>
      </c>
      <c r="O25" s="3118" t="s">
        <v>3933</v>
      </c>
      <c r="P25" s="3118" t="s">
        <v>3934</v>
      </c>
      <c r="Q25" s="3118">
        <v>699300</v>
      </c>
      <c r="R25" s="3118">
        <v>1757.46</v>
      </c>
      <c r="S25" s="3118">
        <v>10500</v>
      </c>
      <c r="T25" s="3118">
        <v>0</v>
      </c>
      <c r="U25" s="3118" t="s">
        <v>3844</v>
      </c>
      <c r="V25" s="3118" t="s">
        <v>3824</v>
      </c>
      <c r="W25" s="3118" t="s">
        <v>3824</v>
      </c>
    </row>
    <row r="26" spans="1:23">
      <c r="A26" s="3118" t="s">
        <v>3935</v>
      </c>
      <c r="B26" s="3118" t="s">
        <v>3719</v>
      </c>
      <c r="C26" s="3118" t="s">
        <v>3936</v>
      </c>
      <c r="D26" s="3118" t="s">
        <v>3820</v>
      </c>
      <c r="E26" s="3118">
        <v>7289.19</v>
      </c>
      <c r="F26" s="3118">
        <v>21867.57</v>
      </c>
      <c r="G26" s="3118" t="s">
        <v>3917</v>
      </c>
      <c r="H26" s="3118" t="s">
        <v>3821</v>
      </c>
      <c r="I26" s="3118" t="s">
        <v>3937</v>
      </c>
      <c r="J26" s="3118" t="s">
        <v>3823</v>
      </c>
      <c r="K26" s="3118" t="s">
        <v>3824</v>
      </c>
      <c r="L26" s="3118" t="s">
        <v>3825</v>
      </c>
      <c r="M26" s="3119">
        <v>43923.000497685185</v>
      </c>
      <c r="N26" s="3118" t="s">
        <v>3826</v>
      </c>
      <c r="O26" s="3118" t="s">
        <v>3938</v>
      </c>
      <c r="P26" s="3118" t="s">
        <v>3939</v>
      </c>
      <c r="Q26" s="3118">
        <v>35200</v>
      </c>
      <c r="R26" s="3118">
        <v>3219.38</v>
      </c>
      <c r="S26" s="3118">
        <v>16097</v>
      </c>
      <c r="T26" s="3118">
        <v>0</v>
      </c>
      <c r="U26" s="3118" t="s">
        <v>3844</v>
      </c>
      <c r="V26" s="3118" t="s">
        <v>3824</v>
      </c>
      <c r="W26" s="3118" t="s">
        <v>3824</v>
      </c>
    </row>
    <row r="27" spans="1:23">
      <c r="A27" s="3118" t="s">
        <v>3940</v>
      </c>
      <c r="B27" s="3118" t="s">
        <v>3719</v>
      </c>
      <c r="C27" s="3118" t="s">
        <v>3941</v>
      </c>
      <c r="D27" s="3118" t="s">
        <v>3820</v>
      </c>
      <c r="E27" s="3118">
        <v>12501.51</v>
      </c>
      <c r="F27" s="3118">
        <v>37505</v>
      </c>
      <c r="G27" s="3118" t="s">
        <v>3917</v>
      </c>
      <c r="H27" s="3118" t="s">
        <v>3821</v>
      </c>
      <c r="I27" s="3118" t="s">
        <v>3822</v>
      </c>
      <c r="J27" s="3118" t="s">
        <v>3823</v>
      </c>
      <c r="K27" s="3118" t="s">
        <v>3824</v>
      </c>
      <c r="L27" s="3118" t="s">
        <v>3825</v>
      </c>
      <c r="M27" s="3119">
        <v>43923.000497685185</v>
      </c>
      <c r="N27" s="3118" t="s">
        <v>3826</v>
      </c>
      <c r="O27" s="3118" t="s">
        <v>3942</v>
      </c>
      <c r="P27" s="3118" t="s">
        <v>3943</v>
      </c>
      <c r="Q27" s="3118">
        <v>56000</v>
      </c>
      <c r="R27" s="3118">
        <v>2986.31</v>
      </c>
      <c r="S27" s="3118">
        <v>14931</v>
      </c>
      <c r="T27" s="3118">
        <v>0</v>
      </c>
      <c r="U27" s="3118" t="s">
        <v>3844</v>
      </c>
      <c r="V27" s="3118" t="s">
        <v>3824</v>
      </c>
      <c r="W27" s="3118" t="s">
        <v>3824</v>
      </c>
    </row>
    <row r="28" spans="1:23">
      <c r="A28" s="3118" t="s">
        <v>3944</v>
      </c>
      <c r="B28" s="3118" t="s">
        <v>3719</v>
      </c>
      <c r="C28" s="3118" t="s">
        <v>3945</v>
      </c>
      <c r="D28" s="3118" t="s">
        <v>3820</v>
      </c>
      <c r="E28" s="3118">
        <v>30159.25</v>
      </c>
      <c r="F28" s="3118">
        <v>138421</v>
      </c>
      <c r="G28" s="3118" t="s">
        <v>3946</v>
      </c>
      <c r="H28" s="3118" t="s">
        <v>3821</v>
      </c>
      <c r="I28" s="3118" t="s">
        <v>3836</v>
      </c>
      <c r="J28" s="3118" t="s">
        <v>3823</v>
      </c>
      <c r="K28" s="3118" t="s">
        <v>3824</v>
      </c>
      <c r="L28" s="3118" t="s">
        <v>3825</v>
      </c>
      <c r="M28" s="3119">
        <v>43811.000497685185</v>
      </c>
      <c r="N28" s="3118" t="s">
        <v>3826</v>
      </c>
      <c r="O28" s="3118" t="s">
        <v>3947</v>
      </c>
      <c r="P28" s="3118" t="s">
        <v>3948</v>
      </c>
      <c r="Q28" s="3118">
        <v>230100</v>
      </c>
      <c r="R28" s="3118">
        <v>5086.33</v>
      </c>
      <c r="S28" s="3118">
        <v>16623</v>
      </c>
      <c r="T28" s="3118">
        <v>0</v>
      </c>
      <c r="U28" s="3118" t="s">
        <v>3844</v>
      </c>
      <c r="V28" s="3118" t="s">
        <v>3824</v>
      </c>
      <c r="W28" s="3118" t="s">
        <v>3824</v>
      </c>
    </row>
    <row r="29" spans="1:23">
      <c r="A29" s="3118" t="s">
        <v>3949</v>
      </c>
      <c r="B29" s="3118" t="s">
        <v>3719</v>
      </c>
      <c r="C29" s="3118" t="s">
        <v>3950</v>
      </c>
      <c r="D29" s="3118" t="s">
        <v>3820</v>
      </c>
      <c r="E29" s="3118">
        <v>35629.120000000003</v>
      </c>
      <c r="F29" s="3118">
        <v>100429</v>
      </c>
      <c r="G29" s="3118" t="s">
        <v>3951</v>
      </c>
      <c r="H29" s="3118" t="s">
        <v>3821</v>
      </c>
      <c r="I29" s="3118" t="s">
        <v>3952</v>
      </c>
      <c r="J29" s="3118" t="s">
        <v>3823</v>
      </c>
      <c r="K29" s="3118" t="s">
        <v>3824</v>
      </c>
      <c r="L29" s="3118" t="s">
        <v>3825</v>
      </c>
      <c r="M29" s="3119">
        <v>43811.000497685185</v>
      </c>
      <c r="N29" s="3118" t="s">
        <v>3826</v>
      </c>
      <c r="O29" s="3118" t="s">
        <v>3947</v>
      </c>
      <c r="P29" s="3118" t="s">
        <v>3948</v>
      </c>
      <c r="Q29" s="3118">
        <v>166700</v>
      </c>
      <c r="R29" s="3118">
        <v>3119.17</v>
      </c>
      <c r="S29" s="3118">
        <v>16599</v>
      </c>
      <c r="T29" s="3118">
        <v>0</v>
      </c>
      <c r="U29" s="3118" t="s">
        <v>3844</v>
      </c>
      <c r="V29" s="3118" t="s">
        <v>3824</v>
      </c>
      <c r="W29" s="3118" t="s">
        <v>3824</v>
      </c>
    </row>
    <row r="30" spans="1:23">
      <c r="A30" s="3118" t="s">
        <v>3953</v>
      </c>
      <c r="B30" s="3118" t="s">
        <v>3719</v>
      </c>
      <c r="C30" s="3118" t="s">
        <v>3954</v>
      </c>
      <c r="D30" s="3118" t="s">
        <v>3820</v>
      </c>
      <c r="E30" s="3118">
        <v>70601.070000000007</v>
      </c>
      <c r="F30" s="3118">
        <v>285523</v>
      </c>
      <c r="G30" s="3118" t="s">
        <v>3955</v>
      </c>
      <c r="H30" s="3118" t="s">
        <v>3956</v>
      </c>
      <c r="I30" s="3118" t="s">
        <v>3957</v>
      </c>
      <c r="J30" s="3118" t="s">
        <v>3823</v>
      </c>
      <c r="K30" s="3118" t="s">
        <v>3824</v>
      </c>
      <c r="L30" s="3118" t="s">
        <v>3825</v>
      </c>
      <c r="M30" s="3119">
        <v>43801.000497685185</v>
      </c>
      <c r="N30" s="3118" t="s">
        <v>3826</v>
      </c>
      <c r="O30" s="3118" t="s">
        <v>3958</v>
      </c>
      <c r="P30" s="3118" t="s">
        <v>3959</v>
      </c>
      <c r="Q30" s="3118">
        <v>660900</v>
      </c>
      <c r="R30" s="3118">
        <v>6240.7</v>
      </c>
      <c r="S30" s="3118">
        <v>23147</v>
      </c>
      <c r="T30" s="3118">
        <v>0</v>
      </c>
      <c r="U30" s="3118" t="s">
        <v>3844</v>
      </c>
      <c r="V30" s="3118" t="s">
        <v>3824</v>
      </c>
      <c r="W30" s="3118" t="s">
        <v>3824</v>
      </c>
    </row>
    <row r="31" spans="1:23">
      <c r="A31" s="3118" t="s">
        <v>3960</v>
      </c>
      <c r="B31" s="3118" t="s">
        <v>3719</v>
      </c>
      <c r="C31" s="3118" t="s">
        <v>3961</v>
      </c>
      <c r="D31" s="3118" t="s">
        <v>3820</v>
      </c>
      <c r="E31" s="3118">
        <v>28003.32</v>
      </c>
      <c r="F31" s="3118">
        <v>70008</v>
      </c>
      <c r="G31" s="3118" t="s">
        <v>3962</v>
      </c>
      <c r="H31" s="3118" t="s">
        <v>3821</v>
      </c>
      <c r="I31" s="3118" t="s">
        <v>3822</v>
      </c>
      <c r="J31" s="3118" t="s">
        <v>3823</v>
      </c>
      <c r="K31" s="3118" t="s">
        <v>3824</v>
      </c>
      <c r="L31" s="3118" t="s">
        <v>3825</v>
      </c>
      <c r="M31" s="3119">
        <v>43755.000497685185</v>
      </c>
      <c r="N31" s="3118" t="s">
        <v>3826</v>
      </c>
      <c r="O31" s="3118" t="s">
        <v>3963</v>
      </c>
      <c r="P31" s="3118" t="s">
        <v>3964</v>
      </c>
      <c r="Q31" s="3118">
        <v>97800</v>
      </c>
      <c r="R31" s="3118">
        <v>2328.3000000000002</v>
      </c>
      <c r="S31" s="3118">
        <v>13970</v>
      </c>
      <c r="T31" s="3118">
        <v>1.03</v>
      </c>
      <c r="U31" s="3118" t="s">
        <v>3829</v>
      </c>
      <c r="V31" s="3118" t="s">
        <v>3824</v>
      </c>
      <c r="W31" s="3118" t="s">
        <v>3824</v>
      </c>
    </row>
    <row r="32" spans="1:23">
      <c r="A32" s="3118" t="s">
        <v>3965</v>
      </c>
      <c r="B32" s="3118" t="s">
        <v>3719</v>
      </c>
      <c r="C32" s="3118" t="s">
        <v>3966</v>
      </c>
      <c r="D32" s="3118" t="s">
        <v>3820</v>
      </c>
      <c r="E32" s="3118">
        <v>42276.47</v>
      </c>
      <c r="F32" s="3118">
        <v>84552.93</v>
      </c>
      <c r="G32" s="3118" t="s">
        <v>3967</v>
      </c>
      <c r="H32" s="3118" t="s">
        <v>3821</v>
      </c>
      <c r="I32" s="3118" t="s">
        <v>3836</v>
      </c>
      <c r="J32" s="3118" t="s">
        <v>3823</v>
      </c>
      <c r="K32" s="3118" t="s">
        <v>3824</v>
      </c>
      <c r="L32" s="3118" t="s">
        <v>3825</v>
      </c>
      <c r="M32" s="3119">
        <v>43706.000497685185</v>
      </c>
      <c r="N32" s="3118" t="s">
        <v>3826</v>
      </c>
      <c r="O32" s="3118" t="s">
        <v>3968</v>
      </c>
      <c r="P32" s="3118" t="s">
        <v>3969</v>
      </c>
      <c r="Q32" s="3118">
        <v>96500</v>
      </c>
      <c r="R32" s="3118">
        <v>1521.73</v>
      </c>
      <c r="S32" s="3118">
        <v>11413</v>
      </c>
      <c r="T32" s="3118">
        <v>1.58</v>
      </c>
      <c r="U32" s="3118" t="s">
        <v>3970</v>
      </c>
      <c r="V32" s="3118" t="s">
        <v>3824</v>
      </c>
      <c r="W32" s="3118" t="s">
        <v>3824</v>
      </c>
    </row>
    <row r="33" spans="1:23">
      <c r="A33" s="3118" t="s">
        <v>3971</v>
      </c>
      <c r="B33" s="3118" t="s">
        <v>3719</v>
      </c>
      <c r="C33" s="3118" t="s">
        <v>3972</v>
      </c>
      <c r="D33" s="3118" t="s">
        <v>3820</v>
      </c>
      <c r="E33" s="3118">
        <v>22035.93</v>
      </c>
      <c r="F33" s="3118">
        <v>61700.6</v>
      </c>
      <c r="G33" s="3118" t="s">
        <v>3850</v>
      </c>
      <c r="H33" s="3118" t="s">
        <v>3821</v>
      </c>
      <c r="I33" s="3118" t="s">
        <v>3836</v>
      </c>
      <c r="J33" s="3118" t="s">
        <v>3823</v>
      </c>
      <c r="K33" s="3118" t="s">
        <v>3824</v>
      </c>
      <c r="L33" s="3118" t="s">
        <v>3825</v>
      </c>
      <c r="M33" s="3119">
        <v>43650.000497685185</v>
      </c>
      <c r="N33" s="3118" t="s">
        <v>3826</v>
      </c>
      <c r="O33" s="3118" t="s">
        <v>3973</v>
      </c>
      <c r="P33" s="3118" t="s">
        <v>3974</v>
      </c>
      <c r="Q33" s="3118">
        <v>103700</v>
      </c>
      <c r="R33" s="3118">
        <v>3137.3</v>
      </c>
      <c r="S33" s="3118">
        <v>16807</v>
      </c>
      <c r="T33" s="3118">
        <v>0</v>
      </c>
      <c r="U33" s="3118" t="s">
        <v>3844</v>
      </c>
      <c r="V33" s="3118" t="s">
        <v>3824</v>
      </c>
      <c r="W33" s="3118" t="s">
        <v>3824</v>
      </c>
    </row>
    <row r="34" spans="1:23">
      <c r="A34" s="3118" t="s">
        <v>3975</v>
      </c>
      <c r="B34" s="3118" t="s">
        <v>3719</v>
      </c>
      <c r="C34" s="3118" t="s">
        <v>3976</v>
      </c>
      <c r="D34" s="3118" t="s">
        <v>3820</v>
      </c>
      <c r="E34" s="3118">
        <v>32158.94</v>
      </c>
      <c r="F34" s="3118">
        <v>96476.82</v>
      </c>
      <c r="G34" s="3118" t="s">
        <v>3917</v>
      </c>
      <c r="H34" s="3118" t="s">
        <v>3821</v>
      </c>
      <c r="I34" s="3118" t="s">
        <v>3922</v>
      </c>
      <c r="J34" s="3118" t="s">
        <v>3823</v>
      </c>
      <c r="K34" s="3118" t="s">
        <v>3824</v>
      </c>
      <c r="L34" s="3118" t="s">
        <v>3825</v>
      </c>
      <c r="M34" s="3119">
        <v>43613.000497685185</v>
      </c>
      <c r="N34" s="3118" t="s">
        <v>3826</v>
      </c>
      <c r="O34" s="3118" t="s">
        <v>3977</v>
      </c>
      <c r="P34" s="3118" t="s">
        <v>3828</v>
      </c>
      <c r="Q34" s="3118">
        <v>263800</v>
      </c>
      <c r="R34" s="3118">
        <v>5468.67</v>
      </c>
      <c r="S34" s="3118">
        <v>27343</v>
      </c>
      <c r="T34" s="3118">
        <v>0</v>
      </c>
      <c r="U34" s="3118" t="s">
        <v>3844</v>
      </c>
      <c r="V34" s="3118" t="s">
        <v>3824</v>
      </c>
      <c r="W34" s="3118" t="s">
        <v>3824</v>
      </c>
    </row>
    <row r="35" spans="1:23">
      <c r="A35" s="3118" t="s">
        <v>3978</v>
      </c>
      <c r="B35" s="3118" t="s">
        <v>3719</v>
      </c>
      <c r="C35" s="3118" t="s">
        <v>3979</v>
      </c>
      <c r="D35" s="3118" t="s">
        <v>3820</v>
      </c>
      <c r="E35" s="3118">
        <v>51736.9</v>
      </c>
      <c r="F35" s="3118">
        <v>81600.05</v>
      </c>
      <c r="G35" s="3118" t="s">
        <v>3980</v>
      </c>
      <c r="H35" s="3118" t="s">
        <v>3821</v>
      </c>
      <c r="I35" s="3118" t="s">
        <v>3822</v>
      </c>
      <c r="J35" s="3118" t="s">
        <v>3823</v>
      </c>
      <c r="K35" s="3118" t="s">
        <v>3824</v>
      </c>
      <c r="L35" s="3118" t="s">
        <v>3825</v>
      </c>
      <c r="M35" s="3119">
        <v>43613.000497685185</v>
      </c>
      <c r="N35" s="3118" t="s">
        <v>3826</v>
      </c>
      <c r="O35" s="3118" t="s">
        <v>3981</v>
      </c>
      <c r="P35" s="3118" t="s">
        <v>3982</v>
      </c>
      <c r="Q35" s="3118">
        <v>150000</v>
      </c>
      <c r="R35" s="3118">
        <v>1932.86</v>
      </c>
      <c r="S35" s="3118">
        <v>18382</v>
      </c>
      <c r="T35" s="3118">
        <v>0</v>
      </c>
      <c r="U35" s="3118" t="s">
        <v>3844</v>
      </c>
      <c r="V35" s="3118" t="s">
        <v>3824</v>
      </c>
      <c r="W35" s="3118" t="s">
        <v>3824</v>
      </c>
    </row>
    <row r="36" spans="1:23">
      <c r="A36" s="3118" t="s">
        <v>3983</v>
      </c>
      <c r="B36" s="3118" t="s">
        <v>3719</v>
      </c>
      <c r="C36" s="3118" t="s">
        <v>3984</v>
      </c>
      <c r="D36" s="3118" t="s">
        <v>3820</v>
      </c>
      <c r="E36" s="3118">
        <v>28622.32</v>
      </c>
      <c r="F36" s="3118">
        <v>71556</v>
      </c>
      <c r="G36" s="3118">
        <v>2.5</v>
      </c>
      <c r="H36" s="3118" t="s">
        <v>3821</v>
      </c>
      <c r="I36" s="3118" t="s">
        <v>3836</v>
      </c>
      <c r="J36" s="3118" t="s">
        <v>3823</v>
      </c>
      <c r="K36" s="3118" t="s">
        <v>3824</v>
      </c>
      <c r="L36" s="3118" t="s">
        <v>3851</v>
      </c>
      <c r="M36" s="3119">
        <v>43430.000497685185</v>
      </c>
      <c r="N36" s="3118" t="s">
        <v>3826</v>
      </c>
      <c r="O36" s="3118" t="s">
        <v>3985</v>
      </c>
      <c r="P36" s="3118" t="s">
        <v>3986</v>
      </c>
      <c r="Q36" s="3118">
        <v>132000</v>
      </c>
      <c r="R36" s="3118">
        <v>3074.52</v>
      </c>
      <c r="S36" s="3118">
        <v>18447</v>
      </c>
      <c r="T36" s="3118">
        <v>0</v>
      </c>
      <c r="U36" s="3118" t="s">
        <v>3844</v>
      </c>
      <c r="V36" s="3118" t="s">
        <v>3824</v>
      </c>
      <c r="W36" s="3118" t="s">
        <v>3824</v>
      </c>
    </row>
    <row r="37" spans="1:23">
      <c r="A37" s="3118" t="s">
        <v>3987</v>
      </c>
      <c r="B37" s="3118" t="s">
        <v>3719</v>
      </c>
      <c r="C37" s="3118" t="s">
        <v>3988</v>
      </c>
      <c r="D37" s="3118" t="s">
        <v>3820</v>
      </c>
      <c r="E37" s="3118">
        <v>138746.29999999999</v>
      </c>
      <c r="F37" s="3118">
        <v>486596</v>
      </c>
      <c r="G37" s="3118">
        <v>3.51</v>
      </c>
      <c r="H37" s="3118" t="s">
        <v>3821</v>
      </c>
      <c r="I37" s="3118" t="s">
        <v>3952</v>
      </c>
      <c r="J37" s="3118" t="s">
        <v>3823</v>
      </c>
      <c r="K37" s="3118" t="s">
        <v>3824</v>
      </c>
      <c r="L37" s="3118" t="s">
        <v>3851</v>
      </c>
      <c r="M37" s="3119">
        <v>43409.000497685185</v>
      </c>
      <c r="N37" s="3118" t="s">
        <v>3826</v>
      </c>
      <c r="O37" s="3118" t="s">
        <v>3989</v>
      </c>
      <c r="P37" s="3118" t="s">
        <v>3990</v>
      </c>
      <c r="Q37" s="3118">
        <v>866300</v>
      </c>
      <c r="R37" s="3118">
        <v>4162.51</v>
      </c>
      <c r="S37" s="3118">
        <v>17803</v>
      </c>
      <c r="T37" s="3118">
        <v>0</v>
      </c>
      <c r="U37" s="3118" t="s">
        <v>3844</v>
      </c>
      <c r="V37" s="3118" t="s">
        <v>3824</v>
      </c>
      <c r="W37" s="3118" t="s">
        <v>3824</v>
      </c>
    </row>
    <row r="38" spans="1:23" s="3122" customFormat="1">
      <c r="A38" s="3122" t="s">
        <v>3991</v>
      </c>
      <c r="B38" s="3122" t="s">
        <v>3719</v>
      </c>
      <c r="C38" s="3122" t="s">
        <v>3992</v>
      </c>
      <c r="D38" s="3122" t="s">
        <v>3820</v>
      </c>
      <c r="E38" s="3122">
        <v>39410.74</v>
      </c>
      <c r="F38" s="3122">
        <v>120000</v>
      </c>
      <c r="G38" s="3122">
        <v>3.04</v>
      </c>
      <c r="H38" s="3122" t="s">
        <v>3956</v>
      </c>
      <c r="I38" s="3122" t="s">
        <v>3822</v>
      </c>
      <c r="J38" s="3122" t="s">
        <v>3823</v>
      </c>
      <c r="K38" s="3122" t="s">
        <v>3824</v>
      </c>
      <c r="L38" s="3122" t="s">
        <v>3851</v>
      </c>
      <c r="M38" s="3123">
        <v>43287.000497685185</v>
      </c>
      <c r="N38" s="3122" t="s">
        <v>3826</v>
      </c>
      <c r="O38" s="3122" t="s">
        <v>3993</v>
      </c>
      <c r="P38" s="3122" t="s">
        <v>3994</v>
      </c>
      <c r="Q38" s="3122">
        <v>318758</v>
      </c>
      <c r="R38" s="3122">
        <v>5392.07</v>
      </c>
      <c r="S38" s="3122">
        <v>26563</v>
      </c>
      <c r="T38" s="3122">
        <v>0</v>
      </c>
      <c r="U38" s="3122" t="s">
        <v>3844</v>
      </c>
      <c r="V38" s="3122" t="s">
        <v>3824</v>
      </c>
      <c r="W38" s="3122" t="s">
        <v>3824</v>
      </c>
    </row>
    <row r="39" spans="1:23" hidden="1">
      <c r="A39" s="3118" t="s">
        <v>3995</v>
      </c>
      <c r="B39" s="3118" t="s">
        <v>3719</v>
      </c>
      <c r="C39" s="3118" t="s">
        <v>3996</v>
      </c>
      <c r="D39" s="3118" t="s">
        <v>3820</v>
      </c>
      <c r="E39" s="3118">
        <v>113768</v>
      </c>
      <c r="F39" s="3118">
        <v>119494</v>
      </c>
      <c r="G39" s="3118">
        <v>1.05</v>
      </c>
      <c r="H39" s="3118" t="s">
        <v>3821</v>
      </c>
      <c r="I39" s="3118" t="s">
        <v>3822</v>
      </c>
      <c r="J39" s="3118" t="s">
        <v>3823</v>
      </c>
      <c r="K39" s="3118" t="s">
        <v>3824</v>
      </c>
      <c r="L39" s="3118" t="s">
        <v>3851</v>
      </c>
      <c r="M39" s="3119">
        <v>43270.000497685185</v>
      </c>
      <c r="N39" s="3118" t="s">
        <v>3826</v>
      </c>
      <c r="O39" s="3118" t="s">
        <v>3997</v>
      </c>
      <c r="P39" s="3118" t="s">
        <v>3998</v>
      </c>
      <c r="Q39" s="3118">
        <v>74000</v>
      </c>
      <c r="R39" s="3118">
        <v>433.63</v>
      </c>
      <c r="S39" s="3118">
        <v>6193</v>
      </c>
      <c r="T39" s="3118">
        <v>0</v>
      </c>
      <c r="U39" s="3118" t="s">
        <v>3844</v>
      </c>
      <c r="V39" s="3118" t="s">
        <v>3824</v>
      </c>
      <c r="W39" s="3118" t="s">
        <v>3824</v>
      </c>
    </row>
    <row r="40" spans="1:23" hidden="1">
      <c r="A40" s="3118" t="s">
        <v>3999</v>
      </c>
      <c r="B40" s="3118" t="s">
        <v>3719</v>
      </c>
      <c r="C40" s="3118" t="s">
        <v>4000</v>
      </c>
      <c r="D40" s="3118" t="s">
        <v>3820</v>
      </c>
      <c r="E40" s="3118">
        <v>33071.620000000003</v>
      </c>
      <c r="F40" s="3118">
        <v>122423.9</v>
      </c>
      <c r="G40" s="3118">
        <v>3.7</v>
      </c>
      <c r="H40" s="3118" t="s">
        <v>3821</v>
      </c>
      <c r="I40" s="3118" t="s">
        <v>4001</v>
      </c>
      <c r="J40" s="3118" t="s">
        <v>3823</v>
      </c>
      <c r="K40" s="3118" t="s">
        <v>3824</v>
      </c>
      <c r="L40" s="3118" t="s">
        <v>3851</v>
      </c>
      <c r="M40" s="3119">
        <v>43265.000497685185</v>
      </c>
      <c r="N40" s="3118" t="s">
        <v>3826</v>
      </c>
      <c r="O40" s="3118" t="s">
        <v>4002</v>
      </c>
      <c r="P40" s="3118" t="s">
        <v>4003</v>
      </c>
      <c r="Q40" s="3118">
        <v>183000</v>
      </c>
      <c r="R40" s="3118">
        <v>3688.96</v>
      </c>
      <c r="S40" s="3118">
        <v>14948</v>
      </c>
      <c r="T40" s="3118">
        <v>0</v>
      </c>
      <c r="U40" s="3118" t="s">
        <v>3970</v>
      </c>
      <c r="V40" s="3118" t="s">
        <v>3824</v>
      </c>
      <c r="W40" s="3118" t="s">
        <v>3824</v>
      </c>
    </row>
    <row r="41" spans="1:23" hidden="1">
      <c r="A41" s="3118" t="s">
        <v>4004</v>
      </c>
      <c r="B41" s="3118" t="s">
        <v>3719</v>
      </c>
      <c r="C41" s="3118" t="s">
        <v>4005</v>
      </c>
      <c r="D41" s="3118" t="s">
        <v>3820</v>
      </c>
      <c r="E41" s="3118">
        <v>18015.060000000001</v>
      </c>
      <c r="F41" s="3118">
        <v>54046</v>
      </c>
      <c r="G41" s="3118">
        <v>3</v>
      </c>
      <c r="H41" s="3118" t="s">
        <v>3821</v>
      </c>
      <c r="I41" s="3118" t="s">
        <v>3836</v>
      </c>
      <c r="J41" s="3118" t="s">
        <v>3823</v>
      </c>
      <c r="K41" s="3118" t="s">
        <v>3824</v>
      </c>
      <c r="L41" s="3118" t="s">
        <v>3851</v>
      </c>
      <c r="M41" s="3119">
        <v>43159.000497685185</v>
      </c>
      <c r="N41" s="3118" t="s">
        <v>3826</v>
      </c>
      <c r="O41" s="3118" t="s">
        <v>4006</v>
      </c>
      <c r="P41" s="3118" t="s">
        <v>4007</v>
      </c>
      <c r="Q41" s="3118">
        <v>60000</v>
      </c>
      <c r="R41" s="3118">
        <v>2220.36</v>
      </c>
      <c r="S41" s="3118">
        <v>11102</v>
      </c>
      <c r="T41" s="3118">
        <v>0</v>
      </c>
      <c r="U41" s="3118" t="s">
        <v>3844</v>
      </c>
      <c r="V41" s="3118" t="s">
        <v>3824</v>
      </c>
      <c r="W41" s="3118" t="s">
        <v>3824</v>
      </c>
    </row>
    <row r="42" spans="1:23" hidden="1">
      <c r="A42" s="3118" t="s">
        <v>4008</v>
      </c>
      <c r="B42" s="3118" t="s">
        <v>3719</v>
      </c>
      <c r="C42" s="3118" t="s">
        <v>4009</v>
      </c>
      <c r="D42" s="3118" t="s">
        <v>3820</v>
      </c>
      <c r="E42" s="3118">
        <v>59747.77</v>
      </c>
      <c r="F42" s="3118">
        <v>89622</v>
      </c>
      <c r="G42" s="3118">
        <v>1.5</v>
      </c>
      <c r="H42" s="3118" t="s">
        <v>3821</v>
      </c>
      <c r="I42" s="3118" t="s">
        <v>4010</v>
      </c>
      <c r="J42" s="3118" t="s">
        <v>3823</v>
      </c>
      <c r="K42" s="3118" t="s">
        <v>3824</v>
      </c>
      <c r="L42" s="3118" t="s">
        <v>3851</v>
      </c>
      <c r="M42" s="3119">
        <v>43109.000497685185</v>
      </c>
      <c r="N42" s="3118" t="s">
        <v>3826</v>
      </c>
      <c r="O42" s="3118" t="s">
        <v>4011</v>
      </c>
      <c r="P42" s="3118" t="s">
        <v>4012</v>
      </c>
      <c r="Q42" s="3118">
        <v>146800</v>
      </c>
      <c r="R42" s="3118">
        <v>1638</v>
      </c>
      <c r="S42" s="3118">
        <v>16380</v>
      </c>
      <c r="T42" s="3118">
        <v>0</v>
      </c>
      <c r="U42" s="3118" t="s">
        <v>4013</v>
      </c>
      <c r="V42" s="3118" t="s">
        <v>3824</v>
      </c>
      <c r="W42" s="3118" t="s">
        <v>3824</v>
      </c>
    </row>
    <row r="43" spans="1:23" hidden="1">
      <c r="A43" s="3118" t="s">
        <v>4014</v>
      </c>
      <c r="B43" s="3118" t="s">
        <v>3719</v>
      </c>
      <c r="C43" s="3118" t="s">
        <v>4015</v>
      </c>
      <c r="D43" s="3118" t="s">
        <v>3820</v>
      </c>
      <c r="E43" s="3118">
        <v>31420.65</v>
      </c>
      <c r="F43" s="3118">
        <v>65983</v>
      </c>
      <c r="G43" s="3118">
        <v>2.1</v>
      </c>
      <c r="H43" s="3118" t="s">
        <v>3821</v>
      </c>
      <c r="I43" s="3118" t="s">
        <v>4010</v>
      </c>
      <c r="J43" s="3118" t="s">
        <v>3823</v>
      </c>
      <c r="K43" s="3118" t="s">
        <v>3824</v>
      </c>
      <c r="L43" s="3118" t="s">
        <v>3851</v>
      </c>
      <c r="M43" s="3119">
        <v>43109.000497685185</v>
      </c>
      <c r="N43" s="3118" t="s">
        <v>3826</v>
      </c>
      <c r="O43" s="3118" t="s">
        <v>4016</v>
      </c>
      <c r="P43" s="3118" t="s">
        <v>4017</v>
      </c>
      <c r="Q43" s="3118">
        <v>108100</v>
      </c>
      <c r="R43" s="3118">
        <v>2293.61</v>
      </c>
      <c r="S43" s="3118">
        <v>16383</v>
      </c>
      <c r="T43" s="3118">
        <v>0</v>
      </c>
      <c r="U43" s="3118" t="s">
        <v>4013</v>
      </c>
      <c r="V43" s="3118" t="s">
        <v>3824</v>
      </c>
      <c r="W43" s="3118" t="s">
        <v>3824</v>
      </c>
    </row>
    <row r="44" spans="1:23" hidden="1">
      <c r="A44" s="3118" t="s">
        <v>4018</v>
      </c>
      <c r="B44" s="3118" t="s">
        <v>3719</v>
      </c>
      <c r="C44" s="3118" t="s">
        <v>4019</v>
      </c>
      <c r="D44" s="3118" t="s">
        <v>3820</v>
      </c>
      <c r="E44" s="3118">
        <v>15240.2</v>
      </c>
      <c r="F44" s="3118">
        <v>86800</v>
      </c>
      <c r="G44" s="3118">
        <v>5.7</v>
      </c>
      <c r="H44" s="3118" t="s">
        <v>3821</v>
      </c>
      <c r="I44" s="3118" t="s">
        <v>3836</v>
      </c>
      <c r="J44" s="3118" t="s">
        <v>3823</v>
      </c>
      <c r="K44" s="3118" t="s">
        <v>3824</v>
      </c>
      <c r="L44" s="3118" t="s">
        <v>3851</v>
      </c>
      <c r="M44" s="3119">
        <v>43055.000497685185</v>
      </c>
      <c r="N44" s="3118" t="s">
        <v>3826</v>
      </c>
      <c r="O44" s="3118" t="s">
        <v>4020</v>
      </c>
      <c r="P44" s="3118" t="s">
        <v>3825</v>
      </c>
      <c r="Q44" s="3118">
        <v>242500</v>
      </c>
      <c r="R44" s="3118">
        <v>10607.91</v>
      </c>
      <c r="S44" s="3118">
        <v>27938</v>
      </c>
      <c r="T44" s="3118">
        <v>2.11</v>
      </c>
      <c r="U44" s="3118" t="s">
        <v>3844</v>
      </c>
      <c r="V44" s="3118" t="s">
        <v>3824</v>
      </c>
      <c r="W44" s="3118" t="s">
        <v>3824</v>
      </c>
    </row>
    <row r="45" spans="1:23" hidden="1">
      <c r="A45" s="3118" t="s">
        <v>4021</v>
      </c>
      <c r="B45" s="3118" t="s">
        <v>3719</v>
      </c>
      <c r="C45" s="3118" t="s">
        <v>4022</v>
      </c>
      <c r="D45" s="3118" t="s">
        <v>3820</v>
      </c>
      <c r="E45" s="3118">
        <v>16863.939999999999</v>
      </c>
      <c r="F45" s="3118">
        <v>87923.61</v>
      </c>
      <c r="G45" s="3118">
        <v>5.21</v>
      </c>
      <c r="H45" s="3118" t="s">
        <v>3821</v>
      </c>
      <c r="I45" s="3118" t="s">
        <v>3836</v>
      </c>
      <c r="J45" s="3118" t="s">
        <v>3823</v>
      </c>
      <c r="K45" s="3118" t="s">
        <v>3824</v>
      </c>
      <c r="L45" s="3118" t="s">
        <v>3851</v>
      </c>
      <c r="M45" s="3119">
        <v>43053.000497685185</v>
      </c>
      <c r="N45" s="3118" t="s">
        <v>3826</v>
      </c>
      <c r="O45" s="3118" t="s">
        <v>4023</v>
      </c>
      <c r="P45" s="3118" t="s">
        <v>3825</v>
      </c>
      <c r="Q45" s="3118">
        <v>211000</v>
      </c>
      <c r="R45" s="3118">
        <v>8341.27</v>
      </c>
      <c r="S45" s="3118">
        <v>23998</v>
      </c>
      <c r="T45" s="3118">
        <v>0</v>
      </c>
      <c r="U45" s="3118" t="s">
        <v>3844</v>
      </c>
      <c r="V45" s="3118" t="s">
        <v>3824</v>
      </c>
      <c r="W45" s="3118" t="s">
        <v>3824</v>
      </c>
    </row>
    <row r="46" spans="1:23" hidden="1">
      <c r="A46" s="3118" t="s">
        <v>4024</v>
      </c>
      <c r="B46" s="3118" t="s">
        <v>3719</v>
      </c>
      <c r="C46" s="3118" t="s">
        <v>4025</v>
      </c>
      <c r="D46" s="3118" t="s">
        <v>3820</v>
      </c>
      <c r="E46" s="3118">
        <v>14089.17</v>
      </c>
      <c r="F46" s="3118">
        <v>105000</v>
      </c>
      <c r="G46" s="3118">
        <v>7.45</v>
      </c>
      <c r="H46" s="3118" t="s">
        <v>3821</v>
      </c>
      <c r="I46" s="3118" t="s">
        <v>3836</v>
      </c>
      <c r="J46" s="3118" t="s">
        <v>3823</v>
      </c>
      <c r="K46" s="3118" t="s">
        <v>3824</v>
      </c>
      <c r="L46" s="3118" t="s">
        <v>3851</v>
      </c>
      <c r="M46" s="3119">
        <v>43053.000497685185</v>
      </c>
      <c r="N46" s="3118" t="s">
        <v>3826</v>
      </c>
      <c r="O46" s="3118" t="s">
        <v>4026</v>
      </c>
      <c r="P46" s="3118" t="s">
        <v>4027</v>
      </c>
      <c r="Q46" s="3118">
        <v>355000</v>
      </c>
      <c r="R46" s="3118">
        <v>16797.77</v>
      </c>
      <c r="S46" s="3118">
        <v>33810</v>
      </c>
      <c r="T46" s="3118">
        <v>40.869999999999997</v>
      </c>
      <c r="U46" s="3118" t="s">
        <v>3844</v>
      </c>
      <c r="V46" s="3118" t="s">
        <v>3824</v>
      </c>
      <c r="W46" s="3118" t="s">
        <v>3824</v>
      </c>
    </row>
    <row r="47" spans="1:23" hidden="1">
      <c r="A47" s="3118" t="s">
        <v>4028</v>
      </c>
      <c r="B47" s="3118" t="s">
        <v>3719</v>
      </c>
      <c r="C47" s="3118" t="s">
        <v>4029</v>
      </c>
      <c r="D47" s="3118" t="s">
        <v>3820</v>
      </c>
      <c r="E47" s="3118">
        <v>5237.16</v>
      </c>
      <c r="F47" s="3118">
        <v>10474</v>
      </c>
      <c r="G47" s="3118">
        <v>2</v>
      </c>
      <c r="H47" s="3118" t="s">
        <v>3821</v>
      </c>
      <c r="I47" s="3118" t="s">
        <v>3906</v>
      </c>
      <c r="J47" s="3118" t="s">
        <v>3823</v>
      </c>
      <c r="K47" s="3118" t="s">
        <v>3824</v>
      </c>
      <c r="L47" s="3118" t="s">
        <v>3851</v>
      </c>
      <c r="M47" s="3119">
        <v>42985.000497685185</v>
      </c>
      <c r="N47" s="3118" t="s">
        <v>3826</v>
      </c>
      <c r="O47" s="3118" t="s">
        <v>4030</v>
      </c>
      <c r="P47" s="3118" t="s">
        <v>4031</v>
      </c>
      <c r="Q47" s="3118">
        <v>13700</v>
      </c>
      <c r="R47" s="3118">
        <v>1743.95</v>
      </c>
      <c r="S47" s="3118">
        <v>13080</v>
      </c>
      <c r="T47" s="3118">
        <v>5.38</v>
      </c>
      <c r="U47" s="3118" t="s">
        <v>3844</v>
      </c>
      <c r="V47" s="3118" t="s">
        <v>3824</v>
      </c>
      <c r="W47" s="3118" t="s">
        <v>3824</v>
      </c>
    </row>
    <row r="48" spans="1:23" hidden="1">
      <c r="A48" s="3118" t="s">
        <v>4032</v>
      </c>
      <c r="B48" s="3118" t="s">
        <v>3719</v>
      </c>
      <c r="C48" s="3118" t="s">
        <v>4033</v>
      </c>
      <c r="D48" s="3118" t="s">
        <v>3820</v>
      </c>
      <c r="E48" s="3118">
        <v>66237.2</v>
      </c>
      <c r="F48" s="3118">
        <v>264058.7</v>
      </c>
      <c r="G48" s="3118">
        <v>3.99</v>
      </c>
      <c r="H48" s="3118" t="s">
        <v>3821</v>
      </c>
      <c r="I48" s="3118" t="s">
        <v>4001</v>
      </c>
      <c r="J48" s="3118" t="s">
        <v>3823</v>
      </c>
      <c r="K48" s="3118" t="s">
        <v>3824</v>
      </c>
      <c r="L48" s="3118" t="s">
        <v>3851</v>
      </c>
      <c r="M48" s="3119">
        <v>42955.000497685185</v>
      </c>
      <c r="N48" s="3118" t="s">
        <v>3826</v>
      </c>
      <c r="O48" s="3118" t="s">
        <v>4034</v>
      </c>
      <c r="P48" s="3118" t="s">
        <v>3825</v>
      </c>
      <c r="Q48" s="3118">
        <v>385000</v>
      </c>
      <c r="R48" s="3118">
        <v>3874.96</v>
      </c>
      <c r="S48" s="3118">
        <v>14580</v>
      </c>
      <c r="T48" s="3118">
        <v>0</v>
      </c>
      <c r="U48" s="3118" t="s">
        <v>3970</v>
      </c>
      <c r="V48" s="3118" t="s">
        <v>3824</v>
      </c>
      <c r="W48" s="3118" t="s">
        <v>3824</v>
      </c>
    </row>
    <row r="49" spans="1:23" s="3122" customFormat="1">
      <c r="A49" s="3122" t="s">
        <v>4035</v>
      </c>
      <c r="B49" s="3122" t="s">
        <v>3719</v>
      </c>
      <c r="C49" s="3122" t="s">
        <v>4036</v>
      </c>
      <c r="D49" s="3122" t="s">
        <v>3820</v>
      </c>
      <c r="E49" s="3122">
        <v>27295.08</v>
      </c>
      <c r="F49" s="3122">
        <v>160000</v>
      </c>
      <c r="G49" s="3122">
        <v>5.8</v>
      </c>
      <c r="H49" s="3122" t="s">
        <v>3821</v>
      </c>
      <c r="I49" s="3122" t="s">
        <v>3822</v>
      </c>
      <c r="J49" s="3122" t="s">
        <v>3823</v>
      </c>
      <c r="K49" s="3122" t="s">
        <v>3824</v>
      </c>
      <c r="L49" s="3122" t="s">
        <v>3851</v>
      </c>
      <c r="M49" s="3123">
        <v>42873.000497685185</v>
      </c>
      <c r="N49" s="3122" t="s">
        <v>3826</v>
      </c>
      <c r="O49" s="3122" t="s">
        <v>4037</v>
      </c>
      <c r="P49" s="3122" t="s">
        <v>4038</v>
      </c>
      <c r="Q49" s="3122">
        <v>434000</v>
      </c>
      <c r="R49" s="3122">
        <v>10600.2</v>
      </c>
      <c r="S49" s="3122">
        <v>27125</v>
      </c>
      <c r="T49" s="3122">
        <v>0.46</v>
      </c>
      <c r="U49" s="3122" t="s">
        <v>3829</v>
      </c>
      <c r="V49" s="3122" t="s">
        <v>3824</v>
      </c>
      <c r="W49" s="3122" t="s">
        <v>3824</v>
      </c>
    </row>
    <row r="50" spans="1:23" hidden="1">
      <c r="A50" s="3118" t="s">
        <v>4039</v>
      </c>
      <c r="B50" s="3118" t="s">
        <v>3719</v>
      </c>
      <c r="C50" s="3118" t="s">
        <v>4040</v>
      </c>
      <c r="D50" s="3118" t="s">
        <v>3820</v>
      </c>
      <c r="E50" s="3118">
        <v>35230.230000000003</v>
      </c>
      <c r="F50" s="3118">
        <v>88076</v>
      </c>
      <c r="G50" s="3118">
        <v>2.5</v>
      </c>
      <c r="H50" s="3118" t="s">
        <v>3821</v>
      </c>
      <c r="I50" s="3118" t="s">
        <v>3822</v>
      </c>
      <c r="J50" s="3118" t="s">
        <v>3823</v>
      </c>
      <c r="K50" s="3118" t="s">
        <v>3824</v>
      </c>
      <c r="L50" s="3118" t="s">
        <v>3825</v>
      </c>
      <c r="M50" s="3119">
        <v>42867.000497685185</v>
      </c>
      <c r="N50" s="3118" t="s">
        <v>3826</v>
      </c>
      <c r="O50" s="3118" t="s">
        <v>4041</v>
      </c>
      <c r="P50" s="3118" t="s">
        <v>3825</v>
      </c>
      <c r="Q50" s="3118">
        <v>62000</v>
      </c>
      <c r="R50" s="3118">
        <v>1173.23</v>
      </c>
      <c r="S50" s="3118">
        <v>7039</v>
      </c>
      <c r="T50" s="3118">
        <v>0</v>
      </c>
      <c r="U50" s="3118" t="s">
        <v>3829</v>
      </c>
      <c r="V50" s="3118" t="s">
        <v>3824</v>
      </c>
      <c r="W50" s="3118" t="s">
        <v>3824</v>
      </c>
    </row>
    <row r="51" spans="1:23" hidden="1">
      <c r="A51" s="3118" t="s">
        <v>4042</v>
      </c>
      <c r="B51" s="3118" t="s">
        <v>3719</v>
      </c>
      <c r="C51" s="3118" t="s">
        <v>4043</v>
      </c>
      <c r="D51" s="3118" t="s">
        <v>3820</v>
      </c>
      <c r="E51" s="3118">
        <v>170200.2</v>
      </c>
      <c r="F51" s="3118">
        <v>255301</v>
      </c>
      <c r="G51" s="3118">
        <v>1.5</v>
      </c>
      <c r="H51" s="3118" t="s">
        <v>3821</v>
      </c>
      <c r="I51" s="3118" t="s">
        <v>3822</v>
      </c>
      <c r="J51" s="3118" t="s">
        <v>3823</v>
      </c>
      <c r="K51" s="3118" t="s">
        <v>3824</v>
      </c>
      <c r="L51" s="3118" t="s">
        <v>3851</v>
      </c>
      <c r="M51" s="3119">
        <v>42860.000497685185</v>
      </c>
      <c r="N51" s="3118" t="s">
        <v>3826</v>
      </c>
      <c r="O51" s="3118" t="s">
        <v>4044</v>
      </c>
      <c r="P51" s="3118" t="s">
        <v>4045</v>
      </c>
      <c r="Q51" s="3118">
        <v>259500</v>
      </c>
      <c r="R51" s="3118">
        <v>1016.45</v>
      </c>
      <c r="S51" s="3118">
        <v>10164</v>
      </c>
      <c r="T51" s="3118">
        <v>1.76</v>
      </c>
      <c r="U51" s="3118" t="s">
        <v>3829</v>
      </c>
      <c r="V51" s="3118" t="s">
        <v>3824</v>
      </c>
      <c r="W51" s="3118" t="s">
        <v>3824</v>
      </c>
    </row>
    <row r="52" spans="1:23" hidden="1">
      <c r="A52" s="3118" t="s">
        <v>4046</v>
      </c>
      <c r="B52" s="3118" t="s">
        <v>3719</v>
      </c>
      <c r="C52" s="3118" t="s">
        <v>4047</v>
      </c>
      <c r="D52" s="3118" t="s">
        <v>3820</v>
      </c>
      <c r="E52" s="3118">
        <v>120885</v>
      </c>
      <c r="F52" s="3118">
        <v>256512</v>
      </c>
      <c r="G52" s="3118">
        <v>2.12</v>
      </c>
      <c r="H52" s="3118" t="s">
        <v>3821</v>
      </c>
      <c r="I52" s="3118" t="s">
        <v>4048</v>
      </c>
      <c r="J52" s="3118" t="s">
        <v>3823</v>
      </c>
      <c r="K52" s="3118" t="s">
        <v>3824</v>
      </c>
      <c r="L52" s="3118" t="s">
        <v>3851</v>
      </c>
      <c r="M52" s="3119">
        <v>42860.000497685185</v>
      </c>
      <c r="N52" s="3118" t="s">
        <v>3826</v>
      </c>
      <c r="O52" s="3118" t="s">
        <v>4049</v>
      </c>
      <c r="P52" s="3118" t="s">
        <v>3825</v>
      </c>
      <c r="Q52" s="3118">
        <v>250000</v>
      </c>
      <c r="R52" s="3118">
        <v>1378.72</v>
      </c>
      <c r="S52" s="3118">
        <v>9746</v>
      </c>
      <c r="T52" s="3118">
        <v>0</v>
      </c>
      <c r="U52" s="3118" t="s">
        <v>3829</v>
      </c>
      <c r="V52" s="3118" t="s">
        <v>3824</v>
      </c>
      <c r="W52" s="3118" t="s">
        <v>3824</v>
      </c>
    </row>
    <row r="53" spans="1:23" hidden="1">
      <c r="A53" s="3118" t="s">
        <v>4050</v>
      </c>
      <c r="B53" s="3118" t="s">
        <v>3719</v>
      </c>
      <c r="C53" s="3118" t="s">
        <v>4051</v>
      </c>
      <c r="D53" s="3118" t="s">
        <v>3820</v>
      </c>
      <c r="E53" s="3118">
        <v>92055.95</v>
      </c>
      <c r="F53" s="3118">
        <v>92056</v>
      </c>
      <c r="G53" s="3118">
        <v>1</v>
      </c>
      <c r="H53" s="3118" t="s">
        <v>3956</v>
      </c>
      <c r="I53" s="3118" t="s">
        <v>3836</v>
      </c>
      <c r="J53" s="3118" t="s">
        <v>3823</v>
      </c>
      <c r="K53" s="3118" t="s">
        <v>3824</v>
      </c>
      <c r="L53" s="3118" t="s">
        <v>3825</v>
      </c>
      <c r="M53" s="3119">
        <v>42836.000497685185</v>
      </c>
      <c r="N53" s="3118" t="s">
        <v>3826</v>
      </c>
      <c r="O53" s="3118" t="s">
        <v>4052</v>
      </c>
      <c r="P53" s="3118" t="s">
        <v>4053</v>
      </c>
      <c r="Q53" s="3118">
        <v>285373.59999999998</v>
      </c>
      <c r="R53" s="3118">
        <v>2066.67</v>
      </c>
      <c r="S53" s="3118">
        <v>31000</v>
      </c>
      <c r="T53" s="3118">
        <v>0</v>
      </c>
      <c r="U53" s="3118" t="s">
        <v>3836</v>
      </c>
      <c r="V53" s="3118" t="s">
        <v>3824</v>
      </c>
      <c r="W53" s="3118" t="s">
        <v>3824</v>
      </c>
    </row>
    <row r="54" spans="1:23" hidden="1">
      <c r="A54" s="3118" t="s">
        <v>4054</v>
      </c>
      <c r="B54" s="3118" t="s">
        <v>3719</v>
      </c>
      <c r="C54" s="3118" t="s">
        <v>4055</v>
      </c>
      <c r="D54" s="3118" t="s">
        <v>3820</v>
      </c>
      <c r="E54" s="3118">
        <v>39744.120000000003</v>
      </c>
      <c r="F54" s="3118">
        <v>119232</v>
      </c>
      <c r="G54" s="3118">
        <v>3</v>
      </c>
      <c r="H54" s="3118" t="s">
        <v>3821</v>
      </c>
      <c r="I54" s="3118" t="s">
        <v>3922</v>
      </c>
      <c r="J54" s="3118" t="s">
        <v>3823</v>
      </c>
      <c r="K54" s="3118" t="s">
        <v>3824</v>
      </c>
      <c r="L54" s="3118" t="s">
        <v>3825</v>
      </c>
      <c r="M54" s="3119">
        <v>42839.000497685185</v>
      </c>
      <c r="N54" s="3118" t="s">
        <v>3826</v>
      </c>
      <c r="O54" s="3118" t="s">
        <v>4056</v>
      </c>
      <c r="P54" s="3118" t="s">
        <v>4057</v>
      </c>
      <c r="Q54" s="3118">
        <v>292000</v>
      </c>
      <c r="R54" s="3118">
        <v>4898</v>
      </c>
      <c r="S54" s="3118">
        <v>24490</v>
      </c>
      <c r="T54" s="3118">
        <v>28.63</v>
      </c>
      <c r="U54" s="3118" t="s">
        <v>3909</v>
      </c>
      <c r="V54" s="3118" t="s">
        <v>3824</v>
      </c>
      <c r="W54" s="3118" t="s">
        <v>3824</v>
      </c>
    </row>
    <row r="55" spans="1:23" hidden="1">
      <c r="A55" s="3118" t="s">
        <v>4058</v>
      </c>
      <c r="B55" s="3118" t="s">
        <v>3719</v>
      </c>
      <c r="C55" s="3118" t="s">
        <v>4059</v>
      </c>
      <c r="D55" s="3118" t="s">
        <v>3820</v>
      </c>
      <c r="E55" s="3118">
        <v>18303.330000000002</v>
      </c>
      <c r="F55" s="3118">
        <v>58571</v>
      </c>
      <c r="G55" s="3118">
        <v>3.2</v>
      </c>
      <c r="H55" s="3118" t="s">
        <v>3821</v>
      </c>
      <c r="I55" s="3118" t="s">
        <v>3822</v>
      </c>
      <c r="J55" s="3118" t="s">
        <v>3823</v>
      </c>
      <c r="K55" s="3118" t="s">
        <v>3824</v>
      </c>
      <c r="L55" s="3118" t="s">
        <v>3825</v>
      </c>
      <c r="M55" s="3119">
        <v>42831.000497685185</v>
      </c>
      <c r="N55" s="3118" t="s">
        <v>3826</v>
      </c>
      <c r="O55" s="3118" t="s">
        <v>4060</v>
      </c>
      <c r="P55" s="3118" t="s">
        <v>4061</v>
      </c>
      <c r="Q55" s="3118">
        <v>129000</v>
      </c>
      <c r="R55" s="3118">
        <v>4698.6000000000004</v>
      </c>
      <c r="S55" s="3118">
        <v>22025</v>
      </c>
      <c r="T55" s="3118">
        <v>62.06</v>
      </c>
      <c r="U55" s="3118" t="s">
        <v>3844</v>
      </c>
      <c r="V55" s="3118" t="s">
        <v>3824</v>
      </c>
      <c r="W55" s="3118" t="s">
        <v>3824</v>
      </c>
    </row>
    <row r="56" spans="1:23" hidden="1">
      <c r="A56" s="3118" t="s">
        <v>4062</v>
      </c>
      <c r="B56" s="3118" t="s">
        <v>3719</v>
      </c>
      <c r="C56" s="3118" t="s">
        <v>4063</v>
      </c>
      <c r="D56" s="3118" t="s">
        <v>3820</v>
      </c>
      <c r="E56" s="3118">
        <v>29183.54</v>
      </c>
      <c r="F56" s="3118">
        <v>72959</v>
      </c>
      <c r="G56" s="3118">
        <v>2.5</v>
      </c>
      <c r="H56" s="3118" t="s">
        <v>3821</v>
      </c>
      <c r="I56" s="3118" t="s">
        <v>3822</v>
      </c>
      <c r="J56" s="3118" t="s">
        <v>3823</v>
      </c>
      <c r="K56" s="3118" t="s">
        <v>3824</v>
      </c>
      <c r="L56" s="3118" t="s">
        <v>3825</v>
      </c>
      <c r="M56" s="3119">
        <v>42824.000497685185</v>
      </c>
      <c r="N56" s="3118" t="s">
        <v>3826</v>
      </c>
      <c r="O56" s="3118" t="s">
        <v>4064</v>
      </c>
      <c r="P56" s="3118" t="s">
        <v>4065</v>
      </c>
      <c r="Q56" s="3118">
        <v>106000</v>
      </c>
      <c r="R56" s="3118">
        <v>2421.46</v>
      </c>
      <c r="S56" s="3118">
        <v>14529</v>
      </c>
      <c r="T56" s="3118">
        <v>27.71</v>
      </c>
      <c r="U56" s="3118" t="s">
        <v>3844</v>
      </c>
      <c r="V56" s="3118" t="s">
        <v>3824</v>
      </c>
      <c r="W56" s="3118" t="s">
        <v>3824</v>
      </c>
    </row>
    <row r="57" spans="1:23" hidden="1">
      <c r="A57" s="3118" t="s">
        <v>4066</v>
      </c>
      <c r="B57" s="3118" t="s">
        <v>3719</v>
      </c>
      <c r="C57" s="3118" t="s">
        <v>4067</v>
      </c>
      <c r="D57" s="3118" t="s">
        <v>3820</v>
      </c>
      <c r="E57" s="3118">
        <v>46165.91</v>
      </c>
      <c r="F57" s="3118">
        <v>92332</v>
      </c>
      <c r="G57" s="3118">
        <v>2</v>
      </c>
      <c r="H57" s="3118" t="s">
        <v>3821</v>
      </c>
      <c r="I57" s="3118" t="s">
        <v>3822</v>
      </c>
      <c r="J57" s="3118" t="s">
        <v>3823</v>
      </c>
      <c r="K57" s="3118" t="s">
        <v>3824</v>
      </c>
      <c r="L57" s="3118" t="s">
        <v>3851</v>
      </c>
      <c r="M57" s="3119">
        <v>42824.000497685185</v>
      </c>
      <c r="N57" s="3118" t="s">
        <v>3826</v>
      </c>
      <c r="O57" s="3118" t="s">
        <v>4068</v>
      </c>
      <c r="P57" s="3118" t="s">
        <v>4069</v>
      </c>
      <c r="Q57" s="3118">
        <v>225000</v>
      </c>
      <c r="R57" s="3118">
        <v>3249.15</v>
      </c>
      <c r="S57" s="3118">
        <v>24369</v>
      </c>
      <c r="T57" s="3118">
        <v>27.84</v>
      </c>
      <c r="U57" s="3118" t="s">
        <v>3844</v>
      </c>
      <c r="V57" s="3118" t="s">
        <v>3824</v>
      </c>
      <c r="W57" s="3118" t="s">
        <v>3824</v>
      </c>
    </row>
    <row r="58" spans="1:23" hidden="1">
      <c r="A58" s="3118" t="s">
        <v>4070</v>
      </c>
      <c r="B58" s="3118" t="s">
        <v>3719</v>
      </c>
      <c r="C58" s="3118" t="s">
        <v>4071</v>
      </c>
      <c r="D58" s="3118" t="s">
        <v>3820</v>
      </c>
      <c r="E58" s="3118">
        <v>38100</v>
      </c>
      <c r="F58" s="3118">
        <v>76200</v>
      </c>
      <c r="G58" s="3118">
        <v>2</v>
      </c>
      <c r="H58" s="3118" t="s">
        <v>3821</v>
      </c>
      <c r="I58" s="3118" t="s">
        <v>3822</v>
      </c>
      <c r="J58" s="3118" t="s">
        <v>3823</v>
      </c>
      <c r="K58" s="3118" t="s">
        <v>3824</v>
      </c>
      <c r="L58" s="3118" t="s">
        <v>3851</v>
      </c>
      <c r="M58" s="3119">
        <v>42824.000497685185</v>
      </c>
      <c r="N58" s="3118" t="s">
        <v>3826</v>
      </c>
      <c r="O58" s="3118" t="s">
        <v>4072</v>
      </c>
      <c r="P58" s="3118" t="s">
        <v>4073</v>
      </c>
      <c r="Q58" s="3118">
        <v>204000</v>
      </c>
      <c r="R58" s="3118">
        <v>3569.55</v>
      </c>
      <c r="S58" s="3118">
        <v>26772</v>
      </c>
      <c r="T58" s="3118">
        <v>40.69</v>
      </c>
      <c r="U58" s="3118" t="s">
        <v>3844</v>
      </c>
      <c r="V58" s="3118" t="s">
        <v>3824</v>
      </c>
      <c r="W58" s="3118" t="s">
        <v>3824</v>
      </c>
    </row>
    <row r="59" spans="1:23" hidden="1">
      <c r="A59" s="3118" t="s">
        <v>4074</v>
      </c>
      <c r="B59" s="3118" t="s">
        <v>3719</v>
      </c>
      <c r="C59" s="3118" t="s">
        <v>4075</v>
      </c>
      <c r="D59" s="3118" t="s">
        <v>3820</v>
      </c>
      <c r="E59" s="3118">
        <v>23639.39</v>
      </c>
      <c r="F59" s="3118">
        <v>75646</v>
      </c>
      <c r="G59" s="3118">
        <v>3.2</v>
      </c>
      <c r="H59" s="3118" t="s">
        <v>3821</v>
      </c>
      <c r="I59" s="3118" t="s">
        <v>3822</v>
      </c>
      <c r="J59" s="3118" t="s">
        <v>3823</v>
      </c>
      <c r="K59" s="3118" t="s">
        <v>3824</v>
      </c>
      <c r="L59" s="3118" t="s">
        <v>3825</v>
      </c>
      <c r="M59" s="3119">
        <v>42724.000497685185</v>
      </c>
      <c r="N59" s="3118" t="s">
        <v>3826</v>
      </c>
      <c r="O59" s="3118" t="s">
        <v>4076</v>
      </c>
      <c r="P59" s="3118" t="s">
        <v>4077</v>
      </c>
      <c r="Q59" s="3118">
        <v>103020</v>
      </c>
      <c r="R59" s="3118">
        <v>2905.32</v>
      </c>
      <c r="S59" s="3118">
        <v>13619</v>
      </c>
      <c r="T59" s="3118">
        <v>1</v>
      </c>
      <c r="U59" s="3118" t="s">
        <v>3844</v>
      </c>
      <c r="V59" s="3118" t="s">
        <v>3824</v>
      </c>
      <c r="W59" s="3118" t="s">
        <v>3824</v>
      </c>
    </row>
    <row r="60" spans="1:23" hidden="1">
      <c r="A60" s="3118" t="s">
        <v>4078</v>
      </c>
      <c r="B60" s="3118" t="s">
        <v>3719</v>
      </c>
      <c r="C60" s="3118" t="s">
        <v>4079</v>
      </c>
      <c r="D60" s="3118" t="s">
        <v>3820</v>
      </c>
      <c r="E60" s="3118">
        <v>69848.44</v>
      </c>
      <c r="F60" s="3118">
        <v>146863</v>
      </c>
      <c r="G60" s="3118">
        <v>2.1</v>
      </c>
      <c r="H60" s="3118" t="s">
        <v>3821</v>
      </c>
      <c r="I60" s="3118" t="s">
        <v>4010</v>
      </c>
      <c r="J60" s="3118" t="s">
        <v>3823</v>
      </c>
      <c r="K60" s="3118" t="s">
        <v>3824</v>
      </c>
      <c r="L60" s="3118" t="s">
        <v>3825</v>
      </c>
      <c r="M60" s="3119">
        <v>42711.000497685185</v>
      </c>
      <c r="N60" s="3118" t="s">
        <v>3826</v>
      </c>
      <c r="O60" s="3118" t="s">
        <v>4080</v>
      </c>
      <c r="P60" s="3118" t="s">
        <v>3825</v>
      </c>
      <c r="Q60" s="3118">
        <v>220000</v>
      </c>
      <c r="R60" s="3118">
        <v>2099.7800000000002</v>
      </c>
      <c r="S60" s="3118">
        <v>14980</v>
      </c>
      <c r="T60" s="3118">
        <v>0</v>
      </c>
      <c r="U60" s="3118" t="s">
        <v>4013</v>
      </c>
      <c r="V60" s="3118" t="s">
        <v>3824</v>
      </c>
      <c r="W60" s="3118" t="s">
        <v>3824</v>
      </c>
    </row>
    <row r="61" spans="1:23" hidden="1">
      <c r="A61" s="3118" t="s">
        <v>4081</v>
      </c>
      <c r="B61" s="3118" t="s">
        <v>3719</v>
      </c>
      <c r="C61" s="3118" t="s">
        <v>4082</v>
      </c>
      <c r="D61" s="3118" t="s">
        <v>3820</v>
      </c>
      <c r="E61" s="3118">
        <v>66079.679999999993</v>
      </c>
      <c r="F61" s="3118">
        <v>111429</v>
      </c>
      <c r="G61" s="3118">
        <v>1.69</v>
      </c>
      <c r="H61" s="3118" t="s">
        <v>3821</v>
      </c>
      <c r="I61" s="3118" t="s">
        <v>4010</v>
      </c>
      <c r="J61" s="3118" t="s">
        <v>3823</v>
      </c>
      <c r="K61" s="3118" t="s">
        <v>3824</v>
      </c>
      <c r="L61" s="3118" t="s">
        <v>3825</v>
      </c>
      <c r="M61" s="3119">
        <v>42711.000497685185</v>
      </c>
      <c r="N61" s="3118" t="s">
        <v>3826</v>
      </c>
      <c r="O61" s="3118" t="s">
        <v>4016</v>
      </c>
      <c r="P61" s="3118" t="s">
        <v>3825</v>
      </c>
      <c r="Q61" s="3118">
        <v>135000</v>
      </c>
      <c r="R61" s="3118">
        <v>1361.99</v>
      </c>
      <c r="S61" s="3118">
        <v>12115</v>
      </c>
      <c r="T61" s="3118">
        <v>0</v>
      </c>
      <c r="U61" s="3118" t="s">
        <v>4013</v>
      </c>
      <c r="V61" s="3118" t="s">
        <v>3824</v>
      </c>
      <c r="W61" s="3118" t="s">
        <v>3824</v>
      </c>
    </row>
    <row r="62" spans="1:23" hidden="1">
      <c r="A62" s="3118" t="s">
        <v>4083</v>
      </c>
      <c r="B62" s="3118" t="s">
        <v>3719</v>
      </c>
      <c r="C62" s="3118" t="s">
        <v>4084</v>
      </c>
      <c r="D62" s="3118" t="s">
        <v>3820</v>
      </c>
      <c r="E62" s="3118">
        <v>85709</v>
      </c>
      <c r="F62" s="3118">
        <v>179122</v>
      </c>
      <c r="G62" s="3118">
        <v>2.09</v>
      </c>
      <c r="H62" s="3118" t="s">
        <v>3821</v>
      </c>
      <c r="I62" s="3118" t="s">
        <v>4085</v>
      </c>
      <c r="J62" s="3118" t="s">
        <v>3823</v>
      </c>
      <c r="K62" s="3118" t="s">
        <v>3824</v>
      </c>
      <c r="L62" s="3118" t="s">
        <v>3825</v>
      </c>
      <c r="M62" s="3119">
        <v>42702.000497685185</v>
      </c>
      <c r="N62" s="3118" t="s">
        <v>3826</v>
      </c>
      <c r="O62" s="3118" t="s">
        <v>4086</v>
      </c>
      <c r="P62" s="3118" t="s">
        <v>3969</v>
      </c>
      <c r="Q62" s="3118">
        <v>378000</v>
      </c>
      <c r="R62" s="3118">
        <v>2940.18</v>
      </c>
      <c r="S62" s="3118">
        <v>21103</v>
      </c>
      <c r="T62" s="3118">
        <v>200</v>
      </c>
      <c r="U62" s="3118" t="s">
        <v>3844</v>
      </c>
      <c r="V62" s="3118" t="s">
        <v>3824</v>
      </c>
      <c r="W62" s="3118" t="s">
        <v>3824</v>
      </c>
    </row>
    <row r="63" spans="1:23" hidden="1">
      <c r="A63" s="3118" t="s">
        <v>4087</v>
      </c>
      <c r="B63" s="3118" t="s">
        <v>3719</v>
      </c>
      <c r="C63" s="3118" t="s">
        <v>4088</v>
      </c>
      <c r="D63" s="3118" t="s">
        <v>3820</v>
      </c>
      <c r="E63" s="3118">
        <v>10384</v>
      </c>
      <c r="F63" s="3118">
        <v>25960</v>
      </c>
      <c r="G63" s="3118">
        <v>2.5</v>
      </c>
      <c r="H63" s="3118" t="s">
        <v>3821</v>
      </c>
      <c r="I63" s="3118" t="s">
        <v>3836</v>
      </c>
      <c r="J63" s="3118" t="s">
        <v>3823</v>
      </c>
      <c r="K63" s="3118" t="s">
        <v>3824</v>
      </c>
      <c r="L63" s="3118" t="s">
        <v>3825</v>
      </c>
      <c r="M63" s="3119">
        <v>42702.000497685185</v>
      </c>
      <c r="N63" s="3118" t="s">
        <v>3826</v>
      </c>
      <c r="O63" s="3118" t="s">
        <v>4089</v>
      </c>
      <c r="P63" s="3118" t="s">
        <v>4090</v>
      </c>
      <c r="Q63" s="3118">
        <v>51300</v>
      </c>
      <c r="R63" s="3118">
        <v>3293.53</v>
      </c>
      <c r="S63" s="3118">
        <v>19761</v>
      </c>
      <c r="T63" s="3118">
        <v>0</v>
      </c>
      <c r="U63" s="3118" t="s">
        <v>3844</v>
      </c>
      <c r="V63" s="3118" t="s">
        <v>3824</v>
      </c>
      <c r="W63" s="3118" t="s">
        <v>3824</v>
      </c>
    </row>
    <row r="64" spans="1:23" hidden="1">
      <c r="A64" s="3118" t="s">
        <v>4091</v>
      </c>
      <c r="B64" s="3118" t="s">
        <v>3719</v>
      </c>
      <c r="C64" s="3118" t="s">
        <v>4092</v>
      </c>
      <c r="D64" s="3118" t="s">
        <v>3820</v>
      </c>
      <c r="E64" s="3118">
        <v>8466</v>
      </c>
      <c r="F64" s="3118">
        <v>21165</v>
      </c>
      <c r="G64" s="3118">
        <v>2.5</v>
      </c>
      <c r="H64" s="3118" t="s">
        <v>3821</v>
      </c>
      <c r="I64" s="3118" t="s">
        <v>3836</v>
      </c>
      <c r="J64" s="3118" t="s">
        <v>3823</v>
      </c>
      <c r="K64" s="3118" t="s">
        <v>3824</v>
      </c>
      <c r="L64" s="3118" t="s">
        <v>3825</v>
      </c>
      <c r="M64" s="3119">
        <v>42614.000497685185</v>
      </c>
      <c r="N64" s="3118" t="s">
        <v>3826</v>
      </c>
      <c r="O64" s="3118" t="s">
        <v>4093</v>
      </c>
      <c r="P64" s="3118" t="s">
        <v>3825</v>
      </c>
      <c r="Q64" s="3118">
        <v>42000</v>
      </c>
      <c r="R64" s="3118">
        <v>3307.35</v>
      </c>
      <c r="S64" s="3118">
        <v>19844</v>
      </c>
      <c r="T64" s="3118">
        <v>3.45</v>
      </c>
      <c r="U64" s="3118" t="s">
        <v>3844</v>
      </c>
      <c r="V64" s="3118" t="s">
        <v>3824</v>
      </c>
      <c r="W64" s="3118" t="s">
        <v>3824</v>
      </c>
    </row>
    <row r="65" spans="1:23" hidden="1">
      <c r="A65" s="3118" t="s">
        <v>4094</v>
      </c>
      <c r="B65" s="3118" t="s">
        <v>3719</v>
      </c>
      <c r="C65" s="3118" t="s">
        <v>4095</v>
      </c>
      <c r="D65" s="3118" t="s">
        <v>3820</v>
      </c>
      <c r="E65" s="3118">
        <v>2070793</v>
      </c>
      <c r="F65" s="3118">
        <v>1642730</v>
      </c>
      <c r="G65" s="3118">
        <v>0.79</v>
      </c>
      <c r="H65" s="3118" t="s">
        <v>3821</v>
      </c>
      <c r="I65" s="3118" t="s">
        <v>4096</v>
      </c>
      <c r="J65" s="3118" t="s">
        <v>3823</v>
      </c>
      <c r="K65" s="3118" t="s">
        <v>3824</v>
      </c>
      <c r="L65" s="3118" t="s">
        <v>3825</v>
      </c>
      <c r="M65" s="3119">
        <v>42558.000497685185</v>
      </c>
      <c r="N65" s="3118" t="s">
        <v>3826</v>
      </c>
      <c r="O65" s="3118" t="s">
        <v>4097</v>
      </c>
      <c r="P65" s="3118" t="s">
        <v>3853</v>
      </c>
      <c r="Q65" s="3118">
        <v>870000</v>
      </c>
      <c r="R65" s="3118">
        <v>280.08999999999997</v>
      </c>
      <c r="S65" s="3118">
        <v>5296</v>
      </c>
      <c r="T65" s="3118">
        <v>0</v>
      </c>
      <c r="U65" s="3118" t="s">
        <v>3844</v>
      </c>
      <c r="V65" s="3118" t="s">
        <v>3824</v>
      </c>
      <c r="W65" s="3118" t="s">
        <v>3824</v>
      </c>
    </row>
    <row r="66" spans="1:23" hidden="1">
      <c r="A66" s="3118" t="s">
        <v>4098</v>
      </c>
      <c r="B66" s="3118" t="s">
        <v>3719</v>
      </c>
      <c r="C66" s="3118" t="s">
        <v>4099</v>
      </c>
      <c r="D66" s="3118" t="s">
        <v>3820</v>
      </c>
      <c r="E66" s="3118">
        <v>13326.99</v>
      </c>
      <c r="F66" s="3118">
        <v>46644</v>
      </c>
      <c r="G66" s="3118">
        <v>3.5</v>
      </c>
      <c r="H66" s="3118" t="s">
        <v>3821</v>
      </c>
      <c r="I66" s="3118" t="s">
        <v>3906</v>
      </c>
      <c r="J66" s="3118" t="s">
        <v>3823</v>
      </c>
      <c r="K66" s="3118" t="s">
        <v>3824</v>
      </c>
      <c r="L66" s="3118" t="s">
        <v>3825</v>
      </c>
      <c r="M66" s="3119">
        <v>42523.000497685185</v>
      </c>
      <c r="N66" s="3118" t="s">
        <v>3826</v>
      </c>
      <c r="O66" s="3118" t="s">
        <v>4100</v>
      </c>
      <c r="P66" s="3118" t="s">
        <v>3969</v>
      </c>
      <c r="Q66" s="3118">
        <v>141000</v>
      </c>
      <c r="R66" s="3118">
        <v>7053.36</v>
      </c>
      <c r="S66" s="3118">
        <v>30229</v>
      </c>
      <c r="T66" s="3118">
        <v>107.35</v>
      </c>
      <c r="U66" s="3118" t="s">
        <v>3844</v>
      </c>
      <c r="V66" s="3118" t="s">
        <v>3824</v>
      </c>
      <c r="W66" s="3118" t="s">
        <v>3824</v>
      </c>
    </row>
    <row r="67" spans="1:23" hidden="1">
      <c r="A67" s="3118" t="s">
        <v>4101</v>
      </c>
      <c r="B67" s="3118" t="s">
        <v>3719</v>
      </c>
      <c r="C67" s="3118" t="s">
        <v>4102</v>
      </c>
      <c r="D67" s="3118" t="s">
        <v>3820</v>
      </c>
      <c r="E67" s="3118">
        <v>33619.79</v>
      </c>
      <c r="F67" s="3118">
        <v>134479</v>
      </c>
      <c r="G67" s="3118">
        <v>4</v>
      </c>
      <c r="H67" s="3118" t="s">
        <v>3821</v>
      </c>
      <c r="I67" s="3118" t="s">
        <v>3836</v>
      </c>
      <c r="J67" s="3118" t="s">
        <v>3823</v>
      </c>
      <c r="K67" s="3118" t="s">
        <v>3824</v>
      </c>
      <c r="L67" s="3118" t="s">
        <v>3825</v>
      </c>
      <c r="M67" s="3119">
        <v>42495.000497685185</v>
      </c>
      <c r="N67" s="3118" t="s">
        <v>3826</v>
      </c>
      <c r="O67" s="3118" t="s">
        <v>4103</v>
      </c>
      <c r="P67" s="3118" t="s">
        <v>4104</v>
      </c>
      <c r="Q67" s="3118">
        <v>334000</v>
      </c>
      <c r="R67" s="3118">
        <v>6623.08</v>
      </c>
      <c r="S67" s="3118">
        <v>24837</v>
      </c>
      <c r="T67" s="3118">
        <v>118.3</v>
      </c>
      <c r="U67" s="3118" t="s">
        <v>3844</v>
      </c>
      <c r="V67" s="3118" t="s">
        <v>3824</v>
      </c>
      <c r="W67" s="3118" t="s">
        <v>3824</v>
      </c>
    </row>
    <row r="68" spans="1:23" hidden="1">
      <c r="A68" s="3118" t="s">
        <v>4105</v>
      </c>
      <c r="B68" s="3118" t="s">
        <v>3719</v>
      </c>
      <c r="C68" s="3118" t="s">
        <v>4106</v>
      </c>
      <c r="D68" s="3118" t="s">
        <v>3820</v>
      </c>
      <c r="E68" s="3118">
        <v>71916.58</v>
      </c>
      <c r="F68" s="3118">
        <v>107875</v>
      </c>
      <c r="G68" s="3118">
        <v>1.5</v>
      </c>
      <c r="H68" s="3118" t="s">
        <v>3821</v>
      </c>
      <c r="I68" s="3118" t="s">
        <v>3822</v>
      </c>
      <c r="J68" s="3118" t="s">
        <v>3823</v>
      </c>
      <c r="K68" s="3118" t="s">
        <v>3824</v>
      </c>
      <c r="L68" s="3118" t="s">
        <v>3825</v>
      </c>
      <c r="M68" s="3119">
        <v>42426.000497685185</v>
      </c>
      <c r="N68" s="3118" t="s">
        <v>3826</v>
      </c>
      <c r="O68" s="3118" t="s">
        <v>4107</v>
      </c>
      <c r="P68" s="3118" t="s">
        <v>4108</v>
      </c>
      <c r="Q68" s="3118">
        <v>181000</v>
      </c>
      <c r="R68" s="3118">
        <v>1677.87</v>
      </c>
      <c r="S68" s="3118">
        <v>16779</v>
      </c>
      <c r="T68" s="3118">
        <v>101.11</v>
      </c>
      <c r="U68" s="3118" t="s">
        <v>3844</v>
      </c>
      <c r="V68" s="3118" t="s">
        <v>3824</v>
      </c>
      <c r="W68" s="3118" t="s">
        <v>3824</v>
      </c>
    </row>
    <row r="69" spans="1:23" hidden="1">
      <c r="A69" s="3118" t="s">
        <v>4109</v>
      </c>
      <c r="B69" s="3118" t="s">
        <v>3719</v>
      </c>
      <c r="C69" s="3118" t="s">
        <v>4110</v>
      </c>
      <c r="D69" s="3118" t="s">
        <v>3820</v>
      </c>
      <c r="E69" s="3118">
        <v>47919.26</v>
      </c>
      <c r="F69" s="3118">
        <v>143758</v>
      </c>
      <c r="G69" s="3118">
        <v>3</v>
      </c>
      <c r="H69" s="3118" t="s">
        <v>3821</v>
      </c>
      <c r="I69" s="3118" t="s">
        <v>3822</v>
      </c>
      <c r="J69" s="3118" t="s">
        <v>3823</v>
      </c>
      <c r="K69" s="3118" t="s">
        <v>3824</v>
      </c>
      <c r="L69" s="3118" t="s">
        <v>3825</v>
      </c>
      <c r="M69" s="3119">
        <v>42423.000497685185</v>
      </c>
      <c r="N69" s="3118" t="s">
        <v>3826</v>
      </c>
      <c r="O69" s="3118" t="s">
        <v>4107</v>
      </c>
      <c r="P69" s="3118" t="s">
        <v>4108</v>
      </c>
      <c r="Q69" s="3118">
        <v>130000</v>
      </c>
      <c r="R69" s="3118">
        <v>1808.6</v>
      </c>
      <c r="S69" s="3118">
        <v>9043</v>
      </c>
      <c r="T69" s="3118">
        <v>8.33</v>
      </c>
      <c r="U69" s="3118" t="s">
        <v>3844</v>
      </c>
      <c r="V69" s="3118" t="s">
        <v>3824</v>
      </c>
      <c r="W69" s="3118" t="s">
        <v>3824</v>
      </c>
    </row>
    <row r="70" spans="1:23" hidden="1">
      <c r="A70" s="3118" t="s">
        <v>4111</v>
      </c>
      <c r="B70" s="3118" t="s">
        <v>3719</v>
      </c>
      <c r="C70" s="3118" t="s">
        <v>4112</v>
      </c>
      <c r="D70" s="3118" t="s">
        <v>3820</v>
      </c>
      <c r="E70" s="3118">
        <v>18313.7</v>
      </c>
      <c r="F70" s="3118">
        <v>119400</v>
      </c>
      <c r="G70" s="3118">
        <v>6.52</v>
      </c>
      <c r="H70" s="3118" t="s">
        <v>3956</v>
      </c>
      <c r="I70" s="3118" t="s">
        <v>3836</v>
      </c>
      <c r="J70" s="3118" t="s">
        <v>3823</v>
      </c>
      <c r="K70" s="3118" t="s">
        <v>3824</v>
      </c>
      <c r="L70" s="3118" t="s">
        <v>3825</v>
      </c>
      <c r="M70" s="3119">
        <v>42395.000497685185</v>
      </c>
      <c r="N70" s="3118" t="s">
        <v>3826</v>
      </c>
      <c r="O70" s="3118" t="s">
        <v>4113</v>
      </c>
      <c r="P70" s="3118" t="s">
        <v>4053</v>
      </c>
      <c r="Q70" s="3118">
        <v>415000</v>
      </c>
      <c r="R70" s="3118">
        <v>15107.09</v>
      </c>
      <c r="S70" s="3118">
        <v>34757</v>
      </c>
      <c r="T70" s="3118">
        <v>0</v>
      </c>
      <c r="U70" s="3118" t="s">
        <v>3844</v>
      </c>
      <c r="V70" s="3118" t="s">
        <v>3824</v>
      </c>
      <c r="W70" s="3118" t="s">
        <v>3824</v>
      </c>
    </row>
    <row r="71" spans="1:23" hidden="1">
      <c r="A71" s="3118" t="s">
        <v>4114</v>
      </c>
      <c r="B71" s="3118" t="s">
        <v>3719</v>
      </c>
      <c r="C71" s="3118" t="s">
        <v>4115</v>
      </c>
      <c r="D71" s="3118" t="s">
        <v>3820</v>
      </c>
      <c r="E71" s="3118">
        <v>49477.2</v>
      </c>
      <c r="F71" s="3118">
        <v>123693</v>
      </c>
      <c r="G71" s="3118">
        <v>2.5</v>
      </c>
      <c r="H71" s="3118" t="s">
        <v>3821</v>
      </c>
      <c r="I71" s="3118" t="s">
        <v>3822</v>
      </c>
      <c r="J71" s="3118" t="s">
        <v>3823</v>
      </c>
      <c r="K71" s="3118" t="s">
        <v>3824</v>
      </c>
      <c r="L71" s="3118" t="s">
        <v>3825</v>
      </c>
      <c r="M71" s="3119">
        <v>42396.000497685185</v>
      </c>
      <c r="N71" s="3118" t="s">
        <v>3826</v>
      </c>
      <c r="O71" s="3118" t="s">
        <v>4116</v>
      </c>
      <c r="P71" s="3118" t="s">
        <v>4117</v>
      </c>
      <c r="Q71" s="3118">
        <v>187500</v>
      </c>
      <c r="R71" s="3118">
        <v>2526.42</v>
      </c>
      <c r="S71" s="3118">
        <v>15159</v>
      </c>
      <c r="T71" s="3118">
        <v>152.36000000000001</v>
      </c>
      <c r="U71" s="3118" t="s">
        <v>3844</v>
      </c>
      <c r="V71" s="3118" t="s">
        <v>3824</v>
      </c>
      <c r="W71" s="3118" t="s">
        <v>3824</v>
      </c>
    </row>
    <row r="72" spans="1:23" hidden="1">
      <c r="A72" s="3118" t="s">
        <v>4118</v>
      </c>
      <c r="B72" s="3118" t="s">
        <v>3719</v>
      </c>
      <c r="C72" s="3118" t="s">
        <v>4119</v>
      </c>
      <c r="D72" s="3118" t="s">
        <v>3820</v>
      </c>
      <c r="E72" s="3118">
        <v>61900.3</v>
      </c>
      <c r="F72" s="3118">
        <v>111421</v>
      </c>
      <c r="G72" s="3118">
        <v>1.8</v>
      </c>
      <c r="H72" s="3118" t="s">
        <v>3821</v>
      </c>
      <c r="I72" s="3118" t="s">
        <v>3822</v>
      </c>
      <c r="J72" s="3118" t="s">
        <v>3823</v>
      </c>
      <c r="K72" s="3118" t="s">
        <v>3824</v>
      </c>
      <c r="L72" s="3118" t="s">
        <v>3825</v>
      </c>
      <c r="M72" s="3119">
        <v>42361.000497685185</v>
      </c>
      <c r="N72" s="3118" t="s">
        <v>3826</v>
      </c>
      <c r="O72" s="3118" t="s">
        <v>4107</v>
      </c>
      <c r="P72" s="3118" t="s">
        <v>4108</v>
      </c>
      <c r="Q72" s="3118">
        <v>197000</v>
      </c>
      <c r="R72" s="3118">
        <v>2121.69</v>
      </c>
      <c r="S72" s="3118">
        <v>17681</v>
      </c>
      <c r="T72" s="3118">
        <v>120.11</v>
      </c>
      <c r="U72" s="3118" t="s">
        <v>3844</v>
      </c>
      <c r="V72" s="3118" t="s">
        <v>3824</v>
      </c>
      <c r="W72" s="3118" t="s">
        <v>3824</v>
      </c>
    </row>
    <row r="73" spans="1:23" hidden="1">
      <c r="A73" s="3118" t="s">
        <v>4120</v>
      </c>
      <c r="B73" s="3118" t="s">
        <v>3719</v>
      </c>
      <c r="C73" s="3118" t="s">
        <v>4121</v>
      </c>
      <c r="D73" s="3118" t="s">
        <v>3820</v>
      </c>
      <c r="E73" s="3118">
        <v>66594.820000000007</v>
      </c>
      <c r="F73" s="3118">
        <v>119871</v>
      </c>
      <c r="G73" s="3118">
        <v>1.8</v>
      </c>
      <c r="H73" s="3118" t="s">
        <v>3821</v>
      </c>
      <c r="I73" s="3118" t="s">
        <v>3822</v>
      </c>
      <c r="J73" s="3118" t="s">
        <v>3823</v>
      </c>
      <c r="K73" s="3118" t="s">
        <v>3824</v>
      </c>
      <c r="L73" s="3118" t="s">
        <v>3825</v>
      </c>
      <c r="M73" s="3119">
        <v>42361.000497685185</v>
      </c>
      <c r="N73" s="3118" t="s">
        <v>3826</v>
      </c>
      <c r="O73" s="3118" t="s">
        <v>4107</v>
      </c>
      <c r="P73" s="3118" t="s">
        <v>4108</v>
      </c>
      <c r="Q73" s="3118">
        <v>196000</v>
      </c>
      <c r="R73" s="3118">
        <v>1962.11</v>
      </c>
      <c r="S73" s="3118">
        <v>16351</v>
      </c>
      <c r="T73" s="3118">
        <v>104.17</v>
      </c>
      <c r="U73" s="3118" t="s">
        <v>3844</v>
      </c>
      <c r="V73" s="3118" t="s">
        <v>3824</v>
      </c>
      <c r="W73" s="3118" t="s">
        <v>3824</v>
      </c>
    </row>
    <row r="74" spans="1:23" hidden="1">
      <c r="A74" s="3118" t="s">
        <v>4122</v>
      </c>
      <c r="B74" s="3118" t="s">
        <v>3719</v>
      </c>
      <c r="C74" s="3118" t="s">
        <v>4123</v>
      </c>
      <c r="D74" s="3118" t="s">
        <v>3820</v>
      </c>
      <c r="E74" s="3118">
        <v>35244.94</v>
      </c>
      <c r="F74" s="3118">
        <v>123357</v>
      </c>
      <c r="G74" s="3118">
        <v>3.5</v>
      </c>
      <c r="H74" s="3118" t="s">
        <v>3821</v>
      </c>
      <c r="I74" s="3118" t="s">
        <v>3836</v>
      </c>
      <c r="J74" s="3118" t="s">
        <v>3823</v>
      </c>
      <c r="K74" s="3118" t="s">
        <v>3824</v>
      </c>
      <c r="L74" s="3118" t="s">
        <v>3825</v>
      </c>
      <c r="M74" s="3119">
        <v>42331.000497685185</v>
      </c>
      <c r="N74" s="3118" t="s">
        <v>3826</v>
      </c>
      <c r="O74" s="3118" t="s">
        <v>4124</v>
      </c>
      <c r="P74" s="3118" t="s">
        <v>4125</v>
      </c>
      <c r="Q74" s="3118">
        <v>354000</v>
      </c>
      <c r="R74" s="3118">
        <v>6696</v>
      </c>
      <c r="S74" s="3118">
        <v>28697</v>
      </c>
      <c r="T74" s="3118">
        <v>121.25</v>
      </c>
      <c r="U74" s="3118" t="s">
        <v>3844</v>
      </c>
      <c r="V74" s="3118" t="s">
        <v>3824</v>
      </c>
      <c r="W74" s="3118" t="s">
        <v>3824</v>
      </c>
    </row>
    <row r="75" spans="1:23" hidden="1">
      <c r="A75" s="3118" t="s">
        <v>4126</v>
      </c>
      <c r="B75" s="3118" t="s">
        <v>3719</v>
      </c>
      <c r="C75" s="3118" t="s">
        <v>4127</v>
      </c>
      <c r="D75" s="3118" t="s">
        <v>3820</v>
      </c>
      <c r="E75" s="3118">
        <v>74500</v>
      </c>
      <c r="F75" s="3118">
        <v>475640</v>
      </c>
      <c r="G75" s="3118">
        <v>6.38</v>
      </c>
      <c r="H75" s="3118" t="s">
        <v>3821</v>
      </c>
      <c r="I75" s="3118" t="s">
        <v>3836</v>
      </c>
      <c r="J75" s="3118" t="s">
        <v>3823</v>
      </c>
      <c r="K75" s="3118" t="s">
        <v>3824</v>
      </c>
      <c r="L75" s="3118" t="s">
        <v>3825</v>
      </c>
      <c r="M75" s="3119">
        <v>42327.000497685185</v>
      </c>
      <c r="N75" s="3118" t="s">
        <v>3826</v>
      </c>
      <c r="O75" s="3118" t="s">
        <v>4128</v>
      </c>
      <c r="P75" s="3118" t="s">
        <v>4129</v>
      </c>
      <c r="Q75" s="3118">
        <v>420000</v>
      </c>
      <c r="R75" s="3118">
        <v>3758.39</v>
      </c>
      <c r="S75" s="3118">
        <v>8830</v>
      </c>
      <c r="T75" s="3118">
        <v>0</v>
      </c>
      <c r="U75" s="3118" t="s">
        <v>3844</v>
      </c>
      <c r="V75" s="3118" t="s">
        <v>3824</v>
      </c>
      <c r="W75" s="3118" t="s">
        <v>3824</v>
      </c>
    </row>
    <row r="76" spans="1:23" hidden="1">
      <c r="A76" s="3118" t="s">
        <v>4130</v>
      </c>
      <c r="B76" s="3118" t="s">
        <v>3719</v>
      </c>
      <c r="C76" s="3118" t="s">
        <v>4131</v>
      </c>
      <c r="D76" s="3118" t="s">
        <v>3820</v>
      </c>
      <c r="E76" s="3118">
        <v>17629.740000000002</v>
      </c>
      <c r="F76" s="3118">
        <v>52889</v>
      </c>
      <c r="G76" s="3118">
        <v>3</v>
      </c>
      <c r="H76" s="3118" t="s">
        <v>3821</v>
      </c>
      <c r="I76" s="3118" t="s">
        <v>3906</v>
      </c>
      <c r="J76" s="3118" t="s">
        <v>3823</v>
      </c>
      <c r="K76" s="3118" t="s">
        <v>3824</v>
      </c>
      <c r="L76" s="3118" t="s">
        <v>3825</v>
      </c>
      <c r="M76" s="3119">
        <v>42305.000497685185</v>
      </c>
      <c r="N76" s="3118" t="s">
        <v>3826</v>
      </c>
      <c r="O76" s="3118" t="s">
        <v>4132</v>
      </c>
      <c r="P76" s="3118" t="s">
        <v>4133</v>
      </c>
      <c r="Q76" s="3118">
        <v>64200</v>
      </c>
      <c r="R76" s="3118">
        <v>2427.7199999999998</v>
      </c>
      <c r="S76" s="3118">
        <v>12139</v>
      </c>
      <c r="T76" s="3118">
        <v>1.1000000000000001</v>
      </c>
      <c r="U76" s="3118" t="s">
        <v>3844</v>
      </c>
      <c r="V76" s="3118" t="s">
        <v>3824</v>
      </c>
      <c r="W76" s="3118" t="s">
        <v>3824</v>
      </c>
    </row>
    <row r="77" spans="1:23" hidden="1">
      <c r="A77" s="3118" t="s">
        <v>4134</v>
      </c>
      <c r="B77" s="3118" t="s">
        <v>3719</v>
      </c>
      <c r="C77" s="3118" t="s">
        <v>4135</v>
      </c>
      <c r="D77" s="3118" t="s">
        <v>3820</v>
      </c>
      <c r="E77" s="3118">
        <v>20680.23</v>
      </c>
      <c r="F77" s="3118">
        <v>62041</v>
      </c>
      <c r="G77" s="3118">
        <v>3</v>
      </c>
      <c r="H77" s="3118" t="s">
        <v>3821</v>
      </c>
      <c r="I77" s="3118" t="s">
        <v>4136</v>
      </c>
      <c r="J77" s="3118" t="s">
        <v>3823</v>
      </c>
      <c r="K77" s="3118" t="s">
        <v>3824</v>
      </c>
      <c r="L77" s="3118" t="s">
        <v>3825</v>
      </c>
      <c r="M77" s="3119">
        <v>42304.000497685185</v>
      </c>
      <c r="N77" s="3118" t="s">
        <v>3826</v>
      </c>
      <c r="O77" s="3118" t="s">
        <v>4137</v>
      </c>
      <c r="P77" s="3118" t="s">
        <v>4133</v>
      </c>
      <c r="Q77" s="3118">
        <v>81000</v>
      </c>
      <c r="R77" s="3118">
        <v>2611.19</v>
      </c>
      <c r="S77" s="3118">
        <v>13056</v>
      </c>
      <c r="T77" s="3118">
        <v>8</v>
      </c>
      <c r="U77" s="3118" t="s">
        <v>3844</v>
      </c>
      <c r="V77" s="3118" t="s">
        <v>3824</v>
      </c>
      <c r="W77" s="3118" t="s">
        <v>3824</v>
      </c>
    </row>
    <row r="78" spans="1:23" hidden="1">
      <c r="A78" s="3118" t="s">
        <v>4138</v>
      </c>
      <c r="B78" s="3118" t="s">
        <v>3719</v>
      </c>
      <c r="C78" s="3118" t="s">
        <v>4139</v>
      </c>
      <c r="D78" s="3118" t="s">
        <v>3820</v>
      </c>
      <c r="E78" s="3118">
        <v>27377.24</v>
      </c>
      <c r="F78" s="3118">
        <v>62968</v>
      </c>
      <c r="G78" s="3118">
        <v>2.2999999999999998</v>
      </c>
      <c r="H78" s="3118" t="s">
        <v>3821</v>
      </c>
      <c r="I78" s="3118" t="s">
        <v>4010</v>
      </c>
      <c r="J78" s="3118" t="s">
        <v>3823</v>
      </c>
      <c r="K78" s="3118" t="s">
        <v>3824</v>
      </c>
      <c r="L78" s="3118" t="s">
        <v>3825</v>
      </c>
      <c r="M78" s="3119">
        <v>42304.000497685185</v>
      </c>
      <c r="N78" s="3118" t="s">
        <v>3826</v>
      </c>
      <c r="O78" s="3118" t="s">
        <v>4080</v>
      </c>
      <c r="P78" s="3118" t="s">
        <v>3825</v>
      </c>
      <c r="Q78" s="3118">
        <v>65000</v>
      </c>
      <c r="R78" s="3118">
        <v>1582.82</v>
      </c>
      <c r="S78" s="3118">
        <v>10323</v>
      </c>
      <c r="T78" s="3118">
        <v>0</v>
      </c>
      <c r="U78" s="3118" t="s">
        <v>4013</v>
      </c>
      <c r="V78" s="3118" t="s">
        <v>3824</v>
      </c>
      <c r="W78" s="3118" t="s">
        <v>3824</v>
      </c>
    </row>
    <row r="79" spans="1:23" s="3122" customFormat="1">
      <c r="A79" s="3122" t="s">
        <v>4140</v>
      </c>
      <c r="B79" s="3122" t="s">
        <v>3719</v>
      </c>
      <c r="C79" s="3122" t="s">
        <v>4141</v>
      </c>
      <c r="D79" s="3122" t="s">
        <v>3820</v>
      </c>
      <c r="E79" s="3122">
        <v>14788.3</v>
      </c>
      <c r="F79" s="3122">
        <v>59153</v>
      </c>
      <c r="G79" s="3122">
        <v>4</v>
      </c>
      <c r="H79" s="3122" t="s">
        <v>3821</v>
      </c>
      <c r="I79" s="3122" t="s">
        <v>3836</v>
      </c>
      <c r="J79" s="3122" t="s">
        <v>3823</v>
      </c>
      <c r="K79" s="3122" t="s">
        <v>3824</v>
      </c>
      <c r="L79" s="3122" t="s">
        <v>3825</v>
      </c>
      <c r="M79" s="3123">
        <v>42298.000497685185</v>
      </c>
      <c r="N79" s="3122" t="s">
        <v>3826</v>
      </c>
      <c r="O79" s="3122" t="s">
        <v>4142</v>
      </c>
      <c r="P79" s="3122" t="s">
        <v>4143</v>
      </c>
      <c r="Q79" s="3122">
        <v>176000</v>
      </c>
      <c r="R79" s="3122">
        <v>7934.2</v>
      </c>
      <c r="S79" s="3122">
        <v>29753</v>
      </c>
      <c r="T79" s="3122">
        <v>146.15</v>
      </c>
      <c r="U79" s="3122" t="s">
        <v>3844</v>
      </c>
      <c r="V79" s="3122" t="s">
        <v>3824</v>
      </c>
      <c r="W79" s="3122" t="s">
        <v>3824</v>
      </c>
    </row>
    <row r="80" spans="1:23" hidden="1">
      <c r="A80" s="3118" t="s">
        <v>4144</v>
      </c>
      <c r="B80" s="3118" t="s">
        <v>3719</v>
      </c>
      <c r="C80" s="3118" t="s">
        <v>4145</v>
      </c>
      <c r="D80" s="3118" t="s">
        <v>3820</v>
      </c>
      <c r="E80" s="3118">
        <v>29500</v>
      </c>
      <c r="F80" s="3118">
        <v>118000</v>
      </c>
      <c r="G80" s="3118">
        <v>4</v>
      </c>
      <c r="H80" s="3118" t="s">
        <v>3821</v>
      </c>
      <c r="I80" s="3118" t="s">
        <v>3836</v>
      </c>
      <c r="J80" s="3118" t="s">
        <v>3823</v>
      </c>
      <c r="K80" s="3118" t="s">
        <v>3824</v>
      </c>
      <c r="L80" s="3118" t="s">
        <v>3825</v>
      </c>
      <c r="M80" s="3119">
        <v>42298.000497685185</v>
      </c>
      <c r="N80" s="3118" t="s">
        <v>3826</v>
      </c>
      <c r="O80" s="3118" t="s">
        <v>4142</v>
      </c>
      <c r="P80" s="3118" t="s">
        <v>4143</v>
      </c>
      <c r="Q80" s="3118">
        <v>342000</v>
      </c>
      <c r="R80" s="3118">
        <v>7728.81</v>
      </c>
      <c r="S80" s="3118">
        <v>28983</v>
      </c>
      <c r="T80" s="3118">
        <v>140.85</v>
      </c>
      <c r="U80" s="3118" t="s">
        <v>3844</v>
      </c>
      <c r="V80" s="3118" t="s">
        <v>3824</v>
      </c>
      <c r="W80" s="3118" t="s">
        <v>3824</v>
      </c>
    </row>
    <row r="81" spans="1:23" hidden="1">
      <c r="A81" s="3118" t="s">
        <v>4146</v>
      </c>
      <c r="B81" s="3118" t="s">
        <v>3719</v>
      </c>
      <c r="C81" s="3118" t="s">
        <v>4147</v>
      </c>
      <c r="D81" s="3118" t="s">
        <v>3820</v>
      </c>
      <c r="E81" s="3118">
        <v>15089.35</v>
      </c>
      <c r="F81" s="3118">
        <v>60357</v>
      </c>
      <c r="G81" s="3118">
        <v>4</v>
      </c>
      <c r="H81" s="3118" t="s">
        <v>3821</v>
      </c>
      <c r="I81" s="3118" t="s">
        <v>3836</v>
      </c>
      <c r="J81" s="3118" t="s">
        <v>3823</v>
      </c>
      <c r="K81" s="3118" t="s">
        <v>3824</v>
      </c>
      <c r="L81" s="3118" t="s">
        <v>3825</v>
      </c>
      <c r="M81" s="3119">
        <v>42297.000497685185</v>
      </c>
      <c r="N81" s="3118" t="s">
        <v>3826</v>
      </c>
      <c r="O81" s="3118" t="s">
        <v>4148</v>
      </c>
      <c r="P81" s="3118" t="s">
        <v>4149</v>
      </c>
      <c r="Q81" s="3118">
        <v>110000</v>
      </c>
      <c r="R81" s="3118">
        <v>4859.9399999999996</v>
      </c>
      <c r="S81" s="3118">
        <v>18225</v>
      </c>
      <c r="T81" s="3118">
        <v>54.93</v>
      </c>
      <c r="U81" s="3118" t="s">
        <v>3844</v>
      </c>
      <c r="V81" s="3118" t="s">
        <v>3824</v>
      </c>
      <c r="W81" s="3118" t="s">
        <v>3824</v>
      </c>
    </row>
    <row r="82" spans="1:23" hidden="1">
      <c r="A82" s="3118" t="s">
        <v>4150</v>
      </c>
      <c r="B82" s="3118" t="s">
        <v>3719</v>
      </c>
      <c r="C82" s="3118" t="s">
        <v>4151</v>
      </c>
      <c r="D82" s="3118" t="s">
        <v>3820</v>
      </c>
      <c r="E82" s="3118">
        <v>166012.29999999999</v>
      </c>
      <c r="F82" s="3118">
        <v>332025</v>
      </c>
      <c r="G82" s="3118">
        <v>2</v>
      </c>
      <c r="H82" s="3118" t="s">
        <v>3821</v>
      </c>
      <c r="I82" s="3118" t="s">
        <v>3922</v>
      </c>
      <c r="J82" s="3118" t="s">
        <v>3823</v>
      </c>
      <c r="K82" s="3118" t="s">
        <v>3824</v>
      </c>
      <c r="L82" s="3118" t="s">
        <v>3825</v>
      </c>
      <c r="M82" s="3119">
        <v>42258.000497685185</v>
      </c>
      <c r="N82" s="3118" t="s">
        <v>3826</v>
      </c>
      <c r="O82" s="3118" t="s">
        <v>4152</v>
      </c>
      <c r="P82" s="3118" t="s">
        <v>3825</v>
      </c>
      <c r="Q82" s="3118">
        <v>240045</v>
      </c>
      <c r="R82" s="3118">
        <v>963.96</v>
      </c>
      <c r="S82" s="3118">
        <v>7230</v>
      </c>
      <c r="T82" s="3118">
        <v>0</v>
      </c>
      <c r="U82" s="3118" t="s">
        <v>3844</v>
      </c>
      <c r="V82" s="3118" t="s">
        <v>3824</v>
      </c>
      <c r="W82" s="3118" t="s">
        <v>3824</v>
      </c>
    </row>
    <row r="83" spans="1:23" hidden="1">
      <c r="A83" s="3118" t="s">
        <v>4153</v>
      </c>
      <c r="B83" s="3118" t="s">
        <v>3719</v>
      </c>
      <c r="C83" s="3118" t="s">
        <v>4154</v>
      </c>
      <c r="D83" s="3118" t="s">
        <v>3820</v>
      </c>
      <c r="E83" s="3118">
        <v>27500</v>
      </c>
      <c r="F83" s="3118">
        <v>110000</v>
      </c>
      <c r="G83" s="3118">
        <v>4</v>
      </c>
      <c r="H83" s="3118" t="s">
        <v>3821</v>
      </c>
      <c r="I83" s="3118" t="s">
        <v>3836</v>
      </c>
      <c r="J83" s="3118" t="s">
        <v>3823</v>
      </c>
      <c r="K83" s="3118" t="s">
        <v>3824</v>
      </c>
      <c r="L83" s="3118" t="s">
        <v>3825</v>
      </c>
      <c r="M83" s="3119">
        <v>42200.000497685185</v>
      </c>
      <c r="N83" s="3118" t="s">
        <v>3826</v>
      </c>
      <c r="O83" s="3118" t="s">
        <v>4155</v>
      </c>
      <c r="P83" s="3118" t="s">
        <v>4007</v>
      </c>
      <c r="Q83" s="3118">
        <v>176000</v>
      </c>
      <c r="R83" s="3118">
        <v>4266.67</v>
      </c>
      <c r="S83" s="3118">
        <v>16000</v>
      </c>
      <c r="T83" s="3118">
        <v>36.43</v>
      </c>
      <c r="U83" s="3118" t="s">
        <v>4156</v>
      </c>
      <c r="V83" s="3118" t="s">
        <v>3824</v>
      </c>
      <c r="W83" s="3118" t="s">
        <v>3824</v>
      </c>
    </row>
    <row r="84" spans="1:23" hidden="1">
      <c r="A84" s="3118" t="s">
        <v>4157</v>
      </c>
      <c r="B84" s="3118" t="s">
        <v>3719</v>
      </c>
      <c r="C84" s="3118" t="s">
        <v>4158</v>
      </c>
      <c r="D84" s="3118" t="s">
        <v>3820</v>
      </c>
      <c r="E84" s="3118">
        <v>24464</v>
      </c>
      <c r="F84" s="3118">
        <v>48928</v>
      </c>
      <c r="G84" s="3118">
        <v>2</v>
      </c>
      <c r="H84" s="3118" t="s">
        <v>3821</v>
      </c>
      <c r="I84" s="3118" t="s">
        <v>3836</v>
      </c>
      <c r="J84" s="3118" t="s">
        <v>3823</v>
      </c>
      <c r="K84" s="3118" t="s">
        <v>3824</v>
      </c>
      <c r="L84" s="3118" t="s">
        <v>3825</v>
      </c>
      <c r="M84" s="3119">
        <v>42186.000497685185</v>
      </c>
      <c r="N84" s="3118" t="s">
        <v>3826</v>
      </c>
      <c r="O84" s="3118" t="s">
        <v>4159</v>
      </c>
      <c r="P84" s="3118" t="s">
        <v>3825</v>
      </c>
      <c r="Q84" s="3118">
        <v>46800</v>
      </c>
      <c r="R84" s="3118">
        <v>1275.3399999999999</v>
      </c>
      <c r="S84" s="3118">
        <v>9565</v>
      </c>
      <c r="T84" s="3118">
        <v>65.959999999999994</v>
      </c>
      <c r="U84" s="3118" t="s">
        <v>3844</v>
      </c>
      <c r="V84" s="3118" t="s">
        <v>3824</v>
      </c>
      <c r="W84" s="3118" t="s">
        <v>3824</v>
      </c>
    </row>
    <row r="85" spans="1:23" hidden="1">
      <c r="A85" s="3118" t="s">
        <v>4160</v>
      </c>
      <c r="B85" s="3118" t="s">
        <v>3719</v>
      </c>
      <c r="C85" s="3118" t="s">
        <v>4161</v>
      </c>
      <c r="D85" s="3118" t="s">
        <v>3820</v>
      </c>
      <c r="E85" s="3118">
        <v>38024.39</v>
      </c>
      <c r="F85" s="3118">
        <v>106468</v>
      </c>
      <c r="G85" s="3118">
        <v>2.8</v>
      </c>
      <c r="H85" s="3118" t="s">
        <v>3821</v>
      </c>
      <c r="I85" s="3118" t="s">
        <v>4162</v>
      </c>
      <c r="J85" s="3118" t="s">
        <v>3823</v>
      </c>
      <c r="K85" s="3118" t="s">
        <v>3824</v>
      </c>
      <c r="L85" s="3118" t="s">
        <v>3825</v>
      </c>
      <c r="M85" s="3119">
        <v>42185.000497685185</v>
      </c>
      <c r="N85" s="3118" t="s">
        <v>3826</v>
      </c>
      <c r="O85" s="3118" t="s">
        <v>4163</v>
      </c>
      <c r="P85" s="3118" t="s">
        <v>3825</v>
      </c>
      <c r="Q85" s="3118">
        <v>97000</v>
      </c>
      <c r="R85" s="3118">
        <v>1700.66</v>
      </c>
      <c r="S85" s="3118">
        <v>9111</v>
      </c>
      <c r="T85" s="3118">
        <v>11.49</v>
      </c>
      <c r="U85" s="3118" t="s">
        <v>3844</v>
      </c>
      <c r="V85" s="3118" t="s">
        <v>3824</v>
      </c>
      <c r="W85" s="3118" t="s">
        <v>3824</v>
      </c>
    </row>
    <row r="86" spans="1:23" hidden="1">
      <c r="A86" s="3118" t="s">
        <v>4164</v>
      </c>
      <c r="B86" s="3118" t="s">
        <v>3719</v>
      </c>
      <c r="C86" s="3118" t="s">
        <v>4165</v>
      </c>
      <c r="D86" s="3118" t="s">
        <v>3820</v>
      </c>
      <c r="E86" s="3118">
        <v>13920.77</v>
      </c>
      <c r="F86" s="3118">
        <v>16705</v>
      </c>
      <c r="G86" s="3118">
        <v>1.2</v>
      </c>
      <c r="H86" s="3118" t="s">
        <v>3821</v>
      </c>
      <c r="I86" s="3118" t="s">
        <v>3836</v>
      </c>
      <c r="J86" s="3118" t="s">
        <v>3823</v>
      </c>
      <c r="K86" s="3118" t="s">
        <v>3824</v>
      </c>
      <c r="L86" s="3118" t="s">
        <v>3825</v>
      </c>
      <c r="M86" s="3119">
        <v>42181.000497685185</v>
      </c>
      <c r="N86" s="3118" t="s">
        <v>3826</v>
      </c>
      <c r="O86" s="3118" t="s">
        <v>4166</v>
      </c>
      <c r="P86" s="3118" t="s">
        <v>3825</v>
      </c>
      <c r="Q86" s="3118">
        <v>12200</v>
      </c>
      <c r="R86" s="3118">
        <v>584.26</v>
      </c>
      <c r="S86" s="3118">
        <v>7303</v>
      </c>
      <c r="T86" s="3118">
        <v>16.190000000000001</v>
      </c>
      <c r="U86" s="3118" t="s">
        <v>3844</v>
      </c>
      <c r="V86" s="3118" t="s">
        <v>3824</v>
      </c>
      <c r="W86" s="3118" t="s">
        <v>3824</v>
      </c>
    </row>
    <row r="87" spans="1:23" hidden="1">
      <c r="A87" s="3118" t="s">
        <v>4167</v>
      </c>
      <c r="B87" s="3118" t="s">
        <v>3719</v>
      </c>
      <c r="C87" s="3118" t="s">
        <v>4168</v>
      </c>
      <c r="D87" s="3118" t="s">
        <v>3820</v>
      </c>
      <c r="E87" s="3118">
        <v>35708.800000000003</v>
      </c>
      <c r="F87" s="3118">
        <v>336000</v>
      </c>
      <c r="G87" s="3118">
        <v>9.4</v>
      </c>
      <c r="H87" s="3118" t="s">
        <v>3821</v>
      </c>
      <c r="I87" s="3118" t="s">
        <v>4169</v>
      </c>
      <c r="J87" s="3118" t="s">
        <v>3823</v>
      </c>
      <c r="K87" s="3118" t="s">
        <v>3824</v>
      </c>
      <c r="L87" s="3118" t="s">
        <v>3825</v>
      </c>
      <c r="M87" s="3119">
        <v>42121.000497685185</v>
      </c>
      <c r="N87" s="3118" t="s">
        <v>3826</v>
      </c>
      <c r="O87" s="3118" t="s">
        <v>4170</v>
      </c>
      <c r="P87" s="3118" t="s">
        <v>3825</v>
      </c>
      <c r="Q87" s="3118">
        <v>504000</v>
      </c>
      <c r="R87" s="3118">
        <v>9409.4500000000007</v>
      </c>
      <c r="S87" s="3118">
        <v>15000</v>
      </c>
      <c r="T87" s="3118">
        <v>0</v>
      </c>
      <c r="U87" s="3118" t="s">
        <v>4156</v>
      </c>
      <c r="V87" s="3118" t="s">
        <v>3824</v>
      </c>
      <c r="W87" s="3118" t="s">
        <v>3824</v>
      </c>
    </row>
    <row r="88" spans="1:23" hidden="1">
      <c r="A88" s="3118" t="s">
        <v>4171</v>
      </c>
      <c r="B88" s="3118" t="s">
        <v>3719</v>
      </c>
      <c r="C88" s="3118" t="s">
        <v>4172</v>
      </c>
      <c r="D88" s="3118" t="s">
        <v>3820</v>
      </c>
      <c r="E88" s="3118">
        <v>65873.39</v>
      </c>
      <c r="F88" s="3118">
        <v>164683</v>
      </c>
      <c r="G88" s="3118">
        <v>2.5</v>
      </c>
      <c r="H88" s="3118" t="s">
        <v>3821</v>
      </c>
      <c r="I88" s="3118" t="s">
        <v>4162</v>
      </c>
      <c r="J88" s="3118" t="s">
        <v>3823</v>
      </c>
      <c r="K88" s="3118" t="s">
        <v>3824</v>
      </c>
      <c r="L88" s="3118" t="s">
        <v>3825</v>
      </c>
      <c r="M88" s="3119">
        <v>42087.000497685185</v>
      </c>
      <c r="N88" s="3118" t="s">
        <v>3826</v>
      </c>
      <c r="O88" s="3118" t="s">
        <v>4173</v>
      </c>
      <c r="P88" s="3118" t="s">
        <v>3825</v>
      </c>
      <c r="Q88" s="3118">
        <v>108000</v>
      </c>
      <c r="R88" s="3118">
        <v>1093.01</v>
      </c>
      <c r="S88" s="3118">
        <v>6558</v>
      </c>
      <c r="T88" s="3118">
        <v>38.46</v>
      </c>
      <c r="U88" s="3118" t="s">
        <v>4156</v>
      </c>
      <c r="V88" s="3118" t="s">
        <v>3824</v>
      </c>
      <c r="W88" s="3118" t="s">
        <v>3824</v>
      </c>
    </row>
    <row r="89" spans="1:23" hidden="1">
      <c r="A89" s="3118" t="s">
        <v>4174</v>
      </c>
      <c r="B89" s="3118" t="s">
        <v>3719</v>
      </c>
      <c r="C89" s="3118" t="s">
        <v>4175</v>
      </c>
      <c r="D89" s="3118" t="s">
        <v>3820</v>
      </c>
      <c r="E89" s="3118">
        <v>35418.839999999997</v>
      </c>
      <c r="F89" s="3118">
        <v>141675</v>
      </c>
      <c r="G89" s="3118">
        <v>4</v>
      </c>
      <c r="H89" s="3118" t="s">
        <v>3956</v>
      </c>
      <c r="I89" s="3118" t="s">
        <v>4169</v>
      </c>
      <c r="J89" s="3118" t="s">
        <v>3823</v>
      </c>
      <c r="K89" s="3118" t="s">
        <v>3824</v>
      </c>
      <c r="L89" s="3118" t="s">
        <v>3825</v>
      </c>
      <c r="M89" s="3119">
        <v>42044.000497685185</v>
      </c>
      <c r="N89" s="3118" t="s">
        <v>3826</v>
      </c>
      <c r="O89" s="3118" t="s">
        <v>4176</v>
      </c>
      <c r="P89" s="3118" t="s">
        <v>4177</v>
      </c>
      <c r="Q89" s="3118">
        <v>255015</v>
      </c>
      <c r="R89" s="3118">
        <v>4799.99</v>
      </c>
      <c r="S89" s="3118">
        <v>18000</v>
      </c>
      <c r="T89" s="3118">
        <v>0</v>
      </c>
      <c r="U89" s="3118" t="s">
        <v>4156</v>
      </c>
      <c r="V89" s="3118" t="s">
        <v>3824</v>
      </c>
      <c r="W89" s="3118" t="s">
        <v>3824</v>
      </c>
    </row>
    <row r="90" spans="1:23" hidden="1">
      <c r="A90" s="3118" t="s">
        <v>4178</v>
      </c>
      <c r="B90" s="3118" t="s">
        <v>3719</v>
      </c>
      <c r="C90" s="3118" t="s">
        <v>4179</v>
      </c>
      <c r="D90" s="3118" t="s">
        <v>3820</v>
      </c>
      <c r="E90" s="3118">
        <v>17277.400000000001</v>
      </c>
      <c r="F90" s="3118">
        <v>34555</v>
      </c>
      <c r="G90" s="3118">
        <v>2</v>
      </c>
      <c r="H90" s="3118" t="s">
        <v>3821</v>
      </c>
      <c r="I90" s="3118" t="s">
        <v>3822</v>
      </c>
      <c r="J90" s="3118" t="s">
        <v>3823</v>
      </c>
      <c r="K90" s="3118" t="s">
        <v>3824</v>
      </c>
      <c r="L90" s="3118" t="s">
        <v>3825</v>
      </c>
      <c r="M90" s="3119">
        <v>42047.000497685185</v>
      </c>
      <c r="N90" s="3118" t="s">
        <v>3826</v>
      </c>
      <c r="O90" s="3118" t="s">
        <v>4180</v>
      </c>
      <c r="P90" s="3118" t="s">
        <v>4104</v>
      </c>
      <c r="Q90" s="3118">
        <v>22000</v>
      </c>
      <c r="R90" s="3118">
        <v>848.89</v>
      </c>
      <c r="S90" s="3118">
        <v>6367</v>
      </c>
      <c r="T90" s="3118">
        <v>0</v>
      </c>
      <c r="U90" s="3118" t="s">
        <v>4156</v>
      </c>
      <c r="V90" s="3118" t="s">
        <v>3824</v>
      </c>
      <c r="W90" s="3118" t="s">
        <v>3824</v>
      </c>
    </row>
    <row r="91" spans="1:23" hidden="1">
      <c r="A91" s="3118" t="s">
        <v>4181</v>
      </c>
      <c r="B91" s="3118" t="s">
        <v>3719</v>
      </c>
      <c r="C91" s="3118" t="s">
        <v>4182</v>
      </c>
      <c r="D91" s="3118" t="s">
        <v>3820</v>
      </c>
      <c r="E91" s="3118">
        <v>88702.37</v>
      </c>
      <c r="F91" s="3118">
        <v>206707</v>
      </c>
      <c r="G91" s="3118">
        <v>2.33</v>
      </c>
      <c r="H91" s="3118" t="s">
        <v>3821</v>
      </c>
      <c r="I91" s="3118" t="s">
        <v>4183</v>
      </c>
      <c r="J91" s="3118" t="s">
        <v>3823</v>
      </c>
      <c r="K91" s="3118" t="s">
        <v>3824</v>
      </c>
      <c r="L91" s="3118" t="s">
        <v>3825</v>
      </c>
      <c r="M91" s="3119">
        <v>42047.000497685185</v>
      </c>
      <c r="N91" s="3118" t="s">
        <v>3826</v>
      </c>
      <c r="O91" s="3118" t="s">
        <v>4184</v>
      </c>
      <c r="P91" s="3118" t="s">
        <v>4185</v>
      </c>
      <c r="Q91" s="3118">
        <v>138000</v>
      </c>
      <c r="R91" s="3118">
        <v>1037.18</v>
      </c>
      <c r="S91" s="3118">
        <v>6676</v>
      </c>
      <c r="T91" s="3118">
        <v>2.6</v>
      </c>
      <c r="U91" s="3118" t="s">
        <v>4156</v>
      </c>
      <c r="V91" s="3118" t="s">
        <v>3824</v>
      </c>
      <c r="W91" s="3118" t="s">
        <v>3824</v>
      </c>
    </row>
    <row r="94" spans="1:23" ht="13.5">
      <c r="A94" s="3129" t="s">
        <v>4236</v>
      </c>
    </row>
  </sheetData>
  <phoneticPr fontId="140" type="noConversion"/>
  <hyperlinks>
    <hyperlink ref="A94" r:id="rId1"/>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651" customWidth="1"/>
    <col min="2" max="2" width="12" style="651" customWidth="1"/>
    <col min="3" max="3" width="9" style="651"/>
    <col min="4" max="4" width="14.125" style="651" customWidth="1"/>
    <col min="5" max="5" width="9" style="651"/>
    <col min="6" max="6" width="12.875" style="651" customWidth="1"/>
    <col min="7" max="16384" width="9" style="651"/>
  </cols>
  <sheetData>
    <row r="1" spans="1:22" ht="21">
      <c r="A1" s="1855" t="s">
        <v>2102</v>
      </c>
      <c r="B1" s="1856"/>
      <c r="C1" s="1856"/>
      <c r="D1" s="1856"/>
      <c r="E1" s="1857"/>
      <c r="F1" s="2641"/>
      <c r="G1" s="467"/>
      <c r="H1" s="467"/>
      <c r="I1" s="467"/>
      <c r="J1" s="467"/>
      <c r="K1" s="467"/>
      <c r="L1" s="467"/>
      <c r="M1" s="467"/>
      <c r="N1" s="467"/>
      <c r="O1" s="467"/>
      <c r="P1" s="467"/>
      <c r="Q1" s="467"/>
      <c r="R1" s="467"/>
      <c r="S1" s="467"/>
    </row>
    <row r="2" spans="1:22" ht="15.75">
      <c r="A2" s="1858" t="s">
        <v>1903</v>
      </c>
      <c r="B2" s="918">
        <f ca="1">SUMIF(B6:B13,"&lt;&gt;#ref!",B6:B13)</f>
        <v>409945</v>
      </c>
      <c r="C2" s="1859" t="s">
        <v>2095</v>
      </c>
      <c r="D2" s="1860" t="s">
        <v>2096</v>
      </c>
      <c r="E2" s="2555">
        <f>SUM(E6:E13)</f>
        <v>176954.78</v>
      </c>
      <c r="F2" s="2641"/>
      <c r="G2" s="467"/>
      <c r="H2" s="467"/>
      <c r="I2" s="467"/>
      <c r="J2" s="467"/>
      <c r="K2" s="467"/>
      <c r="L2" s="467"/>
      <c r="M2" s="467"/>
      <c r="N2" s="467"/>
      <c r="O2" s="467"/>
      <c r="P2" s="467"/>
      <c r="Q2" s="467"/>
      <c r="R2" s="467"/>
      <c r="S2" s="467"/>
    </row>
    <row r="3" spans="1:22" ht="15.75">
      <c r="A3" s="1858" t="s">
        <v>1119</v>
      </c>
      <c r="B3" s="2549">
        <f ca="1">ROUND(B2*10000/E2,0)</f>
        <v>23167</v>
      </c>
      <c r="C3" s="1859" t="s">
        <v>2103</v>
      </c>
      <c r="D3" s="2641"/>
      <c r="E3" s="2644"/>
      <c r="F3" s="2641"/>
      <c r="G3" s="467"/>
      <c r="H3" s="467"/>
      <c r="I3" s="467"/>
      <c r="J3" s="467"/>
      <c r="K3" s="467"/>
      <c r="L3" s="467"/>
      <c r="M3" s="467"/>
      <c r="N3" s="467"/>
      <c r="O3" s="467"/>
      <c r="P3" s="467"/>
      <c r="Q3" s="467"/>
      <c r="R3" s="467"/>
      <c r="S3" s="467"/>
    </row>
    <row r="4" spans="1:22" ht="15.75">
      <c r="A4" s="2645"/>
      <c r="B4" s="2641"/>
      <c r="C4" s="2641"/>
      <c r="D4" s="2641"/>
      <c r="E4" s="2644"/>
      <c r="F4" s="2641"/>
      <c r="G4" s="467"/>
      <c r="H4" s="467"/>
      <c r="I4" s="467"/>
      <c r="J4" s="467"/>
      <c r="K4" s="467"/>
      <c r="L4" s="467"/>
      <c r="M4" s="467"/>
      <c r="N4" s="467"/>
      <c r="O4" s="467"/>
      <c r="P4" s="467"/>
      <c r="Q4" s="467"/>
      <c r="R4" s="467"/>
      <c r="S4" s="467"/>
    </row>
    <row r="5" spans="1:22" ht="15">
      <c r="A5" s="2551" t="s">
        <v>2097</v>
      </c>
      <c r="B5" s="3385" t="s">
        <v>2098</v>
      </c>
      <c r="C5" s="3386"/>
      <c r="D5" s="2642"/>
      <c r="E5" s="1861" t="s">
        <v>2099</v>
      </c>
      <c r="F5" s="134" t="s">
        <v>2100</v>
      </c>
      <c r="G5" s="467"/>
      <c r="H5" s="467"/>
      <c r="I5" s="467"/>
      <c r="J5" s="467"/>
      <c r="K5" s="467"/>
      <c r="L5" s="467"/>
      <c r="M5" s="467"/>
      <c r="N5" s="467"/>
      <c r="O5" s="467"/>
      <c r="P5" s="467"/>
      <c r="Q5" s="467"/>
      <c r="R5" s="467"/>
      <c r="S5" s="467"/>
    </row>
    <row r="6" spans="1:22">
      <c r="A6" s="2552" t="str">
        <f>'数据-取费表'!AN6</f>
        <v>收益法</v>
      </c>
      <c r="B6" s="2550">
        <f ca="1">IF(F6="是",'数据-取费表'!AO6,0)</f>
        <v>374227</v>
      </c>
      <c r="C6" s="1859" t="s">
        <v>2095</v>
      </c>
      <c r="D6" s="2641"/>
      <c r="E6" s="2554">
        <f>IF(OR(A6=0,F6="否"),0,'数据-取费表'!K6+'数据-取费表'!S6)</f>
        <v>116688.04</v>
      </c>
      <c r="F6" s="1862" t="s">
        <v>2101</v>
      </c>
      <c r="G6" s="467"/>
      <c r="H6" s="467"/>
      <c r="I6" s="467"/>
      <c r="J6" s="467"/>
      <c r="K6" s="467"/>
      <c r="L6" s="467"/>
      <c r="M6" s="467"/>
      <c r="N6" s="467"/>
      <c r="O6" s="467"/>
      <c r="P6" s="467"/>
      <c r="Q6" s="467"/>
      <c r="R6" s="467"/>
      <c r="S6" s="467"/>
    </row>
    <row r="7" spans="1:22">
      <c r="A7" s="2552" t="str">
        <f>'数据-取费表'!AN7</f>
        <v>收益法-地下车库</v>
      </c>
      <c r="B7" s="2550">
        <f ca="1">IF(F7="是",'数据-取费表'!AO7,0)</f>
        <v>35718</v>
      </c>
      <c r="C7" s="1859" t="s">
        <v>2095</v>
      </c>
      <c r="D7" s="2641"/>
      <c r="E7" s="2554">
        <f>IF(OR(A7=0,F7="否"),0,'数据-取费表'!K7+'数据-取费表'!S7)</f>
        <v>60266.74</v>
      </c>
      <c r="F7" s="1862" t="s">
        <v>2101</v>
      </c>
      <c r="G7" s="467"/>
      <c r="H7" s="467"/>
      <c r="I7" s="467"/>
      <c r="J7" s="467"/>
      <c r="K7" s="467"/>
      <c r="L7" s="467"/>
      <c r="M7" s="467"/>
      <c r="N7" s="467"/>
      <c r="O7" s="467"/>
      <c r="P7" s="467"/>
      <c r="Q7" s="467"/>
      <c r="R7" s="467"/>
      <c r="S7" s="467"/>
    </row>
    <row r="8" spans="1:22">
      <c r="A8" s="2552">
        <f>'数据-取费表'!AN8</f>
        <v>0</v>
      </c>
      <c r="B8" s="2550" t="e">
        <f ca="1">IF(F8="是",'数据-取费表'!AO8,0)</f>
        <v>#REF!</v>
      </c>
      <c r="C8" s="1859" t="s">
        <v>2095</v>
      </c>
      <c r="D8" s="2641"/>
      <c r="E8" s="2554">
        <f>IF(OR(A8=0,F8="否"),0,'数据-取费表'!K8+'数据-取费表'!S8)</f>
        <v>0</v>
      </c>
      <c r="F8" s="1862" t="s">
        <v>2101</v>
      </c>
      <c r="G8" s="467"/>
      <c r="H8" s="467"/>
      <c r="I8" s="467"/>
      <c r="J8" s="467"/>
      <c r="K8" s="467"/>
      <c r="L8" s="467"/>
      <c r="M8" s="467"/>
      <c r="N8" s="467"/>
      <c r="O8" s="467"/>
      <c r="P8" s="467"/>
      <c r="Q8" s="467"/>
      <c r="R8" s="467"/>
      <c r="S8" s="467"/>
    </row>
    <row r="9" spans="1:22">
      <c r="A9" s="2552">
        <f>'数据-取费表'!AN9</f>
        <v>0</v>
      </c>
      <c r="B9" s="2550" t="e">
        <f ca="1">IF(F9="是",'数据-取费表'!AO9,0)</f>
        <v>#REF!</v>
      </c>
      <c r="C9" s="1859" t="s">
        <v>2095</v>
      </c>
      <c r="D9" s="2641"/>
      <c r="E9" s="2554">
        <f>IF(OR(A9=0,F9="否"),0,'数据-取费表'!K9+'数据-取费表'!S9)</f>
        <v>0</v>
      </c>
      <c r="F9" s="1862" t="s">
        <v>2101</v>
      </c>
      <c r="G9" s="467"/>
      <c r="H9" s="467"/>
      <c r="I9" s="467"/>
      <c r="J9" s="467"/>
      <c r="K9" s="467"/>
      <c r="L9" s="467"/>
      <c r="M9" s="467"/>
      <c r="N9" s="467"/>
      <c r="O9" s="467"/>
      <c r="P9" s="467"/>
      <c r="Q9" s="467"/>
      <c r="R9" s="467"/>
      <c r="S9" s="467"/>
    </row>
    <row r="10" spans="1:22">
      <c r="A10" s="2552">
        <f>'数据-取费表'!AN10</f>
        <v>0</v>
      </c>
      <c r="B10" s="2550" t="e">
        <f ca="1">IF(F10="是",'数据-取费表'!AO10,0)</f>
        <v>#REF!</v>
      </c>
      <c r="C10" s="1859" t="s">
        <v>2095</v>
      </c>
      <c r="D10" s="2641"/>
      <c r="E10" s="2554">
        <f>IF(OR(A10=0,F10="否"),0,'数据-取费表'!K10+'数据-取费表'!S10)</f>
        <v>0</v>
      </c>
      <c r="F10" s="1862" t="s">
        <v>2101</v>
      </c>
      <c r="G10" s="467"/>
      <c r="H10" s="467"/>
      <c r="I10" s="467"/>
      <c r="J10" s="467"/>
      <c r="K10" s="467"/>
      <c r="L10" s="467"/>
      <c r="M10" s="467"/>
      <c r="N10" s="467"/>
      <c r="O10" s="467"/>
      <c r="P10" s="467"/>
      <c r="Q10" s="467"/>
      <c r="R10" s="467"/>
      <c r="S10" s="467"/>
    </row>
    <row r="11" spans="1:22">
      <c r="A11" s="2552">
        <f>'数据-取费表'!AN11</f>
        <v>0</v>
      </c>
      <c r="B11" s="2550" t="e">
        <f ca="1">IF(F11="是",'数据-取费表'!AO11,0)</f>
        <v>#REF!</v>
      </c>
      <c r="C11" s="1859" t="s">
        <v>2095</v>
      </c>
      <c r="D11" s="2641"/>
      <c r="E11" s="2554">
        <f>IF(OR(A11=0,F11="否"),0,'数据-取费表'!K11+'数据-取费表'!S11)</f>
        <v>0</v>
      </c>
      <c r="F11" s="1862" t="s">
        <v>2101</v>
      </c>
      <c r="G11" s="467"/>
      <c r="H11" s="467"/>
      <c r="I11" s="467"/>
      <c r="J11" s="467"/>
      <c r="K11" s="467"/>
      <c r="L11" s="467"/>
      <c r="M11" s="467"/>
      <c r="N11" s="467"/>
      <c r="O11" s="467"/>
      <c r="P11" s="467"/>
      <c r="Q11" s="467"/>
      <c r="R11" s="467"/>
      <c r="S11" s="467"/>
    </row>
    <row r="12" spans="1:22">
      <c r="A12" s="2552">
        <f>'数据-取费表'!AN12</f>
        <v>0</v>
      </c>
      <c r="B12" s="2550" t="e">
        <f ca="1">IF(F12="是",'数据-取费表'!AO12,0)</f>
        <v>#REF!</v>
      </c>
      <c r="C12" s="1859" t="s">
        <v>2095</v>
      </c>
      <c r="D12" s="2641"/>
      <c r="E12" s="2554">
        <f>IF(OR(A12=0,F12="否"),0,'数据-取费表'!K12+'数据-取费表'!S12)</f>
        <v>0</v>
      </c>
      <c r="F12" s="1862" t="s">
        <v>2101</v>
      </c>
      <c r="G12" s="467"/>
      <c r="H12" s="467"/>
      <c r="I12" s="467"/>
      <c r="J12" s="467"/>
      <c r="K12" s="467"/>
      <c r="L12" s="467"/>
      <c r="M12" s="467"/>
      <c r="N12" s="467"/>
      <c r="O12" s="467"/>
      <c r="P12" s="467"/>
      <c r="Q12" s="467"/>
      <c r="R12" s="467"/>
      <c r="S12" s="467"/>
    </row>
    <row r="13" spans="1:22" ht="15" thickBot="1">
      <c r="A13" s="2553">
        <f>'数据-取费表'!AN13</f>
        <v>0</v>
      </c>
      <c r="B13" s="2550" t="e">
        <f ca="1">IF(F13="是",'数据-取费表'!AO13,0)</f>
        <v>#REF!</v>
      </c>
      <c r="C13" s="1863" t="s">
        <v>2095</v>
      </c>
      <c r="D13" s="2643"/>
      <c r="E13" s="2554">
        <f>IF(OR(A13=0,F13="否"),0,'数据-取费表'!K13+'数据-取费表'!S13)</f>
        <v>0</v>
      </c>
      <c r="F13" s="1862" t="s">
        <v>2101</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I33" sqref="I33"/>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1313</v>
      </c>
      <c r="B1" s="672"/>
      <c r="C1" s="1416" t="s">
        <v>3753</v>
      </c>
      <c r="D1" s="1400" t="s">
        <v>70</v>
      </c>
      <c r="E1" s="1401" t="s">
        <v>1111</v>
      </c>
      <c r="F1" s="1106">
        <f ca="1">J53</f>
        <v>37.409999999999997</v>
      </c>
      <c r="G1" s="1415">
        <f>MATCH(C1,'数据-取费表'!A6:A16,0)+5</f>
        <v>6</v>
      </c>
      <c r="H1" s="2627"/>
      <c r="I1" s="2628"/>
      <c r="J1" s="2628"/>
      <c r="K1" s="2629"/>
      <c r="L1" s="2628"/>
      <c r="M1" s="2628"/>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f ca="1">C40+J29+L46</f>
        <v>374227</v>
      </c>
      <c r="C2" s="1418" t="s">
        <v>1240</v>
      </c>
      <c r="D2" s="1418"/>
      <c r="E2" s="1424"/>
      <c r="F2" s="1425"/>
      <c r="G2" s="2640"/>
      <c r="H2" s="2630"/>
      <c r="I2" s="2630"/>
      <c r="J2" s="2630"/>
      <c r="K2" s="2631"/>
      <c r="L2" s="2630"/>
      <c r="M2" s="2630"/>
    </row>
    <row r="3" spans="1:37" ht="18" customHeight="1" thickBot="1">
      <c r="A3" s="1426" t="s">
        <v>1241</v>
      </c>
      <c r="B3" s="1427">
        <f ca="1">IF(ISERROR(B2*10000/F43),0,ROUND(B2*10000/F43,0))</f>
        <v>32071</v>
      </c>
      <c r="C3" s="1418" t="s">
        <v>1242</v>
      </c>
      <c r="D3" s="1418"/>
      <c r="E3" s="1424"/>
      <c r="F3" s="1425"/>
      <c r="G3" s="2640"/>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19983</v>
      </c>
      <c r="D5" s="1402" t="s">
        <v>1126</v>
      </c>
      <c r="E5" s="1116"/>
      <c r="F5" s="1117"/>
      <c r="G5" s="1421"/>
      <c r="H5" s="297">
        <v>1</v>
      </c>
      <c r="I5" s="298" t="s">
        <v>1125</v>
      </c>
      <c r="J5" s="1115">
        <f ca="1">J6+J10+J12</f>
        <v>0</v>
      </c>
      <c r="K5" s="1402" t="s">
        <v>1126</v>
      </c>
      <c r="L5" s="1116"/>
      <c r="M5" s="1117"/>
    </row>
    <row r="6" spans="1:37" ht="18" customHeight="1">
      <c r="A6" s="1114" t="s">
        <v>822</v>
      </c>
      <c r="B6" s="3389" t="s">
        <v>1127</v>
      </c>
      <c r="C6" s="1119">
        <f ca="1">ROUND(F6*F8*F7*(1-F9)/10000,0)</f>
        <v>19933</v>
      </c>
      <c r="D6" s="152" t="s">
        <v>2604</v>
      </c>
      <c r="E6" s="300" t="s">
        <v>1129</v>
      </c>
      <c r="F6" s="301">
        <f ca="1">INDIRECT("'数据-取费表'!u"&amp;$G$1)</f>
        <v>5.2</v>
      </c>
      <c r="G6" s="1421"/>
      <c r="H6" s="1114" t="s">
        <v>822</v>
      </c>
      <c r="I6" s="3389" t="s">
        <v>1127</v>
      </c>
      <c r="J6" s="299">
        <f ca="1">ROUND(M6*M8*M7*(1-M9)/10000,0)</f>
        <v>0</v>
      </c>
      <c r="K6" s="152" t="s">
        <v>2603</v>
      </c>
      <c r="L6" s="300" t="s">
        <v>1129</v>
      </c>
      <c r="M6" s="301">
        <f ca="1">INDIRECT("'数据-取费表'!z"&amp;$G$1)</f>
        <v>0</v>
      </c>
    </row>
    <row r="7" spans="1:37" ht="18" customHeight="1">
      <c r="A7" s="1118"/>
      <c r="B7" s="3390"/>
      <c r="C7" s="1120"/>
      <c r="D7" s="305"/>
      <c r="E7" s="1121" t="s">
        <v>1130</v>
      </c>
      <c r="F7" s="301">
        <f ca="1">IF(INDIRECT("'数据-取费表'!ah"&amp;$G$1)="",INDIRECT("'数据-取费表'!k"&amp;$G$1),INDIRECT("'数据-取费表'!ah"&amp;$G$1))</f>
        <v>116688.04</v>
      </c>
      <c r="G7" s="1421"/>
      <c r="H7" s="302"/>
      <c r="I7" s="3390"/>
      <c r="J7" s="304"/>
      <c r="K7" s="305"/>
      <c r="L7" s="300" t="s">
        <v>1130</v>
      </c>
      <c r="M7" s="301">
        <f ca="1">F7</f>
        <v>116688.04</v>
      </c>
    </row>
    <row r="8" spans="1:37" ht="18" customHeight="1">
      <c r="A8" s="302"/>
      <c r="B8" s="3390"/>
      <c r="C8" s="304"/>
      <c r="D8" s="305"/>
      <c r="E8" s="300" t="s">
        <v>1131</v>
      </c>
      <c r="F8" s="301">
        <f ca="1">INDIRECT("'数据-取费表'!ai"&amp;$G$1)</f>
        <v>365</v>
      </c>
      <c r="G8" s="1421"/>
      <c r="H8" s="302"/>
      <c r="I8" s="3390"/>
      <c r="J8" s="304"/>
      <c r="K8" s="305"/>
      <c r="L8" s="300" t="s">
        <v>1131</v>
      </c>
      <c r="M8" s="301">
        <f ca="1">INDIRECT("'数据-取费表'!ai"&amp;$G$1)</f>
        <v>365</v>
      </c>
    </row>
    <row r="9" spans="1:37" ht="18" customHeight="1">
      <c r="A9" s="302"/>
      <c r="B9" s="3391"/>
      <c r="C9" s="304"/>
      <c r="D9" s="305"/>
      <c r="E9" s="300" t="s">
        <v>1132</v>
      </c>
      <c r="F9" s="310">
        <f ca="1">INDIRECT("'数据-取费表'!w"&amp;$G$1)</f>
        <v>0.1</v>
      </c>
      <c r="G9" s="1421"/>
      <c r="H9" s="302"/>
      <c r="I9" s="3391"/>
      <c r="J9" s="304"/>
      <c r="K9" s="305"/>
      <c r="L9" s="311" t="s">
        <v>1132</v>
      </c>
      <c r="M9" s="312">
        <f ca="1">INDIRECT("'数据-取费表'!ab"&amp;$G$1)</f>
        <v>0</v>
      </c>
    </row>
    <row r="10" spans="1:37" ht="18" customHeight="1">
      <c r="A10" s="1114" t="s">
        <v>826</v>
      </c>
      <c r="B10" s="1403" t="s">
        <v>1133</v>
      </c>
      <c r="C10" s="314">
        <f ca="1">ROUND(IF(F10="押一",C6/12*F11,IF(F10="押二",C6/12*2*F11,IF(F10="押三",C6/12*3*F11,C11*F11))),0)</f>
        <v>50</v>
      </c>
      <c r="D10" s="155" t="s">
        <v>2612</v>
      </c>
      <c r="E10" s="311" t="s">
        <v>1134</v>
      </c>
      <c r="F10" s="1161" t="s">
        <v>4237</v>
      </c>
      <c r="G10" s="1421"/>
      <c r="H10" s="1114" t="s">
        <v>826</v>
      </c>
      <c r="I10" s="1403" t="s">
        <v>1133</v>
      </c>
      <c r="J10" s="299">
        <f ca="1">ROUND(IF(M10="押一",J6/12*M11,IF(M10="押二",J6/12*2*M11,IF(M10="押三",J6/12*3*M11,J11*M11))),0)</f>
        <v>0</v>
      </c>
      <c r="K10" s="155" t="s">
        <v>2611</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80282</v>
      </c>
      <c r="D13" s="1126" t="s">
        <v>1139</v>
      </c>
      <c r="E13" s="1126" t="s">
        <v>1140</v>
      </c>
      <c r="F13" s="1127">
        <f ca="1">INDIRECT("'数据-取费表'!y"&amp;$G$1)</f>
        <v>0.87</v>
      </c>
      <c r="G13" s="1421"/>
      <c r="H13" s="1124">
        <v>2</v>
      </c>
      <c r="I13" s="1125" t="s">
        <v>1138</v>
      </c>
      <c r="J13" s="1113">
        <f ca="1">ROUND(J14*J15,0)</f>
        <v>0</v>
      </c>
      <c r="K13" s="1132" t="s">
        <v>1139</v>
      </c>
      <c r="L13" s="1428"/>
      <c r="M13" s="1429"/>
    </row>
    <row r="14" spans="1:37" ht="18" customHeight="1">
      <c r="A14" s="1035" t="s">
        <v>821</v>
      </c>
      <c r="B14" s="300" t="s">
        <v>1141</v>
      </c>
      <c r="C14" s="316">
        <f ca="1">INDIRECT("'数据-取费表'!m"&amp;$G$1)+INDIRECT("'数据-取费表'!t"&amp;$G$1)</f>
        <v>58344</v>
      </c>
      <c r="D14" s="1386" t="s">
        <v>1142</v>
      </c>
      <c r="E14" s="1384"/>
      <c r="F14" s="317"/>
      <c r="G14" s="1421"/>
      <c r="H14" s="1035" t="s">
        <v>822</v>
      </c>
      <c r="I14" s="300" t="s">
        <v>1143</v>
      </c>
      <c r="J14" s="24">
        <f ca="1">C29</f>
        <v>92278</v>
      </c>
      <c r="K14" s="15"/>
      <c r="L14" s="844"/>
      <c r="M14" s="845"/>
    </row>
    <row r="15" spans="1:37" s="1433" customFormat="1" ht="18" customHeight="1" thickBot="1">
      <c r="A15" s="1035" t="s">
        <v>823</v>
      </c>
      <c r="B15" s="300" t="s">
        <v>1144</v>
      </c>
      <c r="C15" s="24">
        <f ca="1">ROUND(C14*F15,0)</f>
        <v>2917</v>
      </c>
      <c r="D15" s="318" t="s">
        <v>1145</v>
      </c>
      <c r="E15" s="318" t="s">
        <v>1146</v>
      </c>
      <c r="F15" s="319">
        <f>'数据-取费表'!B33</f>
        <v>0.05</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f ca="1">ROUND(J17+J22+J23+J24,0)</f>
        <v>1245</v>
      </c>
      <c r="K16" s="1132" t="s">
        <v>1149</v>
      </c>
      <c r="L16" s="1133"/>
      <c r="M16" s="1117"/>
    </row>
    <row r="17" spans="1:37" s="1433" customFormat="1" ht="18" customHeight="1">
      <c r="A17" s="1035" t="s">
        <v>1114</v>
      </c>
      <c r="B17" s="300" t="s">
        <v>1150</v>
      </c>
      <c r="C17" s="24">
        <f ca="1">ROUND(F17*(F43+INDIRECT("'数据-取费表'!S"&amp;$G$1))/10000,0)</f>
        <v>2334</v>
      </c>
      <c r="D17" s="300" t="s">
        <v>1151</v>
      </c>
      <c r="E17" s="300" t="s">
        <v>1152</v>
      </c>
      <c r="F17" s="26">
        <f>'数据-取费表'!B35</f>
        <v>200</v>
      </c>
      <c r="G17" s="1432"/>
      <c r="H17" s="1035" t="s">
        <v>822</v>
      </c>
      <c r="I17" s="300" t="s">
        <v>1153</v>
      </c>
      <c r="J17" s="2297">
        <f ca="1">ROUND(IF(AND(项目基本情况!B11="自然人",项目基本情况!B10="北京市"),J6*M17/(1+'数据-取费表'!C42),J18+J19+J20),0)</f>
        <v>784</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875</v>
      </c>
      <c r="D18" s="300" t="s">
        <v>1145</v>
      </c>
      <c r="E18" s="300" t="s">
        <v>1146</v>
      </c>
      <c r="F18" s="320">
        <f>'数据-取费表'!B36</f>
        <v>1.4999999999999999E-2</v>
      </c>
      <c r="G18" s="1432"/>
      <c r="H18" s="1035" t="s">
        <v>821</v>
      </c>
      <c r="I18" s="300" t="s">
        <v>1157</v>
      </c>
      <c r="J18" s="24">
        <f ca="1">ROUND(J6*M18/(1+'数据-取费表'!C42),2)</f>
        <v>0</v>
      </c>
      <c r="K18" s="1385" t="s">
        <v>1158</v>
      </c>
      <c r="L18" s="300" t="s">
        <v>1146</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64470</v>
      </c>
      <c r="D19" s="128" t="s">
        <v>1160</v>
      </c>
      <c r="E19" s="1398"/>
      <c r="F19" s="26"/>
      <c r="G19" s="1421"/>
      <c r="H19" s="1035" t="s">
        <v>823</v>
      </c>
      <c r="I19" s="300" t="s">
        <v>1161</v>
      </c>
      <c r="J19" s="24">
        <f ca="1">IF(K19="按租金收入计税",ROUND(J6*M19/(1+'数据-取费表'!C42),2),ROUND(C29*M19*0.7,2))</f>
        <v>775.14</v>
      </c>
      <c r="K19" s="1407" t="s">
        <v>1162</v>
      </c>
      <c r="L19" s="300" t="s">
        <v>1146</v>
      </c>
      <c r="M19" s="320">
        <f>IF(K19="按租金收入计税",'数据-取费表'!B51,'数据-取费表'!B50)</f>
        <v>1.2E-2</v>
      </c>
    </row>
    <row r="20" spans="1:37" s="1433" customFormat="1" ht="18" customHeight="1">
      <c r="A20" s="1035" t="s">
        <v>826</v>
      </c>
      <c r="B20" s="300" t="s">
        <v>1163</v>
      </c>
      <c r="C20" s="24">
        <f ca="1">ROUND(C19*F20,0)</f>
        <v>1934</v>
      </c>
      <c r="D20" s="321" t="s">
        <v>1164</v>
      </c>
      <c r="E20" s="300" t="s">
        <v>1146</v>
      </c>
      <c r="F20" s="320">
        <f>'数据-取费表'!B37</f>
        <v>0.03</v>
      </c>
      <c r="G20" s="1432"/>
      <c r="H20" s="1035" t="s">
        <v>1113</v>
      </c>
      <c r="I20" s="152" t="s">
        <v>1165</v>
      </c>
      <c r="J20" s="25">
        <f ca="1">ROUND(M20*M21/10000,2)</f>
        <v>9.0399999999999991</v>
      </c>
      <c r="K20" s="322" t="s">
        <v>1166</v>
      </c>
      <c r="L20" s="300" t="s">
        <v>1167</v>
      </c>
      <c r="M20" s="323">
        <f>'数据-取费表'!B52</f>
        <v>3</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18</v>
      </c>
      <c r="D21" s="321" t="s">
        <v>1169</v>
      </c>
      <c r="E21" s="300" t="s">
        <v>1170</v>
      </c>
      <c r="F21" s="320">
        <f>'数据-取费表'!B38</f>
        <v>0.03</v>
      </c>
      <c r="G21" s="1432"/>
      <c r="H21" s="324"/>
      <c r="I21" s="309"/>
      <c r="J21" s="29"/>
      <c r="K21" s="325"/>
      <c r="L21" s="300" t="s">
        <v>1171</v>
      </c>
      <c r="M21" s="301">
        <f ca="1">INDIRECT("'数据-取费表'!r"&amp;$G$1)</f>
        <v>30147.42</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ROUND(J14*M22,1)</f>
        <v>461.4</v>
      </c>
      <c r="K22" s="1385" t="s">
        <v>1174</v>
      </c>
      <c r="L22" s="300" t="s">
        <v>1146</v>
      </c>
      <c r="M22" s="326">
        <f ca="1">INDIRECT("'数据-取费表'!Ak"&amp;$G$1)</f>
        <v>5.0000000000000001E-3</v>
      </c>
    </row>
    <row r="23" spans="1:37" s="1433" customFormat="1" ht="18" customHeight="1">
      <c r="A23" s="1035" t="s">
        <v>821</v>
      </c>
      <c r="B23" s="300" t="s">
        <v>1175</v>
      </c>
      <c r="C23" s="24">
        <f ca="1">IF('数据-取费表'!B22&lt;=1,ROUND(C19*F24*F23/2,0)+ROUND(C20*F24*F23/2,0),ROUND(C19*(POWER((1+F24),F23/2)-1),0)+ROUND(C20*(POWER((1+F24),F23/2)-1),0))</f>
        <v>4177</v>
      </c>
      <c r="D23" s="143" t="str">
        <f>IF(F23&lt;=1,"(建造成本+管理费用)×利率×(建设周期÷2)","(建造成本+管理费用)×((1+利率)^(建设周期÷2)-1)")</f>
        <v>(建造成本+管理费用)×((1+利率)^(建设周期÷2)-1)</v>
      </c>
      <c r="E23" s="300" t="s">
        <v>1176</v>
      </c>
      <c r="F23" s="323">
        <f>'数据-取费表'!B20</f>
        <v>3</v>
      </c>
      <c r="G23" s="1432"/>
      <c r="H23" s="1035" t="s">
        <v>862</v>
      </c>
      <c r="I23" s="300" t="s">
        <v>1177</v>
      </c>
      <c r="J23" s="24">
        <f ca="1">ROUND(J13*M23,1)</f>
        <v>0</v>
      </c>
      <c r="K23" s="1385" t="s">
        <v>1178</v>
      </c>
      <c r="L23" s="300" t="s">
        <v>1179</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1.9E-3</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ROUND(J5*M24,1)</f>
        <v>0</v>
      </c>
      <c r="K24" s="1137" t="s">
        <v>1183</v>
      </c>
      <c r="L24" s="1135" t="s">
        <v>1179</v>
      </c>
      <c r="M24" s="1131">
        <f ca="1">INDIRECT("'数据-取费表'!Am"&amp;$G$1)</f>
        <v>0.02</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f ca="1">J5-J16</f>
        <v>-1245</v>
      </c>
      <c r="K25" s="1140" t="s">
        <v>1188</v>
      </c>
      <c r="L25" s="1141"/>
      <c r="M25" s="1142"/>
    </row>
    <row r="26" spans="1:37">
      <c r="A26" s="1035" t="s">
        <v>821</v>
      </c>
      <c r="B26" s="300" t="s">
        <v>1189</v>
      </c>
      <c r="C26" s="24">
        <f ca="1">ROUND((C19+C20)*F26,0)</f>
        <v>13281</v>
      </c>
      <c r="D26" s="321" t="s">
        <v>1190</v>
      </c>
      <c r="E26" s="311" t="s">
        <v>1191</v>
      </c>
      <c r="F26" s="310">
        <f ca="1">INDIRECT("'数据-取费表'!q"&amp;$G$1)</f>
        <v>0.2</v>
      </c>
      <c r="G26" s="1421"/>
      <c r="H26" s="297" t="s">
        <v>819</v>
      </c>
      <c r="I26" s="298" t="s">
        <v>1192</v>
      </c>
      <c r="J26" s="299">
        <f ca="1">IF(J5&lt;&gt;0,ROUND(J25*(1-((1+M28)/(1+M26))^M27)/(M26-M28),0),0)</f>
        <v>0</v>
      </c>
      <c r="K26" s="322" t="s">
        <v>1193</v>
      </c>
      <c r="L26" s="300" t="s">
        <v>1194</v>
      </c>
      <c r="M26" s="310">
        <f ca="1">INDIRECT("'数据-取费表'!I"&amp;$G$1)</f>
        <v>5.5E-2</v>
      </c>
    </row>
    <row r="27" spans="1:37" ht="18" customHeight="1">
      <c r="A27" s="1035" t="s">
        <v>823</v>
      </c>
      <c r="B27" s="300" t="s">
        <v>1195</v>
      </c>
      <c r="C27" s="24">
        <f ca="1">ROUND(F21*F26,4)</f>
        <v>6.0000000000000001E-3</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5.33E-2</v>
      </c>
      <c r="D28" s="321" t="s">
        <v>1200</v>
      </c>
      <c r="E28" s="300" t="s">
        <v>1146</v>
      </c>
      <c r="F28" s="320">
        <f>'数据-取费表'!B41</f>
        <v>5.6000000000000001E-2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92278</v>
      </c>
      <c r="D29" s="1137"/>
      <c r="E29" s="1135"/>
      <c r="F29" s="1138"/>
      <c r="G29" s="1432"/>
      <c r="H29" s="331" t="s">
        <v>820</v>
      </c>
      <c r="I29" s="332" t="s">
        <v>1203</v>
      </c>
      <c r="J29" s="333">
        <f ca="1">ROUND(J26/(1+F40)^F41,0)</f>
        <v>0</v>
      </c>
      <c r="K29" s="334" t="s">
        <v>1204</v>
      </c>
      <c r="L29" s="335"/>
      <c r="M29" s="336">
        <f ca="1">INDIRECT("'数据-取费表'!k"&amp;$G$1)</f>
        <v>116688.04</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4291</v>
      </c>
      <c r="D30" s="1132" t="s">
        <v>1149</v>
      </c>
      <c r="E30" s="1133"/>
      <c r="F30" s="1117"/>
      <c r="G30" s="1421"/>
      <c r="H30" s="2632"/>
      <c r="I30" s="1434"/>
      <c r="J30" s="1435"/>
      <c r="K30" s="126"/>
      <c r="L30" s="2633"/>
      <c r="M30" s="2634"/>
    </row>
    <row r="31" spans="1:37" ht="18" customHeight="1">
      <c r="A31" s="1035" t="s">
        <v>822</v>
      </c>
      <c r="B31" s="300" t="s">
        <v>1153</v>
      </c>
      <c r="C31" s="2297">
        <f ca="1">ROUND(IF(AND(项目基本情况!B11="自然人",项目基本情况!B10="北京市"),C6*F31/(1+'数据-取费表'!C42),C32+C33+C34),0)</f>
        <v>3350</v>
      </c>
      <c r="D31" s="1386" t="s">
        <v>1154</v>
      </c>
      <c r="E31" s="1385" t="s">
        <v>1205</v>
      </c>
      <c r="F31" s="2296" t="str">
        <f>IF(项目基本情况!B11="企业","——",IF('数据-取费表'!B10="住宅",IF(F6*F7*F8/12/(1+'数据-取费表'!F30)&gt;100000,4%,2.5%),IF(F6*F7*F8/12/(1+'数据-取费表'!F30)&gt;100000,12%,7%)))</f>
        <v>——</v>
      </c>
      <c r="G31" s="1421"/>
      <c r="H31" s="2733" t="s">
        <v>2805</v>
      </c>
      <c r="I31" s="1434"/>
      <c r="J31" s="1435"/>
      <c r="K31" s="126"/>
      <c r="L31" s="2633"/>
      <c r="M31" s="2634"/>
    </row>
    <row r="32" spans="1:37" ht="18" customHeight="1">
      <c r="A32" s="1035" t="s">
        <v>821</v>
      </c>
      <c r="B32" s="300" t="s">
        <v>1157</v>
      </c>
      <c r="C32" s="24">
        <f ca="1">IF(项目基本情况!B11="自然人","——",ROUND(C6*F32/(1+'数据-取费表'!C42),2))</f>
        <v>1063.0899999999999</v>
      </c>
      <c r="D32" s="1385" t="s">
        <v>1158</v>
      </c>
      <c r="E32" s="300" t="s">
        <v>1146</v>
      </c>
      <c r="F32" s="328">
        <f>'数据-取费表'!B41</f>
        <v>5.6000000000000001E-2</v>
      </c>
      <c r="G32" s="1421"/>
      <c r="H32" s="2632"/>
      <c r="I32" s="1434"/>
      <c r="J32" s="1435"/>
      <c r="K32" s="126"/>
      <c r="L32" s="2633"/>
      <c r="M32" s="2634"/>
    </row>
    <row r="33" spans="1:18" ht="18" customHeight="1">
      <c r="A33" s="1035" t="s">
        <v>823</v>
      </c>
      <c r="B33" s="300" t="s">
        <v>1161</v>
      </c>
      <c r="C33" s="24">
        <f ca="1">IF(项目基本情况!B11="自然人","——",IF(D33="按租金收入计税",ROUND(C6*F33/(1+'数据-取费表'!C42),2),IF(D33="按房产原值计税",ROUND(C29*F33*0.7,2),INDIRECT("'数据-取费表'!Aj"&amp;$G$1))))</f>
        <v>2278.06</v>
      </c>
      <c r="D33" s="1407" t="s">
        <v>3754</v>
      </c>
      <c r="E33" s="300" t="s">
        <v>1146</v>
      </c>
      <c r="F33" s="320">
        <f>IF(D33="按票据","——",IF(D33="按租金收入计税",'数据-取费表'!B51,'数据-取费表'!B50))</f>
        <v>0.12</v>
      </c>
      <c r="G33" s="1421"/>
      <c r="H33" s="2635"/>
      <c r="I33" s="1434"/>
      <c r="J33" s="1435"/>
      <c r="K33" s="2636"/>
      <c r="L33" s="2635"/>
      <c r="M33" s="2635"/>
    </row>
    <row r="34" spans="1:18" ht="18" customHeight="1">
      <c r="A34" s="1114" t="s">
        <v>1113</v>
      </c>
      <c r="B34" s="152" t="s">
        <v>1165</v>
      </c>
      <c r="C34" s="25">
        <f ca="1">IF(项目基本情况!B11="自然人","——",ROUND(F34*F35/10000,2))</f>
        <v>9.0399999999999991</v>
      </c>
      <c r="D34" s="322" t="s">
        <v>1166</v>
      </c>
      <c r="E34" s="300" t="s">
        <v>1167</v>
      </c>
      <c r="F34" s="323">
        <f>'数据-取费表'!B52</f>
        <v>3</v>
      </c>
      <c r="G34" s="1421"/>
      <c r="H34" s="2632"/>
      <c r="I34" s="1434"/>
      <c r="J34" s="1435"/>
      <c r="K34" s="2637"/>
      <c r="L34" s="2638"/>
      <c r="M34" s="2638"/>
    </row>
    <row r="35" spans="1:18" ht="18" customHeight="1">
      <c r="A35" s="1148"/>
      <c r="B35" s="1146"/>
      <c r="C35" s="29"/>
      <c r="D35" s="325"/>
      <c r="E35" s="300" t="s">
        <v>1171</v>
      </c>
      <c r="F35" s="301">
        <f ca="1">INDIRECT("'数据-取费表'!r"&amp;$G$1)</f>
        <v>30147.42</v>
      </c>
      <c r="G35" s="1421"/>
      <c r="H35" s="2632"/>
      <c r="I35" s="1434"/>
      <c r="J35" s="1435"/>
      <c r="K35" s="2636"/>
      <c r="L35" s="2635"/>
      <c r="M35" s="2635"/>
    </row>
    <row r="36" spans="1:18" ht="18" customHeight="1">
      <c r="A36" s="1147" t="s">
        <v>826</v>
      </c>
      <c r="B36" s="300" t="s">
        <v>1173</v>
      </c>
      <c r="C36" s="24">
        <f ca="1">ROUND(C29*F36,1)</f>
        <v>461.4</v>
      </c>
      <c r="D36" s="1385" t="s">
        <v>1206</v>
      </c>
      <c r="E36" s="300" t="s">
        <v>1146</v>
      </c>
      <c r="F36" s="326">
        <f ca="1">INDIRECT("'数据-取费表'!Ak"&amp;$G$1)</f>
        <v>5.0000000000000001E-3</v>
      </c>
      <c r="G36" s="1421"/>
      <c r="H36" s="2635"/>
      <c r="I36" s="1434"/>
      <c r="J36" s="1435"/>
      <c r="K36" s="2493"/>
      <c r="L36" s="2635"/>
      <c r="M36" s="2635"/>
    </row>
    <row r="37" spans="1:18" ht="18" customHeight="1">
      <c r="A37" s="1035" t="s">
        <v>862</v>
      </c>
      <c r="B37" s="300" t="s">
        <v>1177</v>
      </c>
      <c r="C37" s="24">
        <f ca="1">ROUND(C13*F37,1)</f>
        <v>80.3</v>
      </c>
      <c r="D37" s="1385" t="s">
        <v>1178</v>
      </c>
      <c r="E37" s="300" t="s">
        <v>1179</v>
      </c>
      <c r="F37" s="327">
        <f ca="1">INDIRECT("'数据-取费表'!Al"&amp;$G$1)</f>
        <v>1E-3</v>
      </c>
      <c r="G37" s="1421"/>
      <c r="H37" s="2635"/>
      <c r="I37" s="1434"/>
      <c r="J37" s="1435"/>
      <c r="K37" s="2493"/>
      <c r="L37" s="2635"/>
      <c r="M37" s="2635"/>
    </row>
    <row r="38" spans="1:18" ht="18" customHeight="1" thickBot="1">
      <c r="A38" s="1134" t="s">
        <v>1117</v>
      </c>
      <c r="B38" s="1135" t="s">
        <v>1163</v>
      </c>
      <c r="C38" s="1136">
        <f ca="1">ROUND(C5*F38,1)</f>
        <v>399.7</v>
      </c>
      <c r="D38" s="1137" t="s">
        <v>1183</v>
      </c>
      <c r="E38" s="1135" t="s">
        <v>1179</v>
      </c>
      <c r="F38" s="1131">
        <f ca="1">INDIRECT("'数据-取费表'!Am"&amp;$G$1)</f>
        <v>0.02</v>
      </c>
      <c r="G38" s="1421"/>
      <c r="H38" s="2635"/>
      <c r="I38" s="1434"/>
      <c r="J38" s="1435"/>
      <c r="K38" s="2633"/>
      <c r="L38" s="2635"/>
      <c r="M38" s="2635"/>
    </row>
    <row r="39" spans="1:18" ht="24.6" customHeight="1" thickTop="1">
      <c r="A39" s="1124" t="s">
        <v>818</v>
      </c>
      <c r="B39" s="1139" t="s">
        <v>1207</v>
      </c>
      <c r="C39" s="308">
        <f ca="1">C5-C30</f>
        <v>15692</v>
      </c>
      <c r="D39" s="1140" t="s">
        <v>1208</v>
      </c>
      <c r="E39" s="1141"/>
      <c r="F39" s="1142"/>
      <c r="G39" s="1421"/>
      <c r="H39" s="2635"/>
      <c r="I39" s="1434"/>
      <c r="J39" s="1435"/>
      <c r="K39" s="2633"/>
      <c r="L39" s="2635"/>
      <c r="M39" s="2635"/>
    </row>
    <row r="40" spans="1:18" ht="18" customHeight="1">
      <c r="A40" s="297" t="s">
        <v>819</v>
      </c>
      <c r="B40" s="298" t="s">
        <v>1209</v>
      </c>
      <c r="C40" s="299">
        <f ca="1">ROUND(C39*(1-((1+F42)/(1+F40))^F41)/(F40-F42),0)</f>
        <v>371760</v>
      </c>
      <c r="D40" s="322" t="s">
        <v>1193</v>
      </c>
      <c r="E40" s="300" t="s">
        <v>1194</v>
      </c>
      <c r="F40" s="310">
        <f ca="1">INDIRECT("'数据-取费表'!I"&amp;$G$1)</f>
        <v>5.5E-2</v>
      </c>
      <c r="G40" s="1421"/>
      <c r="H40" s="1495"/>
      <c r="I40" s="1434"/>
      <c r="J40" s="1435"/>
      <c r="K40" s="2633"/>
      <c r="L40" s="1495"/>
      <c r="M40" s="1495"/>
    </row>
    <row r="41" spans="1:18" ht="18" customHeight="1">
      <c r="A41" s="302"/>
      <c r="B41" s="303"/>
      <c r="C41" s="304"/>
      <c r="D41" s="329" t="s">
        <v>1210</v>
      </c>
      <c r="E41" s="300" t="s">
        <v>1198</v>
      </c>
      <c r="F41" s="330">
        <f ca="1">IF(INDIRECT("'数据-取费表'!af"&amp;$G$1)=0,INDIRECT("'数据-取费表'!ae"&amp;$G$1),INDIRECT("'数据-取费表'!af"&amp;$G$1))</f>
        <v>37.409999999999997</v>
      </c>
      <c r="G41" s="1421"/>
      <c r="H41" s="126"/>
      <c r="I41" s="1434"/>
      <c r="J41" s="1435"/>
      <c r="K41" s="2493"/>
      <c r="L41" s="126"/>
      <c r="M41" s="126"/>
    </row>
    <row r="42" spans="1:18" ht="18" customHeight="1">
      <c r="A42" s="306"/>
      <c r="B42" s="307"/>
      <c r="C42" s="308"/>
      <c r="D42" s="325"/>
      <c r="E42" s="300" t="s">
        <v>1201</v>
      </c>
      <c r="F42" s="310">
        <f ca="1">INDIRECT("'数据-取费表'!v"&amp;$G$1)</f>
        <v>0.03</v>
      </c>
      <c r="G42" s="1421"/>
      <c r="H42" s="126"/>
      <c r="I42" s="1434"/>
      <c r="J42" s="1435"/>
      <c r="K42" s="2493"/>
      <c r="L42" s="126"/>
      <c r="M42" s="126"/>
    </row>
    <row r="43" spans="1:18" ht="18" customHeight="1" thickBot="1">
      <c r="A43" s="331" t="s">
        <v>820</v>
      </c>
      <c r="B43" s="332" t="s">
        <v>1211</v>
      </c>
      <c r="C43" s="333">
        <f ca="1">ROUND(C40*10000/F43,0)</f>
        <v>31859</v>
      </c>
      <c r="D43" s="334" t="s">
        <v>1212</v>
      </c>
      <c r="E43" s="335" t="s">
        <v>1213</v>
      </c>
      <c r="F43" s="336">
        <f ca="1">INDIRECT("'数据-取费表'!k"&amp;$G$1)</f>
        <v>116688.04</v>
      </c>
      <c r="G43" s="1421"/>
      <c r="H43" s="126"/>
      <c r="I43" s="126"/>
      <c r="J43" s="126"/>
      <c r="K43" s="2493"/>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39" t="s">
        <v>1243</v>
      </c>
      <c r="P45" s="1495"/>
      <c r="Q45" s="1495"/>
      <c r="R45" s="1495"/>
    </row>
    <row r="46" spans="1:18" s="1421" customFormat="1" ht="13.5" thickBot="1">
      <c r="A46" s="1440" t="s">
        <v>1244</v>
      </c>
      <c r="C46" s="1441">
        <f ca="1">C68-C40</f>
        <v>-502338</v>
      </c>
      <c r="D46" s="1442" t="str">
        <f>C2</f>
        <v>万元</v>
      </c>
      <c r="E46" s="1436"/>
      <c r="F46" s="1436"/>
      <c r="I46" s="1443" t="s">
        <v>1245</v>
      </c>
      <c r="J46" s="1444"/>
      <c r="K46" s="1445"/>
      <c r="L46" s="1446">
        <f ca="1">IF(M47="住宅",0,IF(L48&gt;J51,L60,J60))</f>
        <v>2467</v>
      </c>
      <c r="O46" s="1447" t="s">
        <v>1246</v>
      </c>
      <c r="P46" s="1448" t="s">
        <v>1247</v>
      </c>
      <c r="Q46" s="1449" t="s">
        <v>1248</v>
      </c>
      <c r="R46" s="1449" t="s">
        <v>1249</v>
      </c>
    </row>
    <row r="47" spans="1:18" s="1421" customFormat="1" ht="13.5" thickBot="1">
      <c r="A47" s="999" t="s">
        <v>1120</v>
      </c>
      <c r="B47" s="1031" t="s">
        <v>1121</v>
      </c>
      <c r="C47" s="1162" t="s">
        <v>1122</v>
      </c>
      <c r="D47" s="1031" t="s">
        <v>1123</v>
      </c>
      <c r="E47" s="1102" t="s">
        <v>1124</v>
      </c>
      <c r="F47" s="1103"/>
      <c r="G47" s="690"/>
      <c r="I47" s="1450" t="s">
        <v>1250</v>
      </c>
      <c r="J47" s="1451" t="s">
        <v>3755</v>
      </c>
      <c r="K47" s="1452" t="s">
        <v>1251</v>
      </c>
      <c r="L47" s="1453">
        <f ca="1">INDIRECT("'数据-取费表'!d"&amp;$G$1)</f>
        <v>50</v>
      </c>
      <c r="M47" s="1417" t="str">
        <f>IF(ISNUMBER(FIND("住宅",C1)),"住宅","非住宅")</f>
        <v>非住宅</v>
      </c>
      <c r="O47" s="1454" t="s">
        <v>827</v>
      </c>
      <c r="P47" s="1455" t="s">
        <v>1252</v>
      </c>
      <c r="Q47" s="1456">
        <f ca="1">C40+J29</f>
        <v>371760</v>
      </c>
      <c r="R47" s="1456" t="s">
        <v>1253</v>
      </c>
    </row>
    <row r="48" spans="1:18" s="1421" customFormat="1" ht="28.5" thickBot="1">
      <c r="A48" s="1155" t="s">
        <v>863</v>
      </c>
      <c r="B48" s="298" t="s">
        <v>1125</v>
      </c>
      <c r="C48" s="1397">
        <f ca="1">C49+C53+C55</f>
        <v>0</v>
      </c>
      <c r="D48" s="1157"/>
      <c r="E48" s="1158"/>
      <c r="F48" s="1015"/>
      <c r="G48" s="690"/>
      <c r="H48" s="691"/>
      <c r="I48" s="1457" t="s">
        <v>1254</v>
      </c>
      <c r="J48" s="1458" t="s">
        <v>3756</v>
      </c>
      <c r="K48" s="1459" t="s">
        <v>1255</v>
      </c>
      <c r="L48" s="1460">
        <f ca="1">INDIRECT("'数据-取费表'!f"&amp;$G$1)</f>
        <v>37.409999999999997</v>
      </c>
      <c r="O48" s="1454" t="s">
        <v>828</v>
      </c>
      <c r="P48" s="1455" t="s">
        <v>1256</v>
      </c>
      <c r="Q48" s="1456">
        <f ca="1">J60</f>
        <v>2467</v>
      </c>
      <c r="R48" s="1456" t="s">
        <v>1257</v>
      </c>
    </row>
    <row r="49" spans="1:18" s="1421" customFormat="1" ht="13.5" thickBot="1">
      <c r="A49" s="1028" t="s">
        <v>864</v>
      </c>
      <c r="B49" s="1408" t="s">
        <v>1214</v>
      </c>
      <c r="C49" s="1159">
        <f ca="1">ROUND(F49*F51*F50*(1-F52)/10000,0)</f>
        <v>0</v>
      </c>
      <c r="D49" s="1099" t="s">
        <v>2605</v>
      </c>
      <c r="E49" s="1409" t="s">
        <v>1215</v>
      </c>
      <c r="F49" s="1104"/>
      <c r="H49" s="691"/>
      <c r="I49" s="1457" t="s">
        <v>1258</v>
      </c>
      <c r="J49" s="1461">
        <v>2014</v>
      </c>
      <c r="K49" s="1459" t="s">
        <v>1259</v>
      </c>
      <c r="L49" s="1462"/>
      <c r="O49" s="1463" t="s">
        <v>829</v>
      </c>
      <c r="P49" s="1455" t="s">
        <v>1260</v>
      </c>
      <c r="Q49" s="1456">
        <f ca="1">C29</f>
        <v>92278</v>
      </c>
      <c r="R49" s="1456" t="s">
        <v>1253</v>
      </c>
    </row>
    <row r="50" spans="1:18" s="1421" customFormat="1" ht="13.5" thickBot="1">
      <c r="A50" s="1029"/>
      <c r="B50" s="1032"/>
      <c r="C50" s="1163"/>
      <c r="D50" s="1006"/>
      <c r="E50" s="1100" t="s">
        <v>1130</v>
      </c>
      <c r="F50" s="1101">
        <f ca="1">F7</f>
        <v>116688.04</v>
      </c>
      <c r="H50" s="691"/>
      <c r="I50" s="1457" t="s">
        <v>1261</v>
      </c>
      <c r="J50" s="1464">
        <f>SUMPRODUCT((I63:I65=J47)*(J62:L62=J48)*(J63:L65))</f>
        <v>60</v>
      </c>
      <c r="K50" s="1459" t="s">
        <v>1262</v>
      </c>
      <c r="L50" s="1462"/>
      <c r="M50" s="1465"/>
      <c r="O50" s="1463" t="s">
        <v>830</v>
      </c>
      <c r="P50" s="1455" t="s">
        <v>1263</v>
      </c>
      <c r="Q50" s="1466">
        <f ca="1">J58</f>
        <v>0.4</v>
      </c>
      <c r="R50" s="1456"/>
    </row>
    <row r="51" spans="1:18" s="1421" customFormat="1" ht="13.5" thickBot="1">
      <c r="A51" s="1030"/>
      <c r="B51" s="1032"/>
      <c r="C51" s="1033"/>
      <c r="D51" s="1006"/>
      <c r="E51" s="1034" t="s">
        <v>1131</v>
      </c>
      <c r="F51" s="301">
        <f ca="1">F8</f>
        <v>365</v>
      </c>
      <c r="I51" s="1467" t="s">
        <v>1264</v>
      </c>
      <c r="J51" s="1460">
        <f>IF(J49="",J50,J49+J50-YEAR('数据-取费表'!B2))</f>
        <v>52</v>
      </c>
      <c r="K51" s="1468" t="s">
        <v>1265</v>
      </c>
      <c r="L51" s="1469">
        <f ca="1">ROUND(-PV(INDIRECT("'数据-取费表'!h"&amp;$G$1),J51,(C39-C13*C76),0),0)</f>
        <v>178118</v>
      </c>
      <c r="M51" s="1470"/>
      <c r="O51" s="1463" t="s">
        <v>831</v>
      </c>
      <c r="P51" s="1455" t="s">
        <v>1266</v>
      </c>
      <c r="Q51" s="1466">
        <f>J52</f>
        <v>7.4999999999999997E-2</v>
      </c>
      <c r="R51" s="1456"/>
    </row>
    <row r="52" spans="1:18" s="1421" customFormat="1" ht="13.5" thickBot="1">
      <c r="A52" s="1030"/>
      <c r="B52" s="1032"/>
      <c r="C52" s="1033"/>
      <c r="D52" s="1006"/>
      <c r="E52" s="1034" t="s">
        <v>1132</v>
      </c>
      <c r="F52" s="1098"/>
      <c r="I52" s="1471" t="s">
        <v>1267</v>
      </c>
      <c r="J52" s="1472">
        <v>7.4999999999999997E-2</v>
      </c>
      <c r="K52" s="1471" t="s">
        <v>1268</v>
      </c>
      <c r="L52" s="1472"/>
      <c r="O52" s="1463" t="s">
        <v>832</v>
      </c>
      <c r="P52" s="1455" t="s">
        <v>1269</v>
      </c>
      <c r="Q52" s="1456">
        <f ca="1">J53</f>
        <v>37.409999999999997</v>
      </c>
      <c r="R52" s="1456" t="s">
        <v>1270</v>
      </c>
    </row>
    <row r="53" spans="1:18" s="1421" customFormat="1" ht="24.75" thickBot="1">
      <c r="A53" s="1189" t="s">
        <v>865</v>
      </c>
      <c r="B53" s="1410" t="s">
        <v>1133</v>
      </c>
      <c r="C53" s="314">
        <f ca="1">ROUND(IF(F53="押一",C49/12*F11,IF(F53="押二",C49/12*2*F11,IF(F53="押三",C49/12*3*F11,C54*F11))),0)</f>
        <v>0</v>
      </c>
      <c r="D53" s="155" t="s">
        <v>2611</v>
      </c>
      <c r="E53" s="311" t="s">
        <v>1134</v>
      </c>
      <c r="F53" s="1161"/>
      <c r="I53" s="1473" t="s">
        <v>1271</v>
      </c>
      <c r="J53" s="2163">
        <f ca="1">IF(M47="住宅",IF(D1="——",MAX(J51,L48),MAX(J51,L48-'数据-取费表'!B24)),IF(D1="——",MIN(J51,L48),MIN(J51,L48-'数据-取费表'!B24)))</f>
        <v>37.409999999999997</v>
      </c>
      <c r="K53" s="3387" t="s">
        <v>1272</v>
      </c>
      <c r="L53" s="3388"/>
      <c r="O53" s="1454" t="s">
        <v>833</v>
      </c>
      <c r="P53" s="1455" t="s">
        <v>1273</v>
      </c>
      <c r="Q53" s="1456">
        <f ca="1">Q47+Q48</f>
        <v>374227</v>
      </c>
      <c r="R53" s="1456" t="s">
        <v>834</v>
      </c>
    </row>
    <row r="54" spans="1:18" s="1421" customFormat="1" ht="13.5"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f ca="1">ROUND(IF(J47="钢混",J57/J50,1-(1-2%)*(J50-J57)/J50),3)</f>
        <v>0.24299999999999999</v>
      </c>
      <c r="K55" s="1479" t="s">
        <v>1276</v>
      </c>
      <c r="L55" s="1480" t="s">
        <v>1277</v>
      </c>
      <c r="O55" s="1447" t="s">
        <v>1246</v>
      </c>
      <c r="P55" s="1448" t="s">
        <v>1247</v>
      </c>
      <c r="Q55" s="1449" t="s">
        <v>1248</v>
      </c>
      <c r="R55" s="1449" t="s">
        <v>1249</v>
      </c>
    </row>
    <row r="56" spans="1:18" s="1421" customFormat="1" ht="25.5" thickTop="1" thickBot="1">
      <c r="A56" s="1010">
        <v>2</v>
      </c>
      <c r="B56" s="1011" t="s">
        <v>1138</v>
      </c>
      <c r="C56" s="230">
        <f ca="1">C13</f>
        <v>80282</v>
      </c>
      <c r="D56" s="1481"/>
      <c r="E56" s="1482"/>
      <c r="F56" s="1474"/>
      <c r="I56" s="1483" t="s">
        <v>1278</v>
      </c>
      <c r="J56" s="1484" t="s">
        <v>3730</v>
      </c>
      <c r="K56" s="1457" t="s">
        <v>1279</v>
      </c>
      <c r="L56" s="1460" t="str">
        <f ca="1">IF(L48&lt;J51,"——",L48-J53)</f>
        <v>——</v>
      </c>
      <c r="O56" s="1454" t="s">
        <v>827</v>
      </c>
      <c r="P56" s="1455" t="s">
        <v>1252</v>
      </c>
      <c r="Q56" s="1456">
        <f ca="1">C40+J29</f>
        <v>371760</v>
      </c>
      <c r="R56" s="1456" t="s">
        <v>1253</v>
      </c>
    </row>
    <row r="57" spans="1:18" s="1421" customFormat="1" ht="24.75" thickBot="1">
      <c r="A57" s="1485"/>
      <c r="B57" s="1003" t="s">
        <v>1202</v>
      </c>
      <c r="C57" s="236">
        <f ca="1">C29</f>
        <v>92278</v>
      </c>
      <c r="D57" s="1486"/>
      <c r="E57" s="1487"/>
      <c r="F57" s="1488"/>
      <c r="I57" s="1489" t="s">
        <v>1280</v>
      </c>
      <c r="J57" s="1490">
        <f ca="1">IF(OR(M47="住宅",J51&lt;L48,J56="是"),"——",J51-L48)</f>
        <v>14.590000000000003</v>
      </c>
      <c r="K57" s="1457" t="s">
        <v>1281</v>
      </c>
      <c r="L57" s="1460" t="str">
        <f ca="1">IF(L48&lt;J51,"——",IF(L55="比较法",L49,IF(L55="基准地价",L50,L51)))</f>
        <v>——</v>
      </c>
      <c r="O57" s="1454" t="s">
        <v>828</v>
      </c>
      <c r="P57" s="1455" t="s">
        <v>1282</v>
      </c>
      <c r="Q57" s="1456">
        <f ca="1">L60</f>
        <v>0</v>
      </c>
      <c r="R57" s="1456" t="s">
        <v>1283</v>
      </c>
    </row>
    <row r="58" spans="1:18" s="1421" customFormat="1" ht="24.75" thickBot="1">
      <c r="A58" s="313" t="s">
        <v>817</v>
      </c>
      <c r="B58" s="1011" t="s">
        <v>1148</v>
      </c>
      <c r="C58" s="314">
        <f ca="1">ROUND(C59+C64+C65+C66,0)</f>
        <v>8302</v>
      </c>
      <c r="D58" s="1013" t="s">
        <v>1149</v>
      </c>
      <c r="E58" s="1014"/>
      <c r="F58" s="1015"/>
      <c r="I58" s="1489" t="s">
        <v>1284</v>
      </c>
      <c r="J58" s="1491">
        <f ca="1">IF(J55&lt;0.4,0.4,J55)</f>
        <v>0.4</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4.75" thickBot="1">
      <c r="A59" s="1035" t="s">
        <v>822</v>
      </c>
      <c r="B59" s="1003" t="s">
        <v>1153</v>
      </c>
      <c r="C59" s="2297">
        <f ca="1">ROUND(IF(AND(项目基本情况!B11="自然人",项目基本情况!B10="北京市"),C49*F59/(1+'数据-取费表'!C42),C60+C61+C62),0)</f>
        <v>7760</v>
      </c>
      <c r="D59" s="1016" t="s">
        <v>1154</v>
      </c>
      <c r="E59" s="1017" t="s">
        <v>1155</v>
      </c>
      <c r="F59" s="2296" t="str">
        <f>IF(项目基本情况!B11="企业","——",IF('数据-取费表'!B10="住宅",IF(F49*F50*F51/12/(1+'数据-取费表'!F30)&gt;100000,4%,2.5%),IF(F49*F50*F51/12/(1+'数据-取费表'!F30)&gt;100000,12%,7%)))</f>
        <v>——</v>
      </c>
      <c r="I59" s="1489" t="s">
        <v>1287</v>
      </c>
      <c r="J59" s="1490">
        <f ca="1">IF(OR(M47="住宅",J51&lt;L48,J56="是"),"——",ROUND(C29*J58,0))</f>
        <v>36911</v>
      </c>
      <c r="K59" s="14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5" thickBot="1">
      <c r="A60" s="1035" t="s">
        <v>821</v>
      </c>
      <c r="B60" s="1003" t="s">
        <v>1157</v>
      </c>
      <c r="C60" s="24">
        <f ca="1">IF(项目基本情况!B11="自然人","——",ROUND(C48*F60/(1+'数据-取费表'!C42),2))</f>
        <v>0</v>
      </c>
      <c r="D60" s="1017" t="s">
        <v>1158</v>
      </c>
      <c r="E60" s="1003" t="s">
        <v>1146</v>
      </c>
      <c r="F60" s="328">
        <f t="shared" ref="F60:F66" si="0">F32</f>
        <v>5.6000000000000001E-2</v>
      </c>
      <c r="I60" s="1492" t="s">
        <v>1289</v>
      </c>
      <c r="J60" s="1493">
        <f ca="1">IF(OR(M47="住宅",J51&lt;L48,J56="是"),"0",ROUND(J59/(1+J52)^J53,0))</f>
        <v>2467</v>
      </c>
      <c r="K60" s="1494" t="s">
        <v>1290</v>
      </c>
      <c r="L60" s="1493">
        <f ca="1">IF(OR(M47="住宅",L48&lt;J51),0,ROUND(L57*(L58/L59-1),0))</f>
        <v>0</v>
      </c>
      <c r="O60" s="1463" t="s">
        <v>831</v>
      </c>
      <c r="P60" s="1455" t="s">
        <v>1291</v>
      </c>
      <c r="Q60" s="1456" t="e">
        <f ca="1">L58</f>
        <v>#DIV/0!</v>
      </c>
      <c r="R60" s="1456" t="s">
        <v>1292</v>
      </c>
    </row>
    <row r="61" spans="1:18" s="1421" customFormat="1" ht="13.5" thickBot="1">
      <c r="A61" s="1035" t="s">
        <v>1216</v>
      </c>
      <c r="B61" s="1003" t="s">
        <v>1217</v>
      </c>
      <c r="C61" s="24">
        <f ca="1">IF(项目基本情况!B11="自然人","——",IF(D61="按租金收入计税",ROUND(C49*F61/(1+'数据-取费表'!C42),2),IF(D61="按房产原值计税",ROUND(C57*F61*0.7,2),INDIRECT("'数据-取费表'!Aj"&amp;$G$1))))</f>
        <v>7751.35</v>
      </c>
      <c r="D61" s="1407" t="s">
        <v>1162</v>
      </c>
      <c r="E61" s="1003" t="s">
        <v>1218</v>
      </c>
      <c r="F61" s="320">
        <f t="shared" si="0"/>
        <v>0.12</v>
      </c>
      <c r="I61" s="1495"/>
      <c r="J61" s="1495"/>
      <c r="K61" s="1495"/>
      <c r="L61" s="1495"/>
      <c r="O61" s="1463" t="s">
        <v>832</v>
      </c>
      <c r="P61" s="1455" t="str">
        <f>K59</f>
        <v>建筑物剩余耐用年限下的土地年期修正系数Kn</v>
      </c>
      <c r="Q61" s="1456" t="e">
        <f ca="1">L59</f>
        <v>#DIV/0!</v>
      </c>
      <c r="R61" s="1456" t="s">
        <v>1293</v>
      </c>
    </row>
    <row r="62" spans="1:18" s="1421" customFormat="1" ht="13.5" thickBot="1">
      <c r="A62" s="1035" t="s">
        <v>1219</v>
      </c>
      <c r="B62" s="1002" t="s">
        <v>1220</v>
      </c>
      <c r="C62" s="25">
        <f ca="1">IF(项目基本情况!B11="自然人","——",ROUND(F62*F63/10000,2))</f>
        <v>9.0399999999999991</v>
      </c>
      <c r="D62" s="1018" t="s">
        <v>1221</v>
      </c>
      <c r="E62" s="1003" t="s">
        <v>1222</v>
      </c>
      <c r="F62" s="323">
        <f t="shared" si="0"/>
        <v>3</v>
      </c>
      <c r="I62" s="1496" t="s">
        <v>1294</v>
      </c>
      <c r="J62" s="618" t="s">
        <v>1295</v>
      </c>
      <c r="K62" s="618" t="s">
        <v>1296</v>
      </c>
      <c r="L62" s="618" t="s">
        <v>1297</v>
      </c>
      <c r="M62" s="1497" t="s">
        <v>1298</v>
      </c>
      <c r="O62" s="1454" t="s">
        <v>833</v>
      </c>
      <c r="P62" s="1455" t="s">
        <v>1299</v>
      </c>
      <c r="Q62" s="1456">
        <f ca="1">Q56+Q57</f>
        <v>371760</v>
      </c>
      <c r="R62" s="1456" t="s">
        <v>834</v>
      </c>
    </row>
    <row r="63" spans="1:18" s="1421" customFormat="1" ht="13.5" thickBot="1">
      <c r="A63" s="324"/>
      <c r="B63" s="1009"/>
      <c r="C63" s="29"/>
      <c r="D63" s="1019"/>
      <c r="E63" s="1003" t="s">
        <v>1223</v>
      </c>
      <c r="F63" s="301">
        <f t="shared" ca="1" si="0"/>
        <v>30147.42</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f ca="1">ROUND(C57*F64,1)</f>
        <v>461.4</v>
      </c>
      <c r="D64" s="1017" t="s">
        <v>1226</v>
      </c>
      <c r="E64" s="1003" t="s">
        <v>1218</v>
      </c>
      <c r="F64" s="326">
        <f t="shared" ca="1" si="0"/>
        <v>5.0000000000000001E-3</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ROUND(C56*F65,1)</f>
        <v>80.3</v>
      </c>
      <c r="D65" s="1017" t="s">
        <v>1178</v>
      </c>
      <c r="E65" s="1003" t="s">
        <v>1179</v>
      </c>
      <c r="F65" s="327">
        <f t="shared" ca="1" si="0"/>
        <v>1E-3</v>
      </c>
      <c r="I65" s="1496" t="s">
        <v>1303</v>
      </c>
      <c r="J65" s="618">
        <v>40</v>
      </c>
      <c r="K65" s="618">
        <v>30</v>
      </c>
      <c r="L65" s="618">
        <v>50</v>
      </c>
      <c r="M65" s="1498">
        <v>0.02</v>
      </c>
      <c r="O65" s="1454" t="s">
        <v>827</v>
      </c>
      <c r="P65" s="1455" t="s">
        <v>1304</v>
      </c>
      <c r="Q65" s="1456">
        <f ca="1">C40+J29</f>
        <v>371760</v>
      </c>
      <c r="R65" s="1456" t="s">
        <v>1253</v>
      </c>
    </row>
    <row r="66" spans="1:18" s="1421" customFormat="1" ht="16.5" thickBot="1">
      <c r="A66" s="1035" t="s">
        <v>1228</v>
      </c>
      <c r="B66" s="1003" t="s">
        <v>1163</v>
      </c>
      <c r="C66" s="24">
        <f ca="1">ROUND(C48*F66,1)</f>
        <v>0</v>
      </c>
      <c r="D66" s="1017" t="s">
        <v>1229</v>
      </c>
      <c r="E66" s="1003" t="s">
        <v>1146</v>
      </c>
      <c r="F66" s="310">
        <f t="shared" ca="1" si="0"/>
        <v>0.02</v>
      </c>
      <c r="O66" s="1454" t="s">
        <v>828</v>
      </c>
      <c r="P66" s="1455" t="s">
        <v>1282</v>
      </c>
      <c r="Q66" s="1456">
        <f ca="1">L60</f>
        <v>0</v>
      </c>
      <c r="R66" s="1456" t="s">
        <v>1305</v>
      </c>
    </row>
    <row r="67" spans="1:18" s="1421" customFormat="1" ht="16.5" thickBot="1">
      <c r="A67" s="1010" t="s">
        <v>818</v>
      </c>
      <c r="B67" s="1020" t="s">
        <v>1187</v>
      </c>
      <c r="C67" s="314">
        <f ca="1">C48-C58</f>
        <v>-8302</v>
      </c>
      <c r="D67" s="1016" t="s">
        <v>1188</v>
      </c>
      <c r="E67" s="1021"/>
      <c r="F67" s="1022"/>
      <c r="O67" s="1463" t="s">
        <v>829</v>
      </c>
      <c r="P67" s="1455" t="s">
        <v>1286</v>
      </c>
      <c r="Q67" s="1499">
        <f ca="1">L51</f>
        <v>178118</v>
      </c>
      <c r="R67" s="1456" t="s">
        <v>1306</v>
      </c>
    </row>
    <row r="68" spans="1:18" s="1421" customFormat="1" ht="16.5" thickBot="1">
      <c r="A68" s="1000" t="s">
        <v>819</v>
      </c>
      <c r="B68" s="1001" t="s">
        <v>1209</v>
      </c>
      <c r="C68" s="299">
        <f ca="1">ROUND(C67*(1-((1+F70)/(1+F68))^F69)/(F68-F70),0)</f>
        <v>-130578</v>
      </c>
      <c r="D68" s="1018" t="s">
        <v>1193</v>
      </c>
      <c r="E68" s="1003" t="s">
        <v>1194</v>
      </c>
      <c r="F68" s="310">
        <f ca="1">F40</f>
        <v>5.5E-2</v>
      </c>
      <c r="O68" s="1463" t="s">
        <v>830</v>
      </c>
      <c r="P68" s="1500" t="s">
        <v>1307</v>
      </c>
      <c r="Q68" s="1456">
        <f ca="1">ROUND(Q69-Q70*Q71,0)</f>
        <v>9671</v>
      </c>
      <c r="R68" s="1456" t="s">
        <v>838</v>
      </c>
    </row>
    <row r="69" spans="1:18" s="1421" customFormat="1" ht="13.5" thickBot="1">
      <c r="A69" s="1004"/>
      <c r="B69" s="1005"/>
      <c r="C69" s="304"/>
      <c r="D69" s="1023" t="s">
        <v>1197</v>
      </c>
      <c r="E69" s="1003" t="s">
        <v>1198</v>
      </c>
      <c r="F69" s="330">
        <f ca="1">F41</f>
        <v>37.409999999999997</v>
      </c>
      <c r="O69" s="1463" t="s">
        <v>835</v>
      </c>
      <c r="P69" s="1500" t="s">
        <v>1308</v>
      </c>
      <c r="Q69" s="1456">
        <f ca="1">C39</f>
        <v>15692</v>
      </c>
      <c r="R69" s="1456" t="s">
        <v>1253</v>
      </c>
    </row>
    <row r="70" spans="1:18" s="1421" customFormat="1" ht="13.5" thickBot="1">
      <c r="A70" s="1007"/>
      <c r="B70" s="1008"/>
      <c r="C70" s="308"/>
      <c r="D70" s="1019"/>
      <c r="E70" s="1003" t="s">
        <v>1201</v>
      </c>
      <c r="F70" s="1098"/>
      <c r="O70" s="1463" t="s">
        <v>836</v>
      </c>
      <c r="P70" s="1500" t="s">
        <v>1309</v>
      </c>
      <c r="Q70" s="1456">
        <f ca="1">C13</f>
        <v>80282</v>
      </c>
      <c r="R70" s="1456" t="s">
        <v>1253</v>
      </c>
    </row>
    <row r="71" spans="1:18" s="1421" customFormat="1" ht="13.5" thickBot="1">
      <c r="A71" s="1024" t="s">
        <v>820</v>
      </c>
      <c r="B71" s="1025" t="s">
        <v>1211</v>
      </c>
      <c r="C71" s="333">
        <f ca="1">ROUND(C68*10000/F71,0)</f>
        <v>-11190</v>
      </c>
      <c r="D71" s="1026" t="s">
        <v>1212</v>
      </c>
      <c r="E71" s="1027" t="s">
        <v>1213</v>
      </c>
      <c r="F71" s="336">
        <f ca="1">F43</f>
        <v>116688.04</v>
      </c>
      <c r="O71" s="1463" t="s">
        <v>837</v>
      </c>
      <c r="P71" s="1500" t="s">
        <v>1310</v>
      </c>
      <c r="Q71" s="1466">
        <f ca="1">C76</f>
        <v>7.4999999999999997E-2</v>
      </c>
      <c r="R71" s="1456"/>
    </row>
    <row r="72" spans="1:18" s="1421" customFormat="1" ht="13.5" thickBot="1">
      <c r="B72" s="694"/>
      <c r="C72" s="694"/>
      <c r="O72" s="1463" t="s">
        <v>831</v>
      </c>
      <c r="P72" s="1455" t="s">
        <v>1288</v>
      </c>
      <c r="Q72" s="1466">
        <f>L52</f>
        <v>0</v>
      </c>
      <c r="R72" s="1456"/>
    </row>
    <row r="73" spans="1:18" ht="16.5"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建筑物剩余耐用年限下的土地年期修正系数Kn</v>
      </c>
      <c r="Q74" s="1456" t="e">
        <f ca="1">L59</f>
        <v>#DIV/0!</v>
      </c>
      <c r="R74" s="1456" t="s">
        <v>1293</v>
      </c>
    </row>
    <row r="75" spans="1:18" ht="13.5" thickBot="1">
      <c r="A75" s="1421"/>
      <c r="B75" s="337" t="s">
        <v>1230</v>
      </c>
      <c r="C75" s="338">
        <f ca="1">ROUND(C13*C76,0)</f>
        <v>6021</v>
      </c>
      <c r="D75" s="1421"/>
      <c r="E75" s="1421"/>
      <c r="F75" s="1421"/>
      <c r="K75" s="1438"/>
      <c r="L75" s="1421"/>
      <c r="O75" s="1454" t="s">
        <v>833</v>
      </c>
      <c r="P75" s="1455" t="s">
        <v>1273</v>
      </c>
      <c r="Q75" s="1456">
        <f ca="1">Q65+Q66</f>
        <v>371760</v>
      </c>
      <c r="R75" s="1456" t="s">
        <v>834</v>
      </c>
    </row>
    <row r="76" spans="1:18">
      <c r="B76" s="339" t="s">
        <v>1231</v>
      </c>
      <c r="C76" s="340">
        <f ca="1">INDIRECT("'数据-取费表'!j"&amp;$G$1)</f>
        <v>7.4999999999999997E-2</v>
      </c>
      <c r="I76" s="1421"/>
      <c r="J76" s="1421"/>
      <c r="K76" s="1438"/>
      <c r="L76" s="1421"/>
    </row>
    <row r="77" spans="1:18">
      <c r="B77" s="341" t="s">
        <v>1232</v>
      </c>
      <c r="C77" s="342"/>
      <c r="I77" s="1421"/>
      <c r="J77" s="1421"/>
      <c r="K77" s="1438"/>
      <c r="L77" s="1421"/>
    </row>
    <row r="78" spans="1:18">
      <c r="B78" s="268" t="s">
        <v>1233</v>
      </c>
      <c r="C78" s="343"/>
    </row>
    <row r="79" spans="1:18">
      <c r="B79" s="337" t="s">
        <v>1234</v>
      </c>
      <c r="C79" s="272">
        <f ca="1">1-C80</f>
        <v>0.61599999999999999</v>
      </c>
    </row>
    <row r="80" spans="1:18">
      <c r="B80" s="337" t="s">
        <v>1235</v>
      </c>
      <c r="C80" s="272">
        <f ca="1">ROUND(C75/C39,3)</f>
        <v>0.38400000000000001</v>
      </c>
    </row>
    <row r="81" spans="2:3">
      <c r="B81" s="268" t="s">
        <v>1236</v>
      </c>
      <c r="C81" s="236"/>
    </row>
    <row r="82" spans="2:3">
      <c r="B82" s="271" t="s">
        <v>1237</v>
      </c>
      <c r="C82" s="273">
        <f ca="1">1-C83</f>
        <v>0.78400000000000003</v>
      </c>
    </row>
    <row r="83" spans="2:3">
      <c r="B83" s="271" t="s">
        <v>1238</v>
      </c>
      <c r="C83" s="272">
        <f ca="1">ROUND(C13/C40,3)</f>
        <v>0.216</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1313</v>
      </c>
      <c r="B1" s="672"/>
      <c r="C1" s="1416"/>
      <c r="D1" s="1400"/>
      <c r="E1" s="1401" t="s">
        <v>1111</v>
      </c>
      <c r="F1" s="1106">
        <f ca="1">J53</f>
        <v>0</v>
      </c>
      <c r="G1" s="1415">
        <f>MATCH(C1,'数据-取费表'!A6:A16,0)+5</f>
        <v>8</v>
      </c>
      <c r="H1" s="2627"/>
      <c r="I1" s="2628"/>
      <c r="J1" s="2628"/>
      <c r="K1" s="2629"/>
      <c r="L1" s="2628"/>
      <c r="M1" s="2628"/>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1314</v>
      </c>
      <c r="B2" s="1423" t="e">
        <f ca="1">ROUND(D2/10000,0)</f>
        <v>#DIV/0!</v>
      </c>
      <c r="C2" s="1418" t="s">
        <v>1315</v>
      </c>
      <c r="D2" s="1504" t="e">
        <f ca="1">C40+J29+L46</f>
        <v>#DIV/0!</v>
      </c>
      <c r="E2" s="1424" t="s">
        <v>1316</v>
      </c>
      <c r="F2" s="1425"/>
      <c r="G2" s="2640"/>
      <c r="H2" s="2630"/>
      <c r="I2" s="2630"/>
      <c r="J2" s="2630"/>
      <c r="K2" s="2631"/>
      <c r="L2" s="2630"/>
      <c r="M2" s="2630"/>
    </row>
    <row r="3" spans="1:37" ht="18" customHeight="1" thickBot="1">
      <c r="A3" s="1426" t="s">
        <v>1317</v>
      </c>
      <c r="B3" s="1427">
        <f ca="1">IF(ISERROR(D2/F43),0,ROUND(D2/F43,0))</f>
        <v>0</v>
      </c>
      <c r="C3" s="1418" t="s">
        <v>1318</v>
      </c>
      <c r="D3" s="1418"/>
      <c r="E3" s="1424"/>
      <c r="F3" s="1425"/>
      <c r="G3" s="2640"/>
      <c r="H3" s="658" t="s">
        <v>1312</v>
      </c>
      <c r="I3" s="1419"/>
      <c r="J3" s="1419"/>
      <c r="K3" s="1420"/>
      <c r="L3" s="1419"/>
      <c r="M3" s="1419"/>
    </row>
    <row r="4" spans="1:37" ht="18" customHeight="1">
      <c r="A4" s="293" t="s">
        <v>1319</v>
      </c>
      <c r="B4" s="294" t="s">
        <v>1320</v>
      </c>
      <c r="C4" s="294" t="s">
        <v>1321</v>
      </c>
      <c r="D4" s="294" t="s">
        <v>1322</v>
      </c>
      <c r="E4" s="295" t="s">
        <v>1323</v>
      </c>
      <c r="F4" s="296"/>
      <c r="G4" s="1421"/>
      <c r="H4" s="293" t="s">
        <v>1319</v>
      </c>
      <c r="I4" s="294" t="s">
        <v>1320</v>
      </c>
      <c r="J4" s="294" t="s">
        <v>1321</v>
      </c>
      <c r="K4" s="294" t="s">
        <v>1322</v>
      </c>
      <c r="L4" s="295" t="s">
        <v>1323</v>
      </c>
      <c r="M4" s="296"/>
    </row>
    <row r="5" spans="1:37" ht="18" customHeight="1">
      <c r="A5" s="297">
        <v>1</v>
      </c>
      <c r="B5" s="298" t="s">
        <v>1324</v>
      </c>
      <c r="C5" s="1115">
        <f ca="1">C6+C10+C12</f>
        <v>0</v>
      </c>
      <c r="D5" s="1402" t="s">
        <v>1325</v>
      </c>
      <c r="E5" s="1116"/>
      <c r="F5" s="1117"/>
      <c r="G5" s="1421"/>
      <c r="H5" s="297">
        <v>1</v>
      </c>
      <c r="I5" s="298" t="s">
        <v>1324</v>
      </c>
      <c r="J5" s="1115">
        <f ca="1">J6+J10+J12</f>
        <v>0</v>
      </c>
      <c r="K5" s="1402" t="s">
        <v>1325</v>
      </c>
      <c r="L5" s="1116"/>
      <c r="M5" s="1117"/>
    </row>
    <row r="6" spans="1:37" ht="18" customHeight="1">
      <c r="A6" s="1114" t="s">
        <v>822</v>
      </c>
      <c r="B6" s="3389" t="s">
        <v>1127</v>
      </c>
      <c r="C6" s="1119">
        <f ca="1">ROUND(F6*F8*F7*(1-F9),0)</f>
        <v>0</v>
      </c>
      <c r="D6" s="152" t="s">
        <v>2601</v>
      </c>
      <c r="E6" s="300" t="s">
        <v>1129</v>
      </c>
      <c r="F6" s="301">
        <f ca="1">INDIRECT("'数据-取费表'!u"&amp;$G$1)</f>
        <v>0</v>
      </c>
      <c r="G6" s="1421"/>
      <c r="H6" s="1114" t="s">
        <v>822</v>
      </c>
      <c r="I6" s="3389" t="s">
        <v>1127</v>
      </c>
      <c r="J6" s="299">
        <f ca="1">ROUND(M6*M8*M7*(1-M9),0)</f>
        <v>0</v>
      </c>
      <c r="K6" s="1413" t="s">
        <v>2602</v>
      </c>
      <c r="L6" s="300" t="s">
        <v>1129</v>
      </c>
      <c r="M6" s="301">
        <f ca="1">INDIRECT("'数据-取费表'!z"&amp;$G$1)</f>
        <v>0</v>
      </c>
    </row>
    <row r="7" spans="1:37" ht="18" customHeight="1">
      <c r="A7" s="1118"/>
      <c r="B7" s="3390"/>
      <c r="C7" s="1120"/>
      <c r="D7" s="305"/>
      <c r="E7" s="1121" t="s">
        <v>1130</v>
      </c>
      <c r="F7" s="301">
        <f ca="1">IF(INDIRECT("'数据-取费表'!ah"&amp;$G$1)="",INDIRECT("'数据-取费表'!k"&amp;$G$1),INDIRECT("'数据-取费表'!ah"&amp;$G$1))</f>
        <v>0</v>
      </c>
      <c r="G7" s="1421"/>
      <c r="H7" s="302"/>
      <c r="I7" s="3390"/>
      <c r="J7" s="304"/>
      <c r="K7" s="305"/>
      <c r="L7" s="300" t="s">
        <v>1130</v>
      </c>
      <c r="M7" s="301">
        <f ca="1">F7</f>
        <v>0</v>
      </c>
    </row>
    <row r="8" spans="1:37" ht="18" customHeight="1">
      <c r="A8" s="302"/>
      <c r="B8" s="3390"/>
      <c r="C8" s="304"/>
      <c r="D8" s="305"/>
      <c r="E8" s="300" t="s">
        <v>1131</v>
      </c>
      <c r="F8" s="301">
        <f ca="1">INDIRECT("'数据-取费表'!ai"&amp;$G$1)</f>
        <v>0</v>
      </c>
      <c r="G8" s="1421"/>
      <c r="H8" s="302"/>
      <c r="I8" s="3390"/>
      <c r="J8" s="304"/>
      <c r="K8" s="305"/>
      <c r="L8" s="300" t="s">
        <v>1131</v>
      </c>
      <c r="M8" s="301">
        <f ca="1">INDIRECT("'数据-取费表'!ai"&amp;$G$1)</f>
        <v>0</v>
      </c>
    </row>
    <row r="9" spans="1:37" ht="18" customHeight="1">
      <c r="A9" s="302"/>
      <c r="B9" s="3391"/>
      <c r="C9" s="304"/>
      <c r="D9" s="305"/>
      <c r="E9" s="300" t="s">
        <v>1132</v>
      </c>
      <c r="F9" s="310">
        <f ca="1">INDIRECT("'数据-取费表'!w"&amp;$G$1)</f>
        <v>0</v>
      </c>
      <c r="G9" s="1421"/>
      <c r="H9" s="302"/>
      <c r="I9" s="3391"/>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2611</v>
      </c>
      <c r="E10" s="311" t="s">
        <v>1134</v>
      </c>
      <c r="F10" s="1161"/>
      <c r="G10" s="1421"/>
      <c r="H10" s="1114" t="s">
        <v>826</v>
      </c>
      <c r="I10" s="1403" t="s">
        <v>1133</v>
      </c>
      <c r="J10" s="299">
        <f ca="1">ROUND(IF(M10="押一",J6/12*M11,IF(M10="押二",J6/12*2*M11,IF(M10="押三",J6/12*3*M11,J11*M11))),0)</f>
        <v>0</v>
      </c>
      <c r="K10" s="1414" t="s">
        <v>2613</v>
      </c>
      <c r="L10" s="311" t="s">
        <v>1134</v>
      </c>
      <c r="M10" s="1161"/>
    </row>
    <row r="11" spans="1:37" ht="18" customHeight="1">
      <c r="A11" s="306"/>
      <c r="B11" s="1404" t="s">
        <v>1326</v>
      </c>
      <c r="C11" s="1012"/>
      <c r="D11" s="305"/>
      <c r="E11" s="311" t="s">
        <v>1136</v>
      </c>
      <c r="F11" s="312">
        <f ca="1">'数据-取费表'!B39</f>
        <v>1.4999999999999999E-2</v>
      </c>
      <c r="G11" s="1421"/>
      <c r="H11" s="1122"/>
      <c r="I11" s="1404" t="s">
        <v>1327</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1"/>
      <c r="H13" s="1124">
        <v>2</v>
      </c>
      <c r="I13" s="1125" t="s">
        <v>1138</v>
      </c>
      <c r="J13" s="1113">
        <f ca="1">ROUND(J14*J15,0)</f>
        <v>0</v>
      </c>
      <c r="K13" s="1132" t="s">
        <v>1139</v>
      </c>
      <c r="L13" s="1428"/>
      <c r="M13" s="1429"/>
    </row>
    <row r="14" spans="1:37" ht="18" customHeight="1">
      <c r="A14" s="1035" t="s">
        <v>821</v>
      </c>
      <c r="B14" s="300" t="s">
        <v>1141</v>
      </c>
      <c r="C14" s="316">
        <f ca="1">ROUND(INDIRECT("'数据-取费表'!l"&amp;$G$1)*F43+'数据-取费表'!L14*INDIRECT("'数据-取费表'!S"&amp;$G$1),0)</f>
        <v>0</v>
      </c>
      <c r="D14" s="1386" t="s">
        <v>1142</v>
      </c>
      <c r="E14" s="1384"/>
      <c r="F14" s="317"/>
      <c r="G14" s="1421"/>
      <c r="H14" s="1035" t="s">
        <v>822</v>
      </c>
      <c r="I14" s="300" t="s">
        <v>1143</v>
      </c>
      <c r="J14" s="24">
        <f ca="1">C29</f>
        <v>0</v>
      </c>
      <c r="K14" s="15"/>
      <c r="L14" s="844"/>
      <c r="M14" s="845"/>
    </row>
    <row r="15" spans="1:37" s="1433" customFormat="1" ht="18" customHeight="1" thickBot="1">
      <c r="A15" s="1035" t="s">
        <v>823</v>
      </c>
      <c r="B15" s="300" t="s">
        <v>1144</v>
      </c>
      <c r="C15" s="24">
        <f ca="1">ROUND(C14*F15,0)</f>
        <v>0</v>
      </c>
      <c r="D15" s="318" t="s">
        <v>1145</v>
      </c>
      <c r="E15" s="318" t="s">
        <v>1146</v>
      </c>
      <c r="F15" s="319">
        <f>'数据-取费表'!B33</f>
        <v>0.05</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1"/>
      <c r="H16" s="1124" t="s">
        <v>817</v>
      </c>
      <c r="I16" s="1125" t="s">
        <v>1148</v>
      </c>
      <c r="J16" s="308">
        <f ca="1">ROUND(J17+J22+J23+J24,0)</f>
        <v>0</v>
      </c>
      <c r="K16" s="1132" t="s">
        <v>1149</v>
      </c>
      <c r="L16" s="1133"/>
      <c r="M16" s="1117"/>
    </row>
    <row r="17" spans="1:37" s="1433" customFormat="1" ht="18" customHeight="1">
      <c r="A17" s="1035" t="s">
        <v>1114</v>
      </c>
      <c r="B17" s="300" t="s">
        <v>1150</v>
      </c>
      <c r="C17" s="24">
        <f ca="1">ROUND(F17*(F43+INDIRECT("'数据-取费表'!S"&amp;$G$1)),0)</f>
        <v>0</v>
      </c>
      <c r="D17" s="300" t="s">
        <v>1151</v>
      </c>
      <c r="E17" s="300" t="s">
        <v>1152</v>
      </c>
      <c r="F17" s="26">
        <f>'数据-取费表'!B35</f>
        <v>200</v>
      </c>
      <c r="G17" s="1432"/>
      <c r="H17" s="1035" t="s">
        <v>822</v>
      </c>
      <c r="I17" s="300" t="s">
        <v>1153</v>
      </c>
      <c r="J17" s="2297">
        <f ca="1">ROUND(IF(AND(项目基本情况!B11="自然人",项目基本情况!B10="北京市"),J6*M17/(1+'数据-取费表'!C42),J18+J19+J20),0)</f>
        <v>0</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1.4999999999999999E-2</v>
      </c>
      <c r="G18" s="1432"/>
      <c r="H18" s="1035" t="s">
        <v>821</v>
      </c>
      <c r="I18" s="300" t="s">
        <v>1157</v>
      </c>
      <c r="J18" s="24">
        <f ca="1">ROUND(J6*M18/(1+'数据-取费表'!C42),0)</f>
        <v>0</v>
      </c>
      <c r="K18" s="1385" t="s">
        <v>1158</v>
      </c>
      <c r="L18" s="300" t="s">
        <v>1146</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f ca="1">IF(K19="按租金收入计税",ROUND(J6*M19/(1+'数据-取费表'!C42),0),ROUND(C29*M19*0.7,0))</f>
        <v>0</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0.03</v>
      </c>
      <c r="G20" s="1432"/>
      <c r="H20" s="1035" t="s">
        <v>1113</v>
      </c>
      <c r="I20" s="152" t="s">
        <v>1165</v>
      </c>
      <c r="J20" s="25">
        <f ca="1">ROUND(M20*M21,0)</f>
        <v>0</v>
      </c>
      <c r="K20" s="322" t="s">
        <v>1166</v>
      </c>
      <c r="L20" s="300" t="s">
        <v>1167</v>
      </c>
      <c r="M20" s="323">
        <f>'数据-取费表'!B52</f>
        <v>3</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0.03</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ROUND(J14*M22,0)</f>
        <v>0</v>
      </c>
      <c r="K22" s="1385" t="s">
        <v>1174</v>
      </c>
      <c r="L22" s="300" t="s">
        <v>1146</v>
      </c>
      <c r="M22" s="326">
        <f ca="1">INDIRECT("'数据-取费表'!Ak"&amp;$G$1)</f>
        <v>0</v>
      </c>
    </row>
    <row r="23" spans="1:37" s="1433"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3</v>
      </c>
      <c r="G23" s="1432"/>
      <c r="H23" s="1035" t="s">
        <v>862</v>
      </c>
      <c r="I23" s="300" t="s">
        <v>1177</v>
      </c>
      <c r="J23" s="24">
        <f ca="1">ROUND(J13*M23,0)</f>
        <v>0</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1.9E-3</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ROUND(J5*M24,0)</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1184</v>
      </c>
      <c r="B25" s="300" t="s">
        <v>1185</v>
      </c>
      <c r="C25" s="24"/>
      <c r="D25" s="128" t="s">
        <v>1186</v>
      </c>
      <c r="E25" s="1398"/>
      <c r="F25" s="26"/>
      <c r="G25" s="1421"/>
      <c r="H25" s="1124" t="s">
        <v>818</v>
      </c>
      <c r="I25" s="1139" t="s">
        <v>1187</v>
      </c>
      <c r="J25" s="308">
        <f ca="1">J5-J16</f>
        <v>0</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5.33E-2</v>
      </c>
      <c r="D28" s="321" t="s">
        <v>1200</v>
      </c>
      <c r="E28" s="300" t="s">
        <v>1146</v>
      </c>
      <c r="F28" s="320">
        <f>'数据-取费表'!B41</f>
        <v>5.6000000000000001E-2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0</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0</v>
      </c>
      <c r="D30" s="1132" t="s">
        <v>1149</v>
      </c>
      <c r="E30" s="1133"/>
      <c r="F30" s="1117"/>
      <c r="G30" s="1421"/>
      <c r="H30" s="2632"/>
      <c r="I30" s="1434"/>
      <c r="J30" s="1435"/>
      <c r="K30" s="126"/>
      <c r="L30" s="2633"/>
      <c r="M30" s="2634"/>
    </row>
    <row r="31" spans="1:37" ht="18" customHeight="1">
      <c r="A31" s="1035" t="s">
        <v>822</v>
      </c>
      <c r="B31" s="300" t="s">
        <v>1153</v>
      </c>
      <c r="C31" s="2297">
        <f ca="1">ROUND(IF(AND(项目基本情况!B11="自然人",项目基本情况!B10="北京市"),C6*F31/(1+'数据-取费表'!C42),C32+C33+C34),0)</f>
        <v>0</v>
      </c>
      <c r="D31" s="1386" t="s">
        <v>1154</v>
      </c>
      <c r="E31" s="1385" t="s">
        <v>1205</v>
      </c>
      <c r="F31" s="2296" t="str">
        <f>IF(项目基本情况!B11="企业","——",IF('数据-取费表'!B10="住宅",IF(F6*F7*F8/12/(1+'数据-取费表'!F30)&gt;100000,4%,2.5%),IF(F6*F7*F8/12/(1+'数据-取费表'!F30)&gt;100000,12%,7%)))</f>
        <v>——</v>
      </c>
      <c r="G31" s="1421"/>
      <c r="H31" s="2733" t="s">
        <v>2805</v>
      </c>
      <c r="I31" s="1434"/>
      <c r="J31" s="1435"/>
      <c r="K31" s="126"/>
      <c r="L31" s="2633"/>
      <c r="M31" s="2634"/>
    </row>
    <row r="32" spans="1:37" ht="18" customHeight="1">
      <c r="A32" s="1035" t="s">
        <v>821</v>
      </c>
      <c r="B32" s="300" t="s">
        <v>1157</v>
      </c>
      <c r="C32" s="24">
        <f ca="1">IF(项目基本情况!B11="自然人","——",ROUND(C6*F32/(1+'数据-取费表'!C42),0))</f>
        <v>0</v>
      </c>
      <c r="D32" s="1385" t="s">
        <v>1158</v>
      </c>
      <c r="E32" s="300" t="s">
        <v>1146</v>
      </c>
      <c r="F32" s="328">
        <f>'数据-取费表'!B41</f>
        <v>5.6000000000000001E-2</v>
      </c>
      <c r="G32" s="1421"/>
      <c r="H32" s="2632"/>
      <c r="I32" s="1434"/>
      <c r="J32" s="1435"/>
      <c r="K32" s="126"/>
      <c r="L32" s="2633"/>
      <c r="M32" s="2634"/>
    </row>
    <row r="33" spans="1:18" ht="18" customHeight="1">
      <c r="A33" s="1035" t="s">
        <v>823</v>
      </c>
      <c r="B33" s="300" t="s">
        <v>1161</v>
      </c>
      <c r="C33" s="24">
        <f ca="1">IF(项目基本情况!B11="自然人","——",IF(D33="按租金收入计税",ROUND(C6*F33/(1+'数据-取费表'!C42),0),IF(D33="按房产原值计税",ROUND(C29*F33*0.7,0),INDIRECT("'数据-取费表'!Aj"&amp;$G$1))))</f>
        <v>0</v>
      </c>
      <c r="D33" s="1407" t="s">
        <v>1162</v>
      </c>
      <c r="E33" s="300" t="s">
        <v>1146</v>
      </c>
      <c r="F33" s="320">
        <f>IF(D33="按票据","——",IF(D33="按租金收入计税",'数据-取费表'!B51,'数据-取费表'!B50))</f>
        <v>1.2E-2</v>
      </c>
      <c r="G33" s="1421"/>
      <c r="H33" s="2635"/>
      <c r="I33" s="1434"/>
      <c r="J33" s="1435"/>
      <c r="K33" s="2636"/>
      <c r="L33" s="2635"/>
      <c r="M33" s="2635"/>
    </row>
    <row r="34" spans="1:18" ht="18" customHeight="1">
      <c r="A34" s="1114" t="s">
        <v>1113</v>
      </c>
      <c r="B34" s="152" t="s">
        <v>1165</v>
      </c>
      <c r="C34" s="25">
        <f ca="1">IF(项目基本情况!B11="自然人","——",ROUND(F34*F35,))</f>
        <v>0</v>
      </c>
      <c r="D34" s="322" t="s">
        <v>1166</v>
      </c>
      <c r="E34" s="300" t="s">
        <v>1167</v>
      </c>
      <c r="F34" s="323">
        <f>'数据-取费表'!B52</f>
        <v>3</v>
      </c>
      <c r="G34" s="1421"/>
      <c r="H34" s="2632"/>
      <c r="I34" s="1434"/>
      <c r="J34" s="1435"/>
      <c r="K34" s="2637"/>
      <c r="L34" s="2638"/>
      <c r="M34" s="2638"/>
    </row>
    <row r="35" spans="1:18" ht="18" customHeight="1">
      <c r="A35" s="1148"/>
      <c r="B35" s="1146"/>
      <c r="C35" s="29"/>
      <c r="D35" s="325"/>
      <c r="E35" s="300" t="s">
        <v>1171</v>
      </c>
      <c r="F35" s="301">
        <f ca="1">INDIRECT("'数据-取费表'!r"&amp;$G$1)</f>
        <v>0</v>
      </c>
      <c r="G35" s="1421"/>
      <c r="H35" s="2632"/>
      <c r="I35" s="1434"/>
      <c r="J35" s="1435"/>
      <c r="K35" s="2636"/>
      <c r="L35" s="2635"/>
      <c r="M35" s="2635"/>
    </row>
    <row r="36" spans="1:18" ht="18" customHeight="1">
      <c r="A36" s="1147" t="s">
        <v>826</v>
      </c>
      <c r="B36" s="300" t="s">
        <v>1173</v>
      </c>
      <c r="C36" s="24">
        <f ca="1">ROUND(C29*F36,0)</f>
        <v>0</v>
      </c>
      <c r="D36" s="1385" t="s">
        <v>1206</v>
      </c>
      <c r="E36" s="300" t="s">
        <v>1146</v>
      </c>
      <c r="F36" s="326">
        <f ca="1">INDIRECT("'数据-取费表'!Ak"&amp;$G$1)</f>
        <v>0</v>
      </c>
      <c r="G36" s="1421"/>
      <c r="H36" s="2635"/>
      <c r="I36" s="1434"/>
      <c r="J36" s="1435"/>
      <c r="K36" s="2493"/>
      <c r="L36" s="2635"/>
      <c r="M36" s="2635"/>
    </row>
    <row r="37" spans="1:18" ht="18" customHeight="1">
      <c r="A37" s="1035" t="s">
        <v>862</v>
      </c>
      <c r="B37" s="300" t="s">
        <v>1177</v>
      </c>
      <c r="C37" s="24">
        <f ca="1">ROUND(C13*F37,0)</f>
        <v>0</v>
      </c>
      <c r="D37" s="1385" t="s">
        <v>1178</v>
      </c>
      <c r="E37" s="300" t="s">
        <v>1179</v>
      </c>
      <c r="F37" s="327">
        <f ca="1">INDIRECT("'数据-取费表'!Al"&amp;$G$1)</f>
        <v>0</v>
      </c>
      <c r="G37" s="1421"/>
      <c r="H37" s="2635"/>
      <c r="I37" s="1434"/>
      <c r="J37" s="1435"/>
      <c r="K37" s="2493"/>
      <c r="L37" s="2635"/>
      <c r="M37" s="2635"/>
    </row>
    <row r="38" spans="1:18" ht="18" customHeight="1" thickBot="1">
      <c r="A38" s="1134" t="s">
        <v>1117</v>
      </c>
      <c r="B38" s="1135" t="s">
        <v>1163</v>
      </c>
      <c r="C38" s="1136">
        <f ca="1">ROUND(C5*F38,1)</f>
        <v>0</v>
      </c>
      <c r="D38" s="1137" t="s">
        <v>1183</v>
      </c>
      <c r="E38" s="1135" t="s">
        <v>1179</v>
      </c>
      <c r="F38" s="1131">
        <f ca="1">INDIRECT("'数据-取费表'!Am"&amp;$G$1)</f>
        <v>0</v>
      </c>
      <c r="G38" s="1421"/>
      <c r="H38" s="2635"/>
      <c r="I38" s="1434"/>
      <c r="J38" s="1435"/>
      <c r="K38" s="2633"/>
      <c r="L38" s="2635"/>
      <c r="M38" s="2635"/>
    </row>
    <row r="39" spans="1:18" ht="24.6" customHeight="1" thickTop="1">
      <c r="A39" s="1124" t="s">
        <v>818</v>
      </c>
      <c r="B39" s="1139" t="s">
        <v>1207</v>
      </c>
      <c r="C39" s="308">
        <f ca="1">C5-C30</f>
        <v>0</v>
      </c>
      <c r="D39" s="1140" t="s">
        <v>1208</v>
      </c>
      <c r="E39" s="1141"/>
      <c r="F39" s="1142"/>
      <c r="G39" s="1421"/>
      <c r="H39" s="2635"/>
      <c r="I39" s="1434"/>
      <c r="J39" s="1435"/>
      <c r="K39" s="2633"/>
      <c r="L39" s="2635"/>
      <c r="M39" s="2635"/>
    </row>
    <row r="40" spans="1:18" ht="18" customHeight="1">
      <c r="A40" s="297" t="s">
        <v>819</v>
      </c>
      <c r="B40" s="298" t="s">
        <v>1209</v>
      </c>
      <c r="C40" s="299" t="e">
        <f ca="1">ROUND(C39*(1-((1+F42)/(1+F40))^F41)/(F40-F42),0)</f>
        <v>#DIV/0!</v>
      </c>
      <c r="D40" s="322" t="s">
        <v>1193</v>
      </c>
      <c r="E40" s="300" t="s">
        <v>1194</v>
      </c>
      <c r="F40" s="310">
        <f ca="1">INDIRECT("'数据-取费表'!I"&amp;$G$1)</f>
        <v>0</v>
      </c>
      <c r="G40" s="1421"/>
      <c r="H40" s="1495"/>
      <c r="I40" s="1434"/>
      <c r="J40" s="1435"/>
      <c r="K40" s="2633"/>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3"/>
      <c r="L41" s="126"/>
      <c r="M41" s="126"/>
    </row>
    <row r="42" spans="1:18" ht="18" customHeight="1">
      <c r="A42" s="306"/>
      <c r="B42" s="307"/>
      <c r="C42" s="308"/>
      <c r="D42" s="325"/>
      <c r="E42" s="300" t="s">
        <v>1201</v>
      </c>
      <c r="F42" s="310">
        <f ca="1">INDIRECT("'数据-取费表'!v"&amp;$G$1)</f>
        <v>0</v>
      </c>
      <c r="G42" s="1421"/>
      <c r="H42" s="126"/>
      <c r="I42" s="1434"/>
      <c r="J42" s="1435"/>
      <c r="K42" s="2493"/>
      <c r="L42" s="126"/>
      <c r="M42" s="126"/>
    </row>
    <row r="43" spans="1:18" ht="18" customHeight="1" thickBot="1">
      <c r="A43" s="331" t="s">
        <v>820</v>
      </c>
      <c r="B43" s="332" t="s">
        <v>1211</v>
      </c>
      <c r="C43" s="333" t="e">
        <f ca="1">ROUND(C40/F43,0)</f>
        <v>#DIV/0!</v>
      </c>
      <c r="D43" s="334" t="s">
        <v>1212</v>
      </c>
      <c r="E43" s="335" t="s">
        <v>1213</v>
      </c>
      <c r="F43" s="336">
        <f ca="1">INDIRECT("'数据-取费表'!k"&amp;$G$1)</f>
        <v>0</v>
      </c>
      <c r="G43" s="1421"/>
      <c r="H43" s="126"/>
      <c r="I43" s="126"/>
      <c r="J43" s="126"/>
      <c r="K43" s="2493"/>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t="e">
        <f ca="1">C68-C40</f>
        <v>#DIV/0!</v>
      </c>
      <c r="D45" s="1506" t="s">
        <v>1328</v>
      </c>
      <c r="E45" s="1436"/>
      <c r="F45" s="1436"/>
      <c r="O45" s="1439" t="s">
        <v>1243</v>
      </c>
      <c r="P45" s="1495"/>
      <c r="Q45" s="1495"/>
      <c r="R45" s="1495"/>
    </row>
    <row r="46" spans="1:18" s="1421" customFormat="1" ht="13.5" thickBot="1">
      <c r="A46" s="1440" t="s">
        <v>1244</v>
      </c>
      <c r="C46" s="1441" t="e">
        <f ca="1">ROUND(C45/10000,0)</f>
        <v>#DIV/0!</v>
      </c>
      <c r="D46" s="1442" t="str">
        <f>C2</f>
        <v>万元</v>
      </c>
      <c r="I46" s="1443" t="s">
        <v>1245</v>
      </c>
      <c r="J46" s="1444"/>
      <c r="K46" s="1445"/>
      <c r="L46" s="1446" t="e">
        <f ca="1">IF(M47="住宅",0,IF(L48&gt;J51,L60,J60))</f>
        <v>#DIV/0!</v>
      </c>
      <c r="O46" s="1447" t="s">
        <v>1246</v>
      </c>
      <c r="P46" s="1448" t="s">
        <v>1247</v>
      </c>
      <c r="Q46" s="1449" t="s">
        <v>1248</v>
      </c>
      <c r="R46" s="1449" t="s">
        <v>1249</v>
      </c>
    </row>
    <row r="47" spans="1:18" s="1421" customFormat="1" ht="13.5" thickBot="1">
      <c r="A47" s="999" t="s">
        <v>1120</v>
      </c>
      <c r="B47" s="1031" t="s">
        <v>1121</v>
      </c>
      <c r="C47" s="1031"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#DIV/0!</v>
      </c>
      <c r="R47" s="1456" t="s">
        <v>1253</v>
      </c>
    </row>
    <row r="48" spans="1:18" s="1421" customFormat="1" ht="28.5"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#DIV/0!</v>
      </c>
      <c r="R48" s="1456" t="s">
        <v>1257</v>
      </c>
    </row>
    <row r="49" spans="1:18" s="1421" customFormat="1" ht="13.5" thickBot="1">
      <c r="A49" s="1028" t="s">
        <v>864</v>
      </c>
      <c r="B49" s="1408" t="s">
        <v>1214</v>
      </c>
      <c r="C49" s="1159">
        <f ca="1">ROUND(F49*F51*F50*(1-F52),0)</f>
        <v>0</v>
      </c>
      <c r="D49" s="1099" t="s">
        <v>1128</v>
      </c>
      <c r="E49" s="1409" t="s">
        <v>1215</v>
      </c>
      <c r="F49" s="1104"/>
      <c r="H49" s="691"/>
      <c r="I49" s="1457" t="s">
        <v>1258</v>
      </c>
      <c r="J49" s="1461"/>
      <c r="K49" s="1459" t="s">
        <v>1259</v>
      </c>
      <c r="L49" s="1462"/>
      <c r="O49" s="1463" t="s">
        <v>829</v>
      </c>
      <c r="P49" s="1455" t="s">
        <v>1260</v>
      </c>
      <c r="Q49" s="1456">
        <f ca="1">C29</f>
        <v>0</v>
      </c>
      <c r="R49" s="1456" t="s">
        <v>1253</v>
      </c>
    </row>
    <row r="50" spans="1:18" s="1421" customFormat="1" ht="13.5" thickBot="1">
      <c r="A50" s="1029"/>
      <c r="B50" s="1032"/>
      <c r="C50" s="103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5" thickBot="1">
      <c r="A51" s="1030"/>
      <c r="B51" s="1032"/>
      <c r="C51" s="1033"/>
      <c r="D51" s="1006"/>
      <c r="E51" s="1034" t="s">
        <v>1131</v>
      </c>
      <c r="F51" s="301">
        <f ca="1">F8</f>
        <v>0</v>
      </c>
      <c r="I51" s="1467" t="s">
        <v>1264</v>
      </c>
      <c r="J51" s="1460">
        <f>IF(J49="",J50,J49+J50-YEAR('数据-取费表'!B2))</f>
        <v>0</v>
      </c>
      <c r="K51" s="1468" t="s">
        <v>1265</v>
      </c>
      <c r="L51" s="1469">
        <f ca="1">ROUND(-PV(INDIRECT("'数据-取费表'!h"&amp;$G$1),J51,(C39-C13*C76),0),0)</f>
        <v>0</v>
      </c>
      <c r="M51" s="1470"/>
      <c r="O51" s="1463" t="s">
        <v>831</v>
      </c>
      <c r="P51" s="1455" t="s">
        <v>1266</v>
      </c>
      <c r="Q51" s="1466">
        <f>J52</f>
        <v>0</v>
      </c>
      <c r="R51" s="1456"/>
    </row>
    <row r="52" spans="1:18" s="1421" customFormat="1" ht="13.5"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30.75" customHeight="1" thickBot="1">
      <c r="A53" s="1156" t="s">
        <v>865</v>
      </c>
      <c r="B53" s="321" t="s">
        <v>1133</v>
      </c>
      <c r="C53" s="314">
        <f ca="1">ROUND(IF(F53="押一",C49/12*F11,IF(F53="押二",C49/12*2*F11,IF(F53="押三",C49/12*3*F11,C54*F11))),0)</f>
        <v>0</v>
      </c>
      <c r="D53" s="155" t="s">
        <v>2614</v>
      </c>
      <c r="E53" s="311" t="s">
        <v>1134</v>
      </c>
      <c r="F53" s="1161"/>
      <c r="I53" s="1473" t="s">
        <v>1271</v>
      </c>
      <c r="J53" s="2163">
        <f ca="1">IF(M47="住宅",IF(D1="——",MAX(J51,L48),MAX(J51,L48-'数据-取费表'!B24)),IF(D1="——",MIN(J51,L48),MIN(J51,L48-'数据-取费表'!B24)))</f>
        <v>0</v>
      </c>
      <c r="K53" s="3387" t="s">
        <v>1272</v>
      </c>
      <c r="L53" s="3388"/>
      <c r="O53" s="1454" t="s">
        <v>833</v>
      </c>
      <c r="P53" s="1455" t="s">
        <v>1273</v>
      </c>
      <c r="Q53" s="1456" t="e">
        <f ca="1">Q47+Q48</f>
        <v>#DIV/0!</v>
      </c>
      <c r="R53" s="1456" t="s">
        <v>834</v>
      </c>
    </row>
    <row r="54" spans="1:18" s="1421" customFormat="1" ht="13.5" thickBot="1">
      <c r="A54" s="1028"/>
      <c r="B54" s="1507" t="s">
        <v>1327</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t="e">
        <f ca="1">ROUND(IF(J47="钢混",J57/J50,1-(1-2%)*(J50-J57)/J50),3)</f>
        <v>#DIV/0!</v>
      </c>
      <c r="K55" s="1479" t="s">
        <v>1276</v>
      </c>
      <c r="L55" s="1480"/>
      <c r="O55" s="1447" t="s">
        <v>1246</v>
      </c>
      <c r="P55" s="1448" t="s">
        <v>1247</v>
      </c>
      <c r="Q55" s="1449" t="s">
        <v>1248</v>
      </c>
      <c r="R55" s="1449" t="s">
        <v>1249</v>
      </c>
    </row>
    <row r="56" spans="1:18" s="1421" customFormat="1" ht="36" customHeight="1" thickTop="1" thickBot="1">
      <c r="A56" s="1010">
        <v>2</v>
      </c>
      <c r="B56" s="1011" t="s">
        <v>1138</v>
      </c>
      <c r="C56" s="230">
        <f ca="1">C13</f>
        <v>0</v>
      </c>
      <c r="D56" s="1481"/>
      <c r="E56" s="1482"/>
      <c r="F56" s="1474"/>
      <c r="I56" s="1483" t="s">
        <v>1278</v>
      </c>
      <c r="J56" s="1484"/>
      <c r="K56" s="1457" t="s">
        <v>1279</v>
      </c>
      <c r="L56" s="1460">
        <f ca="1">IF(L48&lt;J51,"——",L48-J51)</f>
        <v>0</v>
      </c>
      <c r="O56" s="1454" t="s">
        <v>827</v>
      </c>
      <c r="P56" s="1455" t="s">
        <v>1252</v>
      </c>
      <c r="Q56" s="1456" t="e">
        <f ca="1">C40+J29</f>
        <v>#DIV/0!</v>
      </c>
      <c r="R56" s="1456" t="s">
        <v>1253</v>
      </c>
    </row>
    <row r="57" spans="1:18" s="1421" customFormat="1" ht="24.75" thickBot="1">
      <c r="A57" s="1485"/>
      <c r="B57" s="1003" t="s">
        <v>1202</v>
      </c>
      <c r="C57" s="236">
        <f ca="1">C29</f>
        <v>0</v>
      </c>
      <c r="D57" s="1486"/>
      <c r="E57" s="1487"/>
      <c r="F57" s="1488"/>
      <c r="I57" s="1489" t="s">
        <v>1280</v>
      </c>
      <c r="J57" s="1490">
        <f ca="1">IF(OR(M47="住宅",J51&lt;L48,J56="是"),"——",J51-L48)</f>
        <v>0</v>
      </c>
      <c r="K57" s="1457" t="s">
        <v>1329</v>
      </c>
      <c r="L57" s="1460">
        <f ca="1">IF(L48&lt;J51,"——",IF(L55="比较法",L49,IF(L55="基准地价",L50,L51)))</f>
        <v>0</v>
      </c>
      <c r="O57" s="1454" t="s">
        <v>828</v>
      </c>
      <c r="P57" s="1455" t="s">
        <v>1330</v>
      </c>
      <c r="Q57" s="1456" t="e">
        <f ca="1">L60</f>
        <v>#DIV/0!</v>
      </c>
      <c r="R57" s="1456" t="s">
        <v>1331</v>
      </c>
    </row>
    <row r="58" spans="1:18" s="1421" customFormat="1" ht="24.75" thickBot="1">
      <c r="A58" s="313" t="s">
        <v>817</v>
      </c>
      <c r="B58" s="1011" t="s">
        <v>1148</v>
      </c>
      <c r="C58" s="314">
        <f ca="1">ROUND(C59+C64+C65+C66,0)</f>
        <v>0</v>
      </c>
      <c r="D58" s="1013" t="s">
        <v>1149</v>
      </c>
      <c r="E58" s="1014"/>
      <c r="F58" s="1015"/>
      <c r="I58" s="1489" t="s">
        <v>1284</v>
      </c>
      <c r="J58" s="1491" t="e">
        <f ca="1">IF(J55&lt;0.4,0.4,J55)</f>
        <v>#DIV/0!</v>
      </c>
      <c r="K58" s="1468" t="s">
        <v>1332</v>
      </c>
      <c r="L58" s="1460" t="e">
        <f ca="1">ROUND(POWER(1+L52,L47-L48)*(POWER(1+L52,L48)-1)/(POWER(1+L52,L47)-1),4)</f>
        <v>#DIV/0!</v>
      </c>
      <c r="O58" s="1463" t="s">
        <v>829</v>
      </c>
      <c r="P58" s="1455" t="s">
        <v>1286</v>
      </c>
      <c r="Q58" s="1456">
        <f>IF(L55="比较法",L49,IF(L55="基准地价",L50,0))</f>
        <v>0</v>
      </c>
      <c r="R58" s="1456" t="s">
        <v>1253</v>
      </c>
    </row>
    <row r="59" spans="1:18" s="1421" customFormat="1" ht="24.75" thickBot="1">
      <c r="A59" s="1035" t="s">
        <v>822</v>
      </c>
      <c r="B59" s="1003" t="s">
        <v>1153</v>
      </c>
      <c r="C59" s="2297">
        <f ca="1">ROUND(IF(AND(项目基本情况!B11="自然人",项目基本情况!B10="北京市"),C49*F59/(1+'数据-取费表'!C42),C60+C61+C62),0)</f>
        <v>0</v>
      </c>
      <c r="D59" s="1016" t="s">
        <v>1154</v>
      </c>
      <c r="E59" s="1017" t="s">
        <v>1155</v>
      </c>
      <c r="F59" s="2296" t="str">
        <f>IF(项目基本情况!B11="企业","——",IF('数据-取费表'!B10="住宅",IF(F49*F50*F51/12/(1+'数据-取费表'!F30)&gt;100000,4%,2.5%),IF(F49*F50*F51/12/(1+'数据-取费表'!F30)&gt;100000,12%,7%)))</f>
        <v>——</v>
      </c>
      <c r="I59" s="1489" t="s">
        <v>1287</v>
      </c>
      <c r="J59" s="1490" t="e">
        <f ca="1">IF(OR(M47="住宅",J51&lt;L48,J56="是"),"——",ROUND(C29*J58,0))</f>
        <v>#DIV/0!</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1288</v>
      </c>
      <c r="Q59" s="1466">
        <f>L52</f>
        <v>0</v>
      </c>
      <c r="R59" s="1456"/>
    </row>
    <row r="60" spans="1:18" s="1421" customFormat="1" ht="16.5" thickBot="1">
      <c r="A60" s="1035" t="s">
        <v>821</v>
      </c>
      <c r="B60" s="1003" t="s">
        <v>1157</v>
      </c>
      <c r="C60" s="24">
        <f ca="1">IF(项目基本情况!B11="自然人","——",ROUND(C48*F60/(1+'数据-取费表'!C42),0))</f>
        <v>0</v>
      </c>
      <c r="D60" s="1017" t="s">
        <v>1158</v>
      </c>
      <c r="E60" s="1003" t="s">
        <v>1146</v>
      </c>
      <c r="F60" s="328">
        <f t="shared" ref="F60:F66" si="0">F32</f>
        <v>5.6000000000000001E-2</v>
      </c>
      <c r="I60" s="1492" t="s">
        <v>1289</v>
      </c>
      <c r="J60" s="1493" t="e">
        <f ca="1">IF(OR(M47="住宅",J51&lt;L48,J56="是"),"0",ROUND(J59/(1+J52)^J53,0))</f>
        <v>#DIV/0!</v>
      </c>
      <c r="K60" s="1494" t="s">
        <v>1290</v>
      </c>
      <c r="L60" s="1493" t="e">
        <f ca="1">IF(OR(M47="住宅",L48&lt;J51),0,ROUND(L57*(L58/L59-1),0))</f>
        <v>#DIV/0!</v>
      </c>
      <c r="O60" s="1463" t="s">
        <v>831</v>
      </c>
      <c r="P60" s="1455" t="s">
        <v>1291</v>
      </c>
      <c r="Q60" s="1456" t="e">
        <f ca="1">L58</f>
        <v>#DIV/0!</v>
      </c>
      <c r="R60" s="1456" t="s">
        <v>1292</v>
      </c>
    </row>
    <row r="61" spans="1:18" s="1421" customFormat="1" ht="13.5" thickBot="1">
      <c r="A61" s="1035" t="s">
        <v>1216</v>
      </c>
      <c r="B61" s="1003" t="s">
        <v>1217</v>
      </c>
      <c r="C61" s="24">
        <f ca="1">IF(项目基本情况!B11="自然人","——",IF(D61="按租金收入计税",ROUND(C49*F61/(1+'数据-取费表'!C42),0),IF(D61="按房产原值计税",ROUND(C57*F61*0.7,0),INDIRECT("'数据-取费表'!Aj"&amp;$G$1))))</f>
        <v>0</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5" thickBot="1">
      <c r="A62" s="1035" t="s">
        <v>1219</v>
      </c>
      <c r="B62" s="1002" t="s">
        <v>1220</v>
      </c>
      <c r="C62" s="25">
        <f ca="1">IF(项目基本情况!B11="自然人","——",ROUND(F62*F63,0))</f>
        <v>0</v>
      </c>
      <c r="D62" s="1018" t="s">
        <v>1221</v>
      </c>
      <c r="E62" s="1003" t="s">
        <v>1222</v>
      </c>
      <c r="F62" s="323">
        <f t="shared" si="0"/>
        <v>3</v>
      </c>
      <c r="I62" s="1496" t="s">
        <v>1294</v>
      </c>
      <c r="J62" s="618" t="s">
        <v>1295</v>
      </c>
      <c r="K62" s="618" t="s">
        <v>1296</v>
      </c>
      <c r="L62" s="618" t="s">
        <v>1297</v>
      </c>
      <c r="M62" s="1497" t="s">
        <v>1298</v>
      </c>
      <c r="O62" s="1454" t="s">
        <v>833</v>
      </c>
      <c r="P62" s="1455" t="s">
        <v>1299</v>
      </c>
      <c r="Q62" s="1456" t="e">
        <f ca="1">Q56+Q57</f>
        <v>#DIV/0!</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f ca="1">ROUND(C57*F64,0)</f>
        <v>0</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ROUND(C56*F65,0)</f>
        <v>0</v>
      </c>
      <c r="D65" s="1017" t="s">
        <v>1178</v>
      </c>
      <c r="E65" s="1003" t="s">
        <v>1179</v>
      </c>
      <c r="F65" s="327">
        <f t="shared" ca="1" si="0"/>
        <v>0</v>
      </c>
      <c r="I65" s="1496" t="s">
        <v>1303</v>
      </c>
      <c r="J65" s="618">
        <v>40</v>
      </c>
      <c r="K65" s="618">
        <v>30</v>
      </c>
      <c r="L65" s="618">
        <v>50</v>
      </c>
      <c r="M65" s="1498">
        <v>0.02</v>
      </c>
      <c r="O65" s="1454" t="s">
        <v>827</v>
      </c>
      <c r="P65" s="1455" t="s">
        <v>1304</v>
      </c>
      <c r="Q65" s="1456" t="e">
        <f ca="1">C40+J29</f>
        <v>#DIV/0!</v>
      </c>
      <c r="R65" s="1456" t="s">
        <v>1253</v>
      </c>
    </row>
    <row r="66" spans="1:18" s="1421" customFormat="1" ht="16.5" thickBot="1">
      <c r="A66" s="1035" t="s">
        <v>1228</v>
      </c>
      <c r="B66" s="1003" t="s">
        <v>1163</v>
      </c>
      <c r="C66" s="24">
        <f ca="1">ROUND(C48*F66,0)</f>
        <v>0</v>
      </c>
      <c r="D66" s="1017" t="s">
        <v>1229</v>
      </c>
      <c r="E66" s="1003" t="s">
        <v>1146</v>
      </c>
      <c r="F66" s="310">
        <f t="shared" ca="1" si="0"/>
        <v>0</v>
      </c>
      <c r="O66" s="1454" t="s">
        <v>828</v>
      </c>
      <c r="P66" s="1455" t="s">
        <v>1282</v>
      </c>
      <c r="Q66" s="1456" t="e">
        <f ca="1">L60</f>
        <v>#DIV/0!</v>
      </c>
      <c r="R66" s="1456" t="s">
        <v>1305</v>
      </c>
    </row>
    <row r="67" spans="1:18" s="1421" customFormat="1" ht="16.5" thickBot="1">
      <c r="A67" s="1010" t="s">
        <v>818</v>
      </c>
      <c r="B67" s="1020" t="s">
        <v>1187</v>
      </c>
      <c r="C67" s="314">
        <f ca="1">C48-C58</f>
        <v>0</v>
      </c>
      <c r="D67" s="1016" t="s">
        <v>1188</v>
      </c>
      <c r="E67" s="1021"/>
      <c r="F67" s="1022"/>
      <c r="O67" s="1463" t="s">
        <v>829</v>
      </c>
      <c r="P67" s="1455" t="s">
        <v>1286</v>
      </c>
      <c r="Q67" s="1499">
        <f ca="1">L51</f>
        <v>0</v>
      </c>
      <c r="R67" s="1456" t="s">
        <v>1306</v>
      </c>
    </row>
    <row r="68" spans="1:18" s="1421" customFormat="1" ht="16.5" thickBot="1">
      <c r="A68" s="1000" t="s">
        <v>819</v>
      </c>
      <c r="B68" s="1001" t="s">
        <v>1209</v>
      </c>
      <c r="C68" s="299" t="e">
        <f ca="1">ROUND(C67*(1-((1+F70)/(1+F68))^F69)/(F68-F70),0)</f>
        <v>#DIV/0!</v>
      </c>
      <c r="D68" s="1018" t="s">
        <v>1193</v>
      </c>
      <c r="E68" s="1003" t="s">
        <v>1194</v>
      </c>
      <c r="F68" s="310">
        <f ca="1">F40</f>
        <v>0</v>
      </c>
      <c r="O68" s="1463" t="s">
        <v>830</v>
      </c>
      <c r="P68" s="1500" t="s">
        <v>1307</v>
      </c>
      <c r="Q68" s="1456">
        <f ca="1">ROUND(Q69-Q70*Q71,0)</f>
        <v>0</v>
      </c>
      <c r="R68" s="1456" t="s">
        <v>838</v>
      </c>
    </row>
    <row r="69" spans="1:18" s="1421" customFormat="1" ht="13.5" thickBot="1">
      <c r="A69" s="1004"/>
      <c r="B69" s="1005"/>
      <c r="C69" s="304"/>
      <c r="D69" s="1023" t="s">
        <v>1197</v>
      </c>
      <c r="E69" s="1003" t="s">
        <v>1198</v>
      </c>
      <c r="F69" s="330">
        <f ca="1">F41</f>
        <v>0</v>
      </c>
      <c r="O69" s="1463" t="s">
        <v>835</v>
      </c>
      <c r="P69" s="1500" t="s">
        <v>1308</v>
      </c>
      <c r="Q69" s="1456">
        <f ca="1">C39</f>
        <v>0</v>
      </c>
      <c r="R69" s="1456" t="s">
        <v>1253</v>
      </c>
    </row>
    <row r="70" spans="1:18" s="1421" customFormat="1" ht="13.5" thickBot="1">
      <c r="A70" s="1007"/>
      <c r="B70" s="1008"/>
      <c r="C70" s="308"/>
      <c r="D70" s="1019"/>
      <c r="E70" s="1003" t="s">
        <v>1201</v>
      </c>
      <c r="F70" s="1098">
        <f ca="1">F42</f>
        <v>0</v>
      </c>
      <c r="O70" s="1463" t="s">
        <v>836</v>
      </c>
      <c r="P70" s="1500" t="s">
        <v>1309</v>
      </c>
      <c r="Q70" s="1456">
        <f ca="1">C13</f>
        <v>0</v>
      </c>
      <c r="R70" s="1456" t="s">
        <v>1253</v>
      </c>
    </row>
    <row r="71" spans="1:18" s="1421" customFormat="1" ht="13.5" thickBot="1">
      <c r="A71" s="1024" t="s">
        <v>820</v>
      </c>
      <c r="B71" s="1025" t="s">
        <v>1211</v>
      </c>
      <c r="C71" s="333" t="e">
        <f ca="1">ROUND(C68/F71,0)</f>
        <v>#DIV/0!</v>
      </c>
      <c r="D71" s="1026" t="s">
        <v>1212</v>
      </c>
      <c r="E71" s="1027" t="s">
        <v>1213</v>
      </c>
      <c r="F71" s="336">
        <f ca="1">F43</f>
        <v>0</v>
      </c>
      <c r="O71" s="1463" t="s">
        <v>837</v>
      </c>
      <c r="P71" s="1500" t="s">
        <v>1310</v>
      </c>
      <c r="Q71" s="1466">
        <f ca="1">C76</f>
        <v>0</v>
      </c>
      <c r="R71" s="1456"/>
    </row>
    <row r="72" spans="1:18" s="1421" customFormat="1" ht="13.5" thickBot="1">
      <c r="B72" s="694"/>
      <c r="C72" s="694"/>
      <c r="O72" s="1463" t="s">
        <v>831</v>
      </c>
      <c r="P72" s="1455" t="s">
        <v>1288</v>
      </c>
      <c r="Q72" s="1466">
        <f>L52</f>
        <v>0</v>
      </c>
      <c r="R72" s="1456"/>
    </row>
    <row r="73" spans="1:18" ht="16.5"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5" thickBot="1">
      <c r="A75" s="1421"/>
      <c r="B75" s="337" t="s">
        <v>1230</v>
      </c>
      <c r="C75" s="338">
        <f ca="1">ROUND(C13*C76,0)</f>
        <v>0</v>
      </c>
      <c r="D75" s="1421"/>
      <c r="E75" s="1421"/>
      <c r="F75" s="1421"/>
      <c r="K75" s="1438"/>
      <c r="L75" s="1421"/>
      <c r="O75" s="1454" t="s">
        <v>833</v>
      </c>
      <c r="P75" s="1455" t="s">
        <v>1273</v>
      </c>
      <c r="Q75" s="1456" t="e">
        <f ca="1">Q65+Q66</f>
        <v>#DIV/0!</v>
      </c>
      <c r="R75" s="1456" t="s">
        <v>834</v>
      </c>
    </row>
    <row r="76" spans="1:18">
      <c r="B76" s="339" t="s">
        <v>1231</v>
      </c>
      <c r="C76" s="340">
        <f ca="1">INDIRECT("'数据-取费表'!j"&amp;$G$1)</f>
        <v>0</v>
      </c>
      <c r="I76" s="1421"/>
      <c r="J76" s="1421"/>
      <c r="K76" s="1438"/>
      <c r="L76" s="1421"/>
    </row>
    <row r="77" spans="1:18">
      <c r="B77" s="341" t="s">
        <v>1232</v>
      </c>
      <c r="C77" s="342"/>
      <c r="I77" s="1421"/>
      <c r="J77" s="1421"/>
      <c r="K77" s="1438"/>
      <c r="L77" s="1421"/>
    </row>
    <row r="78" spans="1:18">
      <c r="B78" s="268" t="s">
        <v>1233</v>
      </c>
      <c r="C78" s="343"/>
    </row>
    <row r="79" spans="1:18">
      <c r="B79" s="337" t="s">
        <v>1234</v>
      </c>
      <c r="C79" s="272" t="e">
        <f ca="1">1-C80</f>
        <v>#DIV/0!</v>
      </c>
    </row>
    <row r="80" spans="1:18">
      <c r="B80" s="337" t="s">
        <v>1235</v>
      </c>
      <c r="C80" s="272" t="e">
        <f ca="1">ROUND(C75/C39,3)</f>
        <v>#DIV/0!</v>
      </c>
    </row>
    <row r="81" spans="2:3">
      <c r="B81" s="268" t="s">
        <v>1236</v>
      </c>
      <c r="C81" s="236"/>
    </row>
    <row r="82" spans="2:3">
      <c r="B82" s="271" t="s">
        <v>1237</v>
      </c>
      <c r="C82" s="273" t="e">
        <f ca="1">1-C83</f>
        <v>#DIV/0!</v>
      </c>
    </row>
    <row r="83" spans="2:3">
      <c r="B83" s="271" t="s">
        <v>1238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1" customWidth="1"/>
    <col min="2" max="16384" width="9" style="651"/>
  </cols>
  <sheetData>
    <row r="1" spans="1:1" ht="23.25">
      <c r="A1" s="1510" t="s">
        <v>1335</v>
      </c>
    </row>
    <row r="3" spans="1:1" ht="18">
      <c r="A3" s="1511" t="str">
        <f>项目基本情况!B5&amp;"："</f>
        <v>工商银行：</v>
      </c>
    </row>
    <row r="4" spans="1:1" ht="36">
      <c r="A4" s="1512" t="str">
        <f>"受贵公司委托，我公司对"&amp;项目基本情况!S1&amp;"进行了预评估。"</f>
        <v>受贵公司委托，我公司对北京市丰台区南四环西路186号四区1号楼房地产抵押价值进行了预评估。</v>
      </c>
    </row>
    <row r="5" spans="1:1" ht="18.75">
      <c r="A5" s="1513" t="s">
        <v>1336</v>
      </c>
    </row>
    <row r="6" spans="1:1" ht="18.75">
      <c r="A6" s="1514" t="s">
        <v>1337</v>
      </c>
    </row>
    <row r="7" spans="1:1" ht="72">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45717.88平方米，建筑面积为176954.78平方米。</v>
      </c>
    </row>
    <row r="8" spans="1:1" ht="57.75">
      <c r="A8" s="1515" t="s">
        <v>1338</v>
      </c>
    </row>
    <row r="9" spans="1:1" ht="18.75">
      <c r="A9" s="1514" t="s">
        <v>1339</v>
      </c>
    </row>
    <row r="10" spans="1:1" ht="72">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45717.88平方米，规划建筑面积为176954.78平方米。</v>
      </c>
    </row>
    <row r="11" spans="1:1" ht="76.5">
      <c r="A11" s="1515" t="s">
        <v>1340</v>
      </c>
    </row>
    <row r="12" spans="1:1" ht="18.75">
      <c r="A12" s="1513" t="s">
        <v>1341</v>
      </c>
    </row>
    <row r="13" spans="1:1" ht="38.25" customHeight="1">
      <c r="A13" s="151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511" t="s">
        <v>1342</v>
      </c>
    </row>
    <row r="15" spans="1:1" ht="18">
      <c r="A15" s="1516" t="str">
        <f>TEXT(项目基本情况!D3,"yyyy年m月d日;;")&amp;IF(项目基本情况!D3=项目基本情况!B3,"（评估专业人员实地查勘之日）","")</f>
        <v>2022年11月25日（评估专业人员实地查勘之日）</v>
      </c>
    </row>
    <row r="16" spans="1:1" ht="18.75">
      <c r="A16" s="1511" t="s">
        <v>1343</v>
      </c>
    </row>
    <row r="17" spans="1:1" ht="75">
      <c r="A17" s="1512" t="s">
        <v>1344</v>
      </c>
    </row>
    <row r="18" spans="1:1" ht="54">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25日，估价对象规划用途为研发楼，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5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11" t="s">
        <v>1333</v>
      </c>
    </row>
    <row r="24" spans="1:1" ht="18">
      <c r="A24" s="1517" t="str">
        <f>"本次评估采用的主估价方法为"&amp;结果表!K4&amp;"和"&amp;结果表!L4&amp;"。"</f>
        <v>本次评估采用的主估价方法为成本法和收益法。</v>
      </c>
    </row>
    <row r="25" spans="1:1" ht="18">
      <c r="A25" s="1517"/>
    </row>
    <row r="26" spans="1:1" ht="18.75">
      <c r="A26" s="1518"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57" customWidth="1"/>
    <col min="2" max="2" width="8.875" style="2757"/>
    <col min="3" max="5" width="12.875" style="2757" customWidth="1"/>
    <col min="6" max="6" width="47.5" style="2757" customWidth="1"/>
    <col min="7" max="7" width="13" style="2751" customWidth="1"/>
    <col min="8" max="8" width="8.875" style="2751"/>
    <col min="9" max="9" width="8.875" style="2752"/>
    <col min="10" max="10" width="5.75" style="2911" customWidth="1"/>
    <col min="11" max="11" width="11.75" style="2911" customWidth="1"/>
    <col min="12" max="13" width="10.75" style="2911" customWidth="1"/>
    <col min="14" max="14" width="10" style="2911" customWidth="1"/>
    <col min="15" max="16" width="10.5" style="2911" bestFit="1" customWidth="1"/>
    <col min="17" max="17" width="10" style="2911" customWidth="1"/>
    <col min="18" max="18" width="10.125" style="2911" customWidth="1"/>
    <col min="19" max="19" width="10" style="2911" customWidth="1"/>
    <col min="20" max="20" width="26.125" style="2911" customWidth="1"/>
    <col min="21" max="21" width="8.875" style="2911"/>
    <col min="22" max="22" width="8.875" style="2752"/>
    <col min="23" max="256" width="8.875" style="2757"/>
    <col min="257" max="257" width="9.5" style="2757" customWidth="1"/>
    <col min="258" max="258" width="8.875" style="2757"/>
    <col min="259" max="261" width="12.875" style="2757" customWidth="1"/>
    <col min="262" max="262" width="47.5" style="2757" customWidth="1"/>
    <col min="263" max="263" width="13" style="2757" customWidth="1"/>
    <col min="264" max="265" width="8.875" style="2757"/>
    <col min="266" max="266" width="5.75" style="2757" customWidth="1"/>
    <col min="267" max="267" width="11.75" style="2757" customWidth="1"/>
    <col min="268" max="269" width="10.75" style="2757" customWidth="1"/>
    <col min="270" max="270" width="10" style="2757" customWidth="1"/>
    <col min="271" max="272" width="10.5" style="2757" bestFit="1" customWidth="1"/>
    <col min="273" max="273" width="10" style="2757" customWidth="1"/>
    <col min="274" max="274" width="10.125" style="2757" customWidth="1"/>
    <col min="275" max="275" width="10" style="2757" customWidth="1"/>
    <col min="276" max="276" width="26.125" style="2757" customWidth="1"/>
    <col min="277" max="512" width="8.875" style="2757"/>
    <col min="513" max="513" width="9.5" style="2757" customWidth="1"/>
    <col min="514" max="514" width="8.875" style="2757"/>
    <col min="515" max="517" width="12.875" style="2757" customWidth="1"/>
    <col min="518" max="518" width="47.5" style="2757" customWidth="1"/>
    <col min="519" max="519" width="13" style="2757" customWidth="1"/>
    <col min="520" max="521" width="8.875" style="2757"/>
    <col min="522" max="522" width="5.75" style="2757" customWidth="1"/>
    <col min="523" max="523" width="11.75" style="2757" customWidth="1"/>
    <col min="524" max="525" width="10.75" style="2757" customWidth="1"/>
    <col min="526" max="526" width="10" style="2757" customWidth="1"/>
    <col min="527" max="528" width="10.5" style="2757" bestFit="1" customWidth="1"/>
    <col min="529" max="529" width="10" style="2757" customWidth="1"/>
    <col min="530" max="530" width="10.125" style="2757" customWidth="1"/>
    <col min="531" max="531" width="10" style="2757" customWidth="1"/>
    <col min="532" max="532" width="26.125" style="2757" customWidth="1"/>
    <col min="533" max="768" width="8.875" style="2757"/>
    <col min="769" max="769" width="9.5" style="2757" customWidth="1"/>
    <col min="770" max="770" width="8.875" style="2757"/>
    <col min="771" max="773" width="12.875" style="2757" customWidth="1"/>
    <col min="774" max="774" width="47.5" style="2757" customWidth="1"/>
    <col min="775" max="775" width="13" style="2757" customWidth="1"/>
    <col min="776" max="777" width="8.875" style="2757"/>
    <col min="778" max="778" width="5.75" style="2757" customWidth="1"/>
    <col min="779" max="779" width="11.75" style="2757" customWidth="1"/>
    <col min="780" max="781" width="10.75" style="2757" customWidth="1"/>
    <col min="782" max="782" width="10" style="2757" customWidth="1"/>
    <col min="783" max="784" width="10.5" style="2757" bestFit="1" customWidth="1"/>
    <col min="785" max="785" width="10" style="2757" customWidth="1"/>
    <col min="786" max="786" width="10.125" style="2757" customWidth="1"/>
    <col min="787" max="787" width="10" style="2757" customWidth="1"/>
    <col min="788" max="788" width="26.125" style="2757" customWidth="1"/>
    <col min="789" max="1024" width="8.875" style="2757"/>
    <col min="1025" max="1025" width="9.5" style="2757" customWidth="1"/>
    <col min="1026" max="1026" width="8.875" style="2757"/>
    <col min="1027" max="1029" width="12.875" style="2757" customWidth="1"/>
    <col min="1030" max="1030" width="47.5" style="2757" customWidth="1"/>
    <col min="1031" max="1031" width="13" style="2757" customWidth="1"/>
    <col min="1032" max="1033" width="8.875" style="2757"/>
    <col min="1034" max="1034" width="5.75" style="2757" customWidth="1"/>
    <col min="1035" max="1035" width="11.75" style="2757" customWidth="1"/>
    <col min="1036" max="1037" width="10.75" style="2757" customWidth="1"/>
    <col min="1038" max="1038" width="10" style="2757" customWidth="1"/>
    <col min="1039" max="1040" width="10.5" style="2757" bestFit="1" customWidth="1"/>
    <col min="1041" max="1041" width="10" style="2757" customWidth="1"/>
    <col min="1042" max="1042" width="10.125" style="2757" customWidth="1"/>
    <col min="1043" max="1043" width="10" style="2757" customWidth="1"/>
    <col min="1044" max="1044" width="26.125" style="2757" customWidth="1"/>
    <col min="1045" max="1280" width="8.875" style="2757"/>
    <col min="1281" max="1281" width="9.5" style="2757" customWidth="1"/>
    <col min="1282" max="1282" width="8.875" style="2757"/>
    <col min="1283" max="1285" width="12.875" style="2757" customWidth="1"/>
    <col min="1286" max="1286" width="47.5" style="2757" customWidth="1"/>
    <col min="1287" max="1287" width="13" style="2757" customWidth="1"/>
    <col min="1288" max="1289" width="8.875" style="2757"/>
    <col min="1290" max="1290" width="5.75" style="2757" customWidth="1"/>
    <col min="1291" max="1291" width="11.75" style="2757" customWidth="1"/>
    <col min="1292" max="1293" width="10.75" style="2757" customWidth="1"/>
    <col min="1294" max="1294" width="10" style="2757" customWidth="1"/>
    <col min="1295" max="1296" width="10.5" style="2757" bestFit="1" customWidth="1"/>
    <col min="1297" max="1297" width="10" style="2757" customWidth="1"/>
    <col min="1298" max="1298" width="10.125" style="2757" customWidth="1"/>
    <col min="1299" max="1299" width="10" style="2757" customWidth="1"/>
    <col min="1300" max="1300" width="26.125" style="2757" customWidth="1"/>
    <col min="1301" max="1536" width="8.875" style="2757"/>
    <col min="1537" max="1537" width="9.5" style="2757" customWidth="1"/>
    <col min="1538" max="1538" width="8.875" style="2757"/>
    <col min="1539" max="1541" width="12.875" style="2757" customWidth="1"/>
    <col min="1542" max="1542" width="47.5" style="2757" customWidth="1"/>
    <col min="1543" max="1543" width="13" style="2757" customWidth="1"/>
    <col min="1544" max="1545" width="8.875" style="2757"/>
    <col min="1546" max="1546" width="5.75" style="2757" customWidth="1"/>
    <col min="1547" max="1547" width="11.75" style="2757" customWidth="1"/>
    <col min="1548" max="1549" width="10.75" style="2757" customWidth="1"/>
    <col min="1550" max="1550" width="10" style="2757" customWidth="1"/>
    <col min="1551" max="1552" width="10.5" style="2757" bestFit="1" customWidth="1"/>
    <col min="1553" max="1553" width="10" style="2757" customWidth="1"/>
    <col min="1554" max="1554" width="10.125" style="2757" customWidth="1"/>
    <col min="1555" max="1555" width="10" style="2757" customWidth="1"/>
    <col min="1556" max="1556" width="26.125" style="2757" customWidth="1"/>
    <col min="1557" max="1792" width="8.875" style="2757"/>
    <col min="1793" max="1793" width="9.5" style="2757" customWidth="1"/>
    <col min="1794" max="1794" width="8.875" style="2757"/>
    <col min="1795" max="1797" width="12.875" style="2757" customWidth="1"/>
    <col min="1798" max="1798" width="47.5" style="2757" customWidth="1"/>
    <col min="1799" max="1799" width="13" style="2757" customWidth="1"/>
    <col min="1800" max="1801" width="8.875" style="2757"/>
    <col min="1802" max="1802" width="5.75" style="2757" customWidth="1"/>
    <col min="1803" max="1803" width="11.75" style="2757" customWidth="1"/>
    <col min="1804" max="1805" width="10.75" style="2757" customWidth="1"/>
    <col min="1806" max="1806" width="10" style="2757" customWidth="1"/>
    <col min="1807" max="1808" width="10.5" style="2757" bestFit="1" customWidth="1"/>
    <col min="1809" max="1809" width="10" style="2757" customWidth="1"/>
    <col min="1810" max="1810" width="10.125" style="2757" customWidth="1"/>
    <col min="1811" max="1811" width="10" style="2757" customWidth="1"/>
    <col min="1812" max="1812" width="26.125" style="2757" customWidth="1"/>
    <col min="1813" max="2048" width="8.875" style="2757"/>
    <col min="2049" max="2049" width="9.5" style="2757" customWidth="1"/>
    <col min="2050" max="2050" width="8.875" style="2757"/>
    <col min="2051" max="2053" width="12.875" style="2757" customWidth="1"/>
    <col min="2054" max="2054" width="47.5" style="2757" customWidth="1"/>
    <col min="2055" max="2055" width="13" style="2757" customWidth="1"/>
    <col min="2056" max="2057" width="8.875" style="2757"/>
    <col min="2058" max="2058" width="5.75" style="2757" customWidth="1"/>
    <col min="2059" max="2059" width="11.75" style="2757" customWidth="1"/>
    <col min="2060" max="2061" width="10.75" style="2757" customWidth="1"/>
    <col min="2062" max="2062" width="10" style="2757" customWidth="1"/>
    <col min="2063" max="2064" width="10.5" style="2757" bestFit="1" customWidth="1"/>
    <col min="2065" max="2065" width="10" style="2757" customWidth="1"/>
    <col min="2066" max="2066" width="10.125" style="2757" customWidth="1"/>
    <col min="2067" max="2067" width="10" style="2757" customWidth="1"/>
    <col min="2068" max="2068" width="26.125" style="2757" customWidth="1"/>
    <col min="2069" max="2304" width="8.875" style="2757"/>
    <col min="2305" max="2305" width="9.5" style="2757" customWidth="1"/>
    <col min="2306" max="2306" width="8.875" style="2757"/>
    <col min="2307" max="2309" width="12.875" style="2757" customWidth="1"/>
    <col min="2310" max="2310" width="47.5" style="2757" customWidth="1"/>
    <col min="2311" max="2311" width="13" style="2757" customWidth="1"/>
    <col min="2312" max="2313" width="8.875" style="2757"/>
    <col min="2314" max="2314" width="5.75" style="2757" customWidth="1"/>
    <col min="2315" max="2315" width="11.75" style="2757" customWidth="1"/>
    <col min="2316" max="2317" width="10.75" style="2757" customWidth="1"/>
    <col min="2318" max="2318" width="10" style="2757" customWidth="1"/>
    <col min="2319" max="2320" width="10.5" style="2757" bestFit="1" customWidth="1"/>
    <col min="2321" max="2321" width="10" style="2757" customWidth="1"/>
    <col min="2322" max="2322" width="10.125" style="2757" customWidth="1"/>
    <col min="2323" max="2323" width="10" style="2757" customWidth="1"/>
    <col min="2324" max="2324" width="26.125" style="2757" customWidth="1"/>
    <col min="2325" max="2560" width="8.875" style="2757"/>
    <col min="2561" max="2561" width="9.5" style="2757" customWidth="1"/>
    <col min="2562" max="2562" width="8.875" style="2757"/>
    <col min="2563" max="2565" width="12.875" style="2757" customWidth="1"/>
    <col min="2566" max="2566" width="47.5" style="2757" customWidth="1"/>
    <col min="2567" max="2567" width="13" style="2757" customWidth="1"/>
    <col min="2568" max="2569" width="8.875" style="2757"/>
    <col min="2570" max="2570" width="5.75" style="2757" customWidth="1"/>
    <col min="2571" max="2571" width="11.75" style="2757" customWidth="1"/>
    <col min="2572" max="2573" width="10.75" style="2757" customWidth="1"/>
    <col min="2574" max="2574" width="10" style="2757" customWidth="1"/>
    <col min="2575" max="2576" width="10.5" style="2757" bestFit="1" customWidth="1"/>
    <col min="2577" max="2577" width="10" style="2757" customWidth="1"/>
    <col min="2578" max="2578" width="10.125" style="2757" customWidth="1"/>
    <col min="2579" max="2579" width="10" style="2757" customWidth="1"/>
    <col min="2580" max="2580" width="26.125" style="2757" customWidth="1"/>
    <col min="2581" max="2816" width="8.875" style="2757"/>
    <col min="2817" max="2817" width="9.5" style="2757" customWidth="1"/>
    <col min="2818" max="2818" width="8.875" style="2757"/>
    <col min="2819" max="2821" width="12.875" style="2757" customWidth="1"/>
    <col min="2822" max="2822" width="47.5" style="2757" customWidth="1"/>
    <col min="2823" max="2823" width="13" style="2757" customWidth="1"/>
    <col min="2824" max="2825" width="8.875" style="2757"/>
    <col min="2826" max="2826" width="5.75" style="2757" customWidth="1"/>
    <col min="2827" max="2827" width="11.75" style="2757" customWidth="1"/>
    <col min="2828" max="2829" width="10.75" style="2757" customWidth="1"/>
    <col min="2830" max="2830" width="10" style="2757" customWidth="1"/>
    <col min="2831" max="2832" width="10.5" style="2757" bestFit="1" customWidth="1"/>
    <col min="2833" max="2833" width="10" style="2757" customWidth="1"/>
    <col min="2834" max="2834" width="10.125" style="2757" customWidth="1"/>
    <col min="2835" max="2835" width="10" style="2757" customWidth="1"/>
    <col min="2836" max="2836" width="26.125" style="2757" customWidth="1"/>
    <col min="2837" max="3072" width="8.875" style="2757"/>
    <col min="3073" max="3073" width="9.5" style="2757" customWidth="1"/>
    <col min="3074" max="3074" width="8.875" style="2757"/>
    <col min="3075" max="3077" width="12.875" style="2757" customWidth="1"/>
    <col min="3078" max="3078" width="47.5" style="2757" customWidth="1"/>
    <col min="3079" max="3079" width="13" style="2757" customWidth="1"/>
    <col min="3080" max="3081" width="8.875" style="2757"/>
    <col min="3082" max="3082" width="5.75" style="2757" customWidth="1"/>
    <col min="3083" max="3083" width="11.75" style="2757" customWidth="1"/>
    <col min="3084" max="3085" width="10.75" style="2757" customWidth="1"/>
    <col min="3086" max="3086" width="10" style="2757" customWidth="1"/>
    <col min="3087" max="3088" width="10.5" style="2757" bestFit="1" customWidth="1"/>
    <col min="3089" max="3089" width="10" style="2757" customWidth="1"/>
    <col min="3090" max="3090" width="10.125" style="2757" customWidth="1"/>
    <col min="3091" max="3091" width="10" style="2757" customWidth="1"/>
    <col min="3092" max="3092" width="26.125" style="2757" customWidth="1"/>
    <col min="3093" max="3328" width="8.875" style="2757"/>
    <col min="3329" max="3329" width="9.5" style="2757" customWidth="1"/>
    <col min="3330" max="3330" width="8.875" style="2757"/>
    <col min="3331" max="3333" width="12.875" style="2757" customWidth="1"/>
    <col min="3334" max="3334" width="47.5" style="2757" customWidth="1"/>
    <col min="3335" max="3335" width="13" style="2757" customWidth="1"/>
    <col min="3336" max="3337" width="8.875" style="2757"/>
    <col min="3338" max="3338" width="5.75" style="2757" customWidth="1"/>
    <col min="3339" max="3339" width="11.75" style="2757" customWidth="1"/>
    <col min="3340" max="3341" width="10.75" style="2757" customWidth="1"/>
    <col min="3342" max="3342" width="10" style="2757" customWidth="1"/>
    <col min="3343" max="3344" width="10.5" style="2757" bestFit="1" customWidth="1"/>
    <col min="3345" max="3345" width="10" style="2757" customWidth="1"/>
    <col min="3346" max="3346" width="10.125" style="2757" customWidth="1"/>
    <col min="3347" max="3347" width="10" style="2757" customWidth="1"/>
    <col min="3348" max="3348" width="26.125" style="2757" customWidth="1"/>
    <col min="3349" max="3584" width="8.875" style="2757"/>
    <col min="3585" max="3585" width="9.5" style="2757" customWidth="1"/>
    <col min="3586" max="3586" width="8.875" style="2757"/>
    <col min="3587" max="3589" width="12.875" style="2757" customWidth="1"/>
    <col min="3590" max="3590" width="47.5" style="2757" customWidth="1"/>
    <col min="3591" max="3591" width="13" style="2757" customWidth="1"/>
    <col min="3592" max="3593" width="8.875" style="2757"/>
    <col min="3594" max="3594" width="5.75" style="2757" customWidth="1"/>
    <col min="3595" max="3595" width="11.75" style="2757" customWidth="1"/>
    <col min="3596" max="3597" width="10.75" style="2757" customWidth="1"/>
    <col min="3598" max="3598" width="10" style="2757" customWidth="1"/>
    <col min="3599" max="3600" width="10.5" style="2757" bestFit="1" customWidth="1"/>
    <col min="3601" max="3601" width="10" style="2757" customWidth="1"/>
    <col min="3602" max="3602" width="10.125" style="2757" customWidth="1"/>
    <col min="3603" max="3603" width="10" style="2757" customWidth="1"/>
    <col min="3604" max="3604" width="26.125" style="2757" customWidth="1"/>
    <col min="3605" max="3840" width="8.875" style="2757"/>
    <col min="3841" max="3841" width="9.5" style="2757" customWidth="1"/>
    <col min="3842" max="3842" width="8.875" style="2757"/>
    <col min="3843" max="3845" width="12.875" style="2757" customWidth="1"/>
    <col min="3846" max="3846" width="47.5" style="2757" customWidth="1"/>
    <col min="3847" max="3847" width="13" style="2757" customWidth="1"/>
    <col min="3848" max="3849" width="8.875" style="2757"/>
    <col min="3850" max="3850" width="5.75" style="2757" customWidth="1"/>
    <col min="3851" max="3851" width="11.75" style="2757" customWidth="1"/>
    <col min="3852" max="3853" width="10.75" style="2757" customWidth="1"/>
    <col min="3854" max="3854" width="10" style="2757" customWidth="1"/>
    <col min="3855" max="3856" width="10.5" style="2757" bestFit="1" customWidth="1"/>
    <col min="3857" max="3857" width="10" style="2757" customWidth="1"/>
    <col min="3858" max="3858" width="10.125" style="2757" customWidth="1"/>
    <col min="3859" max="3859" width="10" style="2757" customWidth="1"/>
    <col min="3860" max="3860" width="26.125" style="2757" customWidth="1"/>
    <col min="3861" max="4096" width="8.875" style="2757"/>
    <col min="4097" max="4097" width="9.5" style="2757" customWidth="1"/>
    <col min="4098" max="4098" width="8.875" style="2757"/>
    <col min="4099" max="4101" width="12.875" style="2757" customWidth="1"/>
    <col min="4102" max="4102" width="47.5" style="2757" customWidth="1"/>
    <col min="4103" max="4103" width="13" style="2757" customWidth="1"/>
    <col min="4104" max="4105" width="8.875" style="2757"/>
    <col min="4106" max="4106" width="5.75" style="2757" customWidth="1"/>
    <col min="4107" max="4107" width="11.75" style="2757" customWidth="1"/>
    <col min="4108" max="4109" width="10.75" style="2757" customWidth="1"/>
    <col min="4110" max="4110" width="10" style="2757" customWidth="1"/>
    <col min="4111" max="4112" width="10.5" style="2757" bestFit="1" customWidth="1"/>
    <col min="4113" max="4113" width="10" style="2757" customWidth="1"/>
    <col min="4114" max="4114" width="10.125" style="2757" customWidth="1"/>
    <col min="4115" max="4115" width="10" style="2757" customWidth="1"/>
    <col min="4116" max="4116" width="26.125" style="2757" customWidth="1"/>
    <col min="4117" max="4352" width="8.875" style="2757"/>
    <col min="4353" max="4353" width="9.5" style="2757" customWidth="1"/>
    <col min="4354" max="4354" width="8.875" style="2757"/>
    <col min="4355" max="4357" width="12.875" style="2757" customWidth="1"/>
    <col min="4358" max="4358" width="47.5" style="2757" customWidth="1"/>
    <col min="4359" max="4359" width="13" style="2757" customWidth="1"/>
    <col min="4360" max="4361" width="8.875" style="2757"/>
    <col min="4362" max="4362" width="5.75" style="2757" customWidth="1"/>
    <col min="4363" max="4363" width="11.75" style="2757" customWidth="1"/>
    <col min="4364" max="4365" width="10.75" style="2757" customWidth="1"/>
    <col min="4366" max="4366" width="10" style="2757" customWidth="1"/>
    <col min="4367" max="4368" width="10.5" style="2757" bestFit="1" customWidth="1"/>
    <col min="4369" max="4369" width="10" style="2757" customWidth="1"/>
    <col min="4370" max="4370" width="10.125" style="2757" customWidth="1"/>
    <col min="4371" max="4371" width="10" style="2757" customWidth="1"/>
    <col min="4372" max="4372" width="26.125" style="2757" customWidth="1"/>
    <col min="4373" max="4608" width="8.875" style="2757"/>
    <col min="4609" max="4609" width="9.5" style="2757" customWidth="1"/>
    <col min="4610" max="4610" width="8.875" style="2757"/>
    <col min="4611" max="4613" width="12.875" style="2757" customWidth="1"/>
    <col min="4614" max="4614" width="47.5" style="2757" customWidth="1"/>
    <col min="4615" max="4615" width="13" style="2757" customWidth="1"/>
    <col min="4616" max="4617" width="8.875" style="2757"/>
    <col min="4618" max="4618" width="5.75" style="2757" customWidth="1"/>
    <col min="4619" max="4619" width="11.75" style="2757" customWidth="1"/>
    <col min="4620" max="4621" width="10.75" style="2757" customWidth="1"/>
    <col min="4622" max="4622" width="10" style="2757" customWidth="1"/>
    <col min="4623" max="4624" width="10.5" style="2757" bestFit="1" customWidth="1"/>
    <col min="4625" max="4625" width="10" style="2757" customWidth="1"/>
    <col min="4626" max="4626" width="10.125" style="2757" customWidth="1"/>
    <col min="4627" max="4627" width="10" style="2757" customWidth="1"/>
    <col min="4628" max="4628" width="26.125" style="2757" customWidth="1"/>
    <col min="4629" max="4864" width="8.875" style="2757"/>
    <col min="4865" max="4865" width="9.5" style="2757" customWidth="1"/>
    <col min="4866" max="4866" width="8.875" style="2757"/>
    <col min="4867" max="4869" width="12.875" style="2757" customWidth="1"/>
    <col min="4870" max="4870" width="47.5" style="2757" customWidth="1"/>
    <col min="4871" max="4871" width="13" style="2757" customWidth="1"/>
    <col min="4872" max="4873" width="8.875" style="2757"/>
    <col min="4874" max="4874" width="5.75" style="2757" customWidth="1"/>
    <col min="4875" max="4875" width="11.75" style="2757" customWidth="1"/>
    <col min="4876" max="4877" width="10.75" style="2757" customWidth="1"/>
    <col min="4878" max="4878" width="10" style="2757" customWidth="1"/>
    <col min="4879" max="4880" width="10.5" style="2757" bestFit="1" customWidth="1"/>
    <col min="4881" max="4881" width="10" style="2757" customWidth="1"/>
    <col min="4882" max="4882" width="10.125" style="2757" customWidth="1"/>
    <col min="4883" max="4883" width="10" style="2757" customWidth="1"/>
    <col min="4884" max="4884" width="26.125" style="2757" customWidth="1"/>
    <col min="4885" max="5120" width="8.875" style="2757"/>
    <col min="5121" max="5121" width="9.5" style="2757" customWidth="1"/>
    <col min="5122" max="5122" width="8.875" style="2757"/>
    <col min="5123" max="5125" width="12.875" style="2757" customWidth="1"/>
    <col min="5126" max="5126" width="47.5" style="2757" customWidth="1"/>
    <col min="5127" max="5127" width="13" style="2757" customWidth="1"/>
    <col min="5128" max="5129" width="8.875" style="2757"/>
    <col min="5130" max="5130" width="5.75" style="2757" customWidth="1"/>
    <col min="5131" max="5131" width="11.75" style="2757" customWidth="1"/>
    <col min="5132" max="5133" width="10.75" style="2757" customWidth="1"/>
    <col min="5134" max="5134" width="10" style="2757" customWidth="1"/>
    <col min="5135" max="5136" width="10.5" style="2757" bestFit="1" customWidth="1"/>
    <col min="5137" max="5137" width="10" style="2757" customWidth="1"/>
    <col min="5138" max="5138" width="10.125" style="2757" customWidth="1"/>
    <col min="5139" max="5139" width="10" style="2757" customWidth="1"/>
    <col min="5140" max="5140" width="26.125" style="2757" customWidth="1"/>
    <col min="5141" max="5376" width="8.875" style="2757"/>
    <col min="5377" max="5377" width="9.5" style="2757" customWidth="1"/>
    <col min="5378" max="5378" width="8.875" style="2757"/>
    <col min="5379" max="5381" width="12.875" style="2757" customWidth="1"/>
    <col min="5382" max="5382" width="47.5" style="2757" customWidth="1"/>
    <col min="5383" max="5383" width="13" style="2757" customWidth="1"/>
    <col min="5384" max="5385" width="8.875" style="2757"/>
    <col min="5386" max="5386" width="5.75" style="2757" customWidth="1"/>
    <col min="5387" max="5387" width="11.75" style="2757" customWidth="1"/>
    <col min="5388" max="5389" width="10.75" style="2757" customWidth="1"/>
    <col min="5390" max="5390" width="10" style="2757" customWidth="1"/>
    <col min="5391" max="5392" width="10.5" style="2757" bestFit="1" customWidth="1"/>
    <col min="5393" max="5393" width="10" style="2757" customWidth="1"/>
    <col min="5394" max="5394" width="10.125" style="2757" customWidth="1"/>
    <col min="5395" max="5395" width="10" style="2757" customWidth="1"/>
    <col min="5396" max="5396" width="26.125" style="2757" customWidth="1"/>
    <col min="5397" max="5632" width="8.875" style="2757"/>
    <col min="5633" max="5633" width="9.5" style="2757" customWidth="1"/>
    <col min="5634" max="5634" width="8.875" style="2757"/>
    <col min="5635" max="5637" width="12.875" style="2757" customWidth="1"/>
    <col min="5638" max="5638" width="47.5" style="2757" customWidth="1"/>
    <col min="5639" max="5639" width="13" style="2757" customWidth="1"/>
    <col min="5640" max="5641" width="8.875" style="2757"/>
    <col min="5642" max="5642" width="5.75" style="2757" customWidth="1"/>
    <col min="5643" max="5643" width="11.75" style="2757" customWidth="1"/>
    <col min="5644" max="5645" width="10.75" style="2757" customWidth="1"/>
    <col min="5646" max="5646" width="10" style="2757" customWidth="1"/>
    <col min="5647" max="5648" width="10.5" style="2757" bestFit="1" customWidth="1"/>
    <col min="5649" max="5649" width="10" style="2757" customWidth="1"/>
    <col min="5650" max="5650" width="10.125" style="2757" customWidth="1"/>
    <col min="5651" max="5651" width="10" style="2757" customWidth="1"/>
    <col min="5652" max="5652" width="26.125" style="2757" customWidth="1"/>
    <col min="5653" max="5888" width="8.875" style="2757"/>
    <col min="5889" max="5889" width="9.5" style="2757" customWidth="1"/>
    <col min="5890" max="5890" width="8.875" style="2757"/>
    <col min="5891" max="5893" width="12.875" style="2757" customWidth="1"/>
    <col min="5894" max="5894" width="47.5" style="2757" customWidth="1"/>
    <col min="5895" max="5895" width="13" style="2757" customWidth="1"/>
    <col min="5896" max="5897" width="8.875" style="2757"/>
    <col min="5898" max="5898" width="5.75" style="2757" customWidth="1"/>
    <col min="5899" max="5899" width="11.75" style="2757" customWidth="1"/>
    <col min="5900" max="5901" width="10.75" style="2757" customWidth="1"/>
    <col min="5902" max="5902" width="10" style="2757" customWidth="1"/>
    <col min="5903" max="5904" width="10.5" style="2757" bestFit="1" customWidth="1"/>
    <col min="5905" max="5905" width="10" style="2757" customWidth="1"/>
    <col min="5906" max="5906" width="10.125" style="2757" customWidth="1"/>
    <col min="5907" max="5907" width="10" style="2757" customWidth="1"/>
    <col min="5908" max="5908" width="26.125" style="2757" customWidth="1"/>
    <col min="5909" max="6144" width="8.875" style="2757"/>
    <col min="6145" max="6145" width="9.5" style="2757" customWidth="1"/>
    <col min="6146" max="6146" width="8.875" style="2757"/>
    <col min="6147" max="6149" width="12.875" style="2757" customWidth="1"/>
    <col min="6150" max="6150" width="47.5" style="2757" customWidth="1"/>
    <col min="6151" max="6151" width="13" style="2757" customWidth="1"/>
    <col min="6152" max="6153" width="8.875" style="2757"/>
    <col min="6154" max="6154" width="5.75" style="2757" customWidth="1"/>
    <col min="6155" max="6155" width="11.75" style="2757" customWidth="1"/>
    <col min="6156" max="6157" width="10.75" style="2757" customWidth="1"/>
    <col min="6158" max="6158" width="10" style="2757" customWidth="1"/>
    <col min="6159" max="6160" width="10.5" style="2757" bestFit="1" customWidth="1"/>
    <col min="6161" max="6161" width="10" style="2757" customWidth="1"/>
    <col min="6162" max="6162" width="10.125" style="2757" customWidth="1"/>
    <col min="6163" max="6163" width="10" style="2757" customWidth="1"/>
    <col min="6164" max="6164" width="26.125" style="2757" customWidth="1"/>
    <col min="6165" max="6400" width="8.875" style="2757"/>
    <col min="6401" max="6401" width="9.5" style="2757" customWidth="1"/>
    <col min="6402" max="6402" width="8.875" style="2757"/>
    <col min="6403" max="6405" width="12.875" style="2757" customWidth="1"/>
    <col min="6406" max="6406" width="47.5" style="2757" customWidth="1"/>
    <col min="6407" max="6407" width="13" style="2757" customWidth="1"/>
    <col min="6408" max="6409" width="8.875" style="2757"/>
    <col min="6410" max="6410" width="5.75" style="2757" customWidth="1"/>
    <col min="6411" max="6411" width="11.75" style="2757" customWidth="1"/>
    <col min="6412" max="6413" width="10.75" style="2757" customWidth="1"/>
    <col min="6414" max="6414" width="10" style="2757" customWidth="1"/>
    <col min="6415" max="6416" width="10.5" style="2757" bestFit="1" customWidth="1"/>
    <col min="6417" max="6417" width="10" style="2757" customWidth="1"/>
    <col min="6418" max="6418" width="10.125" style="2757" customWidth="1"/>
    <col min="6419" max="6419" width="10" style="2757" customWidth="1"/>
    <col min="6420" max="6420" width="26.125" style="2757" customWidth="1"/>
    <col min="6421" max="6656" width="8.875" style="2757"/>
    <col min="6657" max="6657" width="9.5" style="2757" customWidth="1"/>
    <col min="6658" max="6658" width="8.875" style="2757"/>
    <col min="6659" max="6661" width="12.875" style="2757" customWidth="1"/>
    <col min="6662" max="6662" width="47.5" style="2757" customWidth="1"/>
    <col min="6663" max="6663" width="13" style="2757" customWidth="1"/>
    <col min="6664" max="6665" width="8.875" style="2757"/>
    <col min="6666" max="6666" width="5.75" style="2757" customWidth="1"/>
    <col min="6667" max="6667" width="11.75" style="2757" customWidth="1"/>
    <col min="6668" max="6669" width="10.75" style="2757" customWidth="1"/>
    <col min="6670" max="6670" width="10" style="2757" customWidth="1"/>
    <col min="6671" max="6672" width="10.5" style="2757" bestFit="1" customWidth="1"/>
    <col min="6673" max="6673" width="10" style="2757" customWidth="1"/>
    <col min="6674" max="6674" width="10.125" style="2757" customWidth="1"/>
    <col min="6675" max="6675" width="10" style="2757" customWidth="1"/>
    <col min="6676" max="6676" width="26.125" style="2757" customWidth="1"/>
    <col min="6677" max="6912" width="8.875" style="2757"/>
    <col min="6913" max="6913" width="9.5" style="2757" customWidth="1"/>
    <col min="6914" max="6914" width="8.875" style="2757"/>
    <col min="6915" max="6917" width="12.875" style="2757" customWidth="1"/>
    <col min="6918" max="6918" width="47.5" style="2757" customWidth="1"/>
    <col min="6919" max="6919" width="13" style="2757" customWidth="1"/>
    <col min="6920" max="6921" width="8.875" style="2757"/>
    <col min="6922" max="6922" width="5.75" style="2757" customWidth="1"/>
    <col min="6923" max="6923" width="11.75" style="2757" customWidth="1"/>
    <col min="6924" max="6925" width="10.75" style="2757" customWidth="1"/>
    <col min="6926" max="6926" width="10" style="2757" customWidth="1"/>
    <col min="6927" max="6928" width="10.5" style="2757" bestFit="1" customWidth="1"/>
    <col min="6929" max="6929" width="10" style="2757" customWidth="1"/>
    <col min="6930" max="6930" width="10.125" style="2757" customWidth="1"/>
    <col min="6931" max="6931" width="10" style="2757" customWidth="1"/>
    <col min="6932" max="6932" width="26.125" style="2757" customWidth="1"/>
    <col min="6933" max="7168" width="8.875" style="2757"/>
    <col min="7169" max="7169" width="9.5" style="2757" customWidth="1"/>
    <col min="7170" max="7170" width="8.875" style="2757"/>
    <col min="7171" max="7173" width="12.875" style="2757" customWidth="1"/>
    <col min="7174" max="7174" width="47.5" style="2757" customWidth="1"/>
    <col min="7175" max="7175" width="13" style="2757" customWidth="1"/>
    <col min="7176" max="7177" width="8.875" style="2757"/>
    <col min="7178" max="7178" width="5.75" style="2757" customWidth="1"/>
    <col min="7179" max="7179" width="11.75" style="2757" customWidth="1"/>
    <col min="7180" max="7181" width="10.75" style="2757" customWidth="1"/>
    <col min="7182" max="7182" width="10" style="2757" customWidth="1"/>
    <col min="7183" max="7184" width="10.5" style="2757" bestFit="1" customWidth="1"/>
    <col min="7185" max="7185" width="10" style="2757" customWidth="1"/>
    <col min="7186" max="7186" width="10.125" style="2757" customWidth="1"/>
    <col min="7187" max="7187" width="10" style="2757" customWidth="1"/>
    <col min="7188" max="7188" width="26.125" style="2757" customWidth="1"/>
    <col min="7189" max="7424" width="8.875" style="2757"/>
    <col min="7425" max="7425" width="9.5" style="2757" customWidth="1"/>
    <col min="7426" max="7426" width="8.875" style="2757"/>
    <col min="7427" max="7429" width="12.875" style="2757" customWidth="1"/>
    <col min="7430" max="7430" width="47.5" style="2757" customWidth="1"/>
    <col min="7431" max="7431" width="13" style="2757" customWidth="1"/>
    <col min="7432" max="7433" width="8.875" style="2757"/>
    <col min="7434" max="7434" width="5.75" style="2757" customWidth="1"/>
    <col min="7435" max="7435" width="11.75" style="2757" customWidth="1"/>
    <col min="7436" max="7437" width="10.75" style="2757" customWidth="1"/>
    <col min="7438" max="7438" width="10" style="2757" customWidth="1"/>
    <col min="7439" max="7440" width="10.5" style="2757" bestFit="1" customWidth="1"/>
    <col min="7441" max="7441" width="10" style="2757" customWidth="1"/>
    <col min="7442" max="7442" width="10.125" style="2757" customWidth="1"/>
    <col min="7443" max="7443" width="10" style="2757" customWidth="1"/>
    <col min="7444" max="7444" width="26.125" style="2757" customWidth="1"/>
    <col min="7445" max="7680" width="8.875" style="2757"/>
    <col min="7681" max="7681" width="9.5" style="2757" customWidth="1"/>
    <col min="7682" max="7682" width="8.875" style="2757"/>
    <col min="7683" max="7685" width="12.875" style="2757" customWidth="1"/>
    <col min="7686" max="7686" width="47.5" style="2757" customWidth="1"/>
    <col min="7687" max="7687" width="13" style="2757" customWidth="1"/>
    <col min="7688" max="7689" width="8.875" style="2757"/>
    <col min="7690" max="7690" width="5.75" style="2757" customWidth="1"/>
    <col min="7691" max="7691" width="11.75" style="2757" customWidth="1"/>
    <col min="7692" max="7693" width="10.75" style="2757" customWidth="1"/>
    <col min="7694" max="7694" width="10" style="2757" customWidth="1"/>
    <col min="7695" max="7696" width="10.5" style="2757" bestFit="1" customWidth="1"/>
    <col min="7697" max="7697" width="10" style="2757" customWidth="1"/>
    <col min="7698" max="7698" width="10.125" style="2757" customWidth="1"/>
    <col min="7699" max="7699" width="10" style="2757" customWidth="1"/>
    <col min="7700" max="7700" width="26.125" style="2757" customWidth="1"/>
    <col min="7701" max="7936" width="8.875" style="2757"/>
    <col min="7937" max="7937" width="9.5" style="2757" customWidth="1"/>
    <col min="7938" max="7938" width="8.875" style="2757"/>
    <col min="7939" max="7941" width="12.875" style="2757" customWidth="1"/>
    <col min="7942" max="7942" width="47.5" style="2757" customWidth="1"/>
    <col min="7943" max="7943" width="13" style="2757" customWidth="1"/>
    <col min="7944" max="7945" width="8.875" style="2757"/>
    <col min="7946" max="7946" width="5.75" style="2757" customWidth="1"/>
    <col min="7947" max="7947" width="11.75" style="2757" customWidth="1"/>
    <col min="7948" max="7949" width="10.75" style="2757" customWidth="1"/>
    <col min="7950" max="7950" width="10" style="2757" customWidth="1"/>
    <col min="7951" max="7952" width="10.5" style="2757" bestFit="1" customWidth="1"/>
    <col min="7953" max="7953" width="10" style="2757" customWidth="1"/>
    <col min="7954" max="7954" width="10.125" style="2757" customWidth="1"/>
    <col min="7955" max="7955" width="10" style="2757" customWidth="1"/>
    <col min="7956" max="7956" width="26.125" style="2757" customWidth="1"/>
    <col min="7957" max="8192" width="8.875" style="2757"/>
    <col min="8193" max="8193" width="9.5" style="2757" customWidth="1"/>
    <col min="8194" max="8194" width="8.875" style="2757"/>
    <col min="8195" max="8197" width="12.875" style="2757" customWidth="1"/>
    <col min="8198" max="8198" width="47.5" style="2757" customWidth="1"/>
    <col min="8199" max="8199" width="13" style="2757" customWidth="1"/>
    <col min="8200" max="8201" width="8.875" style="2757"/>
    <col min="8202" max="8202" width="5.75" style="2757" customWidth="1"/>
    <col min="8203" max="8203" width="11.75" style="2757" customWidth="1"/>
    <col min="8204" max="8205" width="10.75" style="2757" customWidth="1"/>
    <col min="8206" max="8206" width="10" style="2757" customWidth="1"/>
    <col min="8207" max="8208" width="10.5" style="2757" bestFit="1" customWidth="1"/>
    <col min="8209" max="8209" width="10" style="2757" customWidth="1"/>
    <col min="8210" max="8210" width="10.125" style="2757" customWidth="1"/>
    <col min="8211" max="8211" width="10" style="2757" customWidth="1"/>
    <col min="8212" max="8212" width="26.125" style="2757" customWidth="1"/>
    <col min="8213" max="8448" width="8.875" style="2757"/>
    <col min="8449" max="8449" width="9.5" style="2757" customWidth="1"/>
    <col min="8450" max="8450" width="8.875" style="2757"/>
    <col min="8451" max="8453" width="12.875" style="2757" customWidth="1"/>
    <col min="8454" max="8454" width="47.5" style="2757" customWidth="1"/>
    <col min="8455" max="8455" width="13" style="2757" customWidth="1"/>
    <col min="8456" max="8457" width="8.875" style="2757"/>
    <col min="8458" max="8458" width="5.75" style="2757" customWidth="1"/>
    <col min="8459" max="8459" width="11.75" style="2757" customWidth="1"/>
    <col min="8460" max="8461" width="10.75" style="2757" customWidth="1"/>
    <col min="8462" max="8462" width="10" style="2757" customWidth="1"/>
    <col min="8463" max="8464" width="10.5" style="2757" bestFit="1" customWidth="1"/>
    <col min="8465" max="8465" width="10" style="2757" customWidth="1"/>
    <col min="8466" max="8466" width="10.125" style="2757" customWidth="1"/>
    <col min="8467" max="8467" width="10" style="2757" customWidth="1"/>
    <col min="8468" max="8468" width="26.125" style="2757" customWidth="1"/>
    <col min="8469" max="8704" width="8.875" style="2757"/>
    <col min="8705" max="8705" width="9.5" style="2757" customWidth="1"/>
    <col min="8706" max="8706" width="8.875" style="2757"/>
    <col min="8707" max="8709" width="12.875" style="2757" customWidth="1"/>
    <col min="8710" max="8710" width="47.5" style="2757" customWidth="1"/>
    <col min="8711" max="8711" width="13" style="2757" customWidth="1"/>
    <col min="8712" max="8713" width="8.875" style="2757"/>
    <col min="8714" max="8714" width="5.75" style="2757" customWidth="1"/>
    <col min="8715" max="8715" width="11.75" style="2757" customWidth="1"/>
    <col min="8716" max="8717" width="10.75" style="2757" customWidth="1"/>
    <col min="8718" max="8718" width="10" style="2757" customWidth="1"/>
    <col min="8719" max="8720" width="10.5" style="2757" bestFit="1" customWidth="1"/>
    <col min="8721" max="8721" width="10" style="2757" customWidth="1"/>
    <col min="8722" max="8722" width="10.125" style="2757" customWidth="1"/>
    <col min="8723" max="8723" width="10" style="2757" customWidth="1"/>
    <col min="8724" max="8724" width="26.125" style="2757" customWidth="1"/>
    <col min="8725" max="8960" width="8.875" style="2757"/>
    <col min="8961" max="8961" width="9.5" style="2757" customWidth="1"/>
    <col min="8962" max="8962" width="8.875" style="2757"/>
    <col min="8963" max="8965" width="12.875" style="2757" customWidth="1"/>
    <col min="8966" max="8966" width="47.5" style="2757" customWidth="1"/>
    <col min="8967" max="8967" width="13" style="2757" customWidth="1"/>
    <col min="8968" max="8969" width="8.875" style="2757"/>
    <col min="8970" max="8970" width="5.75" style="2757" customWidth="1"/>
    <col min="8971" max="8971" width="11.75" style="2757" customWidth="1"/>
    <col min="8972" max="8973" width="10.75" style="2757" customWidth="1"/>
    <col min="8974" max="8974" width="10" style="2757" customWidth="1"/>
    <col min="8975" max="8976" width="10.5" style="2757" bestFit="1" customWidth="1"/>
    <col min="8977" max="8977" width="10" style="2757" customWidth="1"/>
    <col min="8978" max="8978" width="10.125" style="2757" customWidth="1"/>
    <col min="8979" max="8979" width="10" style="2757" customWidth="1"/>
    <col min="8980" max="8980" width="26.125" style="2757" customWidth="1"/>
    <col min="8981" max="9216" width="8.875" style="2757"/>
    <col min="9217" max="9217" width="9.5" style="2757" customWidth="1"/>
    <col min="9218" max="9218" width="8.875" style="2757"/>
    <col min="9219" max="9221" width="12.875" style="2757" customWidth="1"/>
    <col min="9222" max="9222" width="47.5" style="2757" customWidth="1"/>
    <col min="9223" max="9223" width="13" style="2757" customWidth="1"/>
    <col min="9224" max="9225" width="8.875" style="2757"/>
    <col min="9226" max="9226" width="5.75" style="2757" customWidth="1"/>
    <col min="9227" max="9227" width="11.75" style="2757" customWidth="1"/>
    <col min="9228" max="9229" width="10.75" style="2757" customWidth="1"/>
    <col min="9230" max="9230" width="10" style="2757" customWidth="1"/>
    <col min="9231" max="9232" width="10.5" style="2757" bestFit="1" customWidth="1"/>
    <col min="9233" max="9233" width="10" style="2757" customWidth="1"/>
    <col min="9234" max="9234" width="10.125" style="2757" customWidth="1"/>
    <col min="9235" max="9235" width="10" style="2757" customWidth="1"/>
    <col min="9236" max="9236" width="26.125" style="2757" customWidth="1"/>
    <col min="9237" max="9472" width="8.875" style="2757"/>
    <col min="9473" max="9473" width="9.5" style="2757" customWidth="1"/>
    <col min="9474" max="9474" width="8.875" style="2757"/>
    <col min="9475" max="9477" width="12.875" style="2757" customWidth="1"/>
    <col min="9478" max="9478" width="47.5" style="2757" customWidth="1"/>
    <col min="9479" max="9479" width="13" style="2757" customWidth="1"/>
    <col min="9480" max="9481" width="8.875" style="2757"/>
    <col min="9482" max="9482" width="5.75" style="2757" customWidth="1"/>
    <col min="9483" max="9483" width="11.75" style="2757" customWidth="1"/>
    <col min="9484" max="9485" width="10.75" style="2757" customWidth="1"/>
    <col min="9486" max="9486" width="10" style="2757" customWidth="1"/>
    <col min="9487" max="9488" width="10.5" style="2757" bestFit="1" customWidth="1"/>
    <col min="9489" max="9489" width="10" style="2757" customWidth="1"/>
    <col min="9490" max="9490" width="10.125" style="2757" customWidth="1"/>
    <col min="9491" max="9491" width="10" style="2757" customWidth="1"/>
    <col min="9492" max="9492" width="26.125" style="2757" customWidth="1"/>
    <col min="9493" max="9728" width="8.875" style="2757"/>
    <col min="9729" max="9729" width="9.5" style="2757" customWidth="1"/>
    <col min="9730" max="9730" width="8.875" style="2757"/>
    <col min="9731" max="9733" width="12.875" style="2757" customWidth="1"/>
    <col min="9734" max="9734" width="47.5" style="2757" customWidth="1"/>
    <col min="9735" max="9735" width="13" style="2757" customWidth="1"/>
    <col min="9736" max="9737" width="8.875" style="2757"/>
    <col min="9738" max="9738" width="5.75" style="2757" customWidth="1"/>
    <col min="9739" max="9739" width="11.75" style="2757" customWidth="1"/>
    <col min="9740" max="9741" width="10.75" style="2757" customWidth="1"/>
    <col min="9742" max="9742" width="10" style="2757" customWidth="1"/>
    <col min="9743" max="9744" width="10.5" style="2757" bestFit="1" customWidth="1"/>
    <col min="9745" max="9745" width="10" style="2757" customWidth="1"/>
    <col min="9746" max="9746" width="10.125" style="2757" customWidth="1"/>
    <col min="9747" max="9747" width="10" style="2757" customWidth="1"/>
    <col min="9748" max="9748" width="26.125" style="2757" customWidth="1"/>
    <col min="9749" max="9984" width="8.875" style="2757"/>
    <col min="9985" max="9985" width="9.5" style="2757" customWidth="1"/>
    <col min="9986" max="9986" width="8.875" style="2757"/>
    <col min="9987" max="9989" width="12.875" style="2757" customWidth="1"/>
    <col min="9990" max="9990" width="47.5" style="2757" customWidth="1"/>
    <col min="9991" max="9991" width="13" style="2757" customWidth="1"/>
    <col min="9992" max="9993" width="8.875" style="2757"/>
    <col min="9994" max="9994" width="5.75" style="2757" customWidth="1"/>
    <col min="9995" max="9995" width="11.75" style="2757" customWidth="1"/>
    <col min="9996" max="9997" width="10.75" style="2757" customWidth="1"/>
    <col min="9998" max="9998" width="10" style="2757" customWidth="1"/>
    <col min="9999" max="10000" width="10.5" style="2757" bestFit="1" customWidth="1"/>
    <col min="10001" max="10001" width="10" style="2757" customWidth="1"/>
    <col min="10002" max="10002" width="10.125" style="2757" customWidth="1"/>
    <col min="10003" max="10003" width="10" style="2757" customWidth="1"/>
    <col min="10004" max="10004" width="26.125" style="2757" customWidth="1"/>
    <col min="10005" max="10240" width="8.875" style="2757"/>
    <col min="10241" max="10241" width="9.5" style="2757" customWidth="1"/>
    <col min="10242" max="10242" width="8.875" style="2757"/>
    <col min="10243" max="10245" width="12.875" style="2757" customWidth="1"/>
    <col min="10246" max="10246" width="47.5" style="2757" customWidth="1"/>
    <col min="10247" max="10247" width="13" style="2757" customWidth="1"/>
    <col min="10248" max="10249" width="8.875" style="2757"/>
    <col min="10250" max="10250" width="5.75" style="2757" customWidth="1"/>
    <col min="10251" max="10251" width="11.75" style="2757" customWidth="1"/>
    <col min="10252" max="10253" width="10.75" style="2757" customWidth="1"/>
    <col min="10254" max="10254" width="10" style="2757" customWidth="1"/>
    <col min="10255" max="10256" width="10.5" style="2757" bestFit="1" customWidth="1"/>
    <col min="10257" max="10257" width="10" style="2757" customWidth="1"/>
    <col min="10258" max="10258" width="10.125" style="2757" customWidth="1"/>
    <col min="10259" max="10259" width="10" style="2757" customWidth="1"/>
    <col min="10260" max="10260" width="26.125" style="2757" customWidth="1"/>
    <col min="10261" max="10496" width="8.875" style="2757"/>
    <col min="10497" max="10497" width="9.5" style="2757" customWidth="1"/>
    <col min="10498" max="10498" width="8.875" style="2757"/>
    <col min="10499" max="10501" width="12.875" style="2757" customWidth="1"/>
    <col min="10502" max="10502" width="47.5" style="2757" customWidth="1"/>
    <col min="10503" max="10503" width="13" style="2757" customWidth="1"/>
    <col min="10504" max="10505" width="8.875" style="2757"/>
    <col min="10506" max="10506" width="5.75" style="2757" customWidth="1"/>
    <col min="10507" max="10507" width="11.75" style="2757" customWidth="1"/>
    <col min="10508" max="10509" width="10.75" style="2757" customWidth="1"/>
    <col min="10510" max="10510" width="10" style="2757" customWidth="1"/>
    <col min="10511" max="10512" width="10.5" style="2757" bestFit="1" customWidth="1"/>
    <col min="10513" max="10513" width="10" style="2757" customWidth="1"/>
    <col min="10514" max="10514" width="10.125" style="2757" customWidth="1"/>
    <col min="10515" max="10515" width="10" style="2757" customWidth="1"/>
    <col min="10516" max="10516" width="26.125" style="2757" customWidth="1"/>
    <col min="10517" max="10752" width="8.875" style="2757"/>
    <col min="10753" max="10753" width="9.5" style="2757" customWidth="1"/>
    <col min="10754" max="10754" width="8.875" style="2757"/>
    <col min="10755" max="10757" width="12.875" style="2757" customWidth="1"/>
    <col min="10758" max="10758" width="47.5" style="2757" customWidth="1"/>
    <col min="10759" max="10759" width="13" style="2757" customWidth="1"/>
    <col min="10760" max="10761" width="8.875" style="2757"/>
    <col min="10762" max="10762" width="5.75" style="2757" customWidth="1"/>
    <col min="10763" max="10763" width="11.75" style="2757" customWidth="1"/>
    <col min="10764" max="10765" width="10.75" style="2757" customWidth="1"/>
    <col min="10766" max="10766" width="10" style="2757" customWidth="1"/>
    <col min="10767" max="10768" width="10.5" style="2757" bestFit="1" customWidth="1"/>
    <col min="10769" max="10769" width="10" style="2757" customWidth="1"/>
    <col min="10770" max="10770" width="10.125" style="2757" customWidth="1"/>
    <col min="10771" max="10771" width="10" style="2757" customWidth="1"/>
    <col min="10772" max="10772" width="26.125" style="2757" customWidth="1"/>
    <col min="10773" max="11008" width="8.875" style="2757"/>
    <col min="11009" max="11009" width="9.5" style="2757" customWidth="1"/>
    <col min="11010" max="11010" width="8.875" style="2757"/>
    <col min="11011" max="11013" width="12.875" style="2757" customWidth="1"/>
    <col min="11014" max="11014" width="47.5" style="2757" customWidth="1"/>
    <col min="11015" max="11015" width="13" style="2757" customWidth="1"/>
    <col min="11016" max="11017" width="8.875" style="2757"/>
    <col min="11018" max="11018" width="5.75" style="2757" customWidth="1"/>
    <col min="11019" max="11019" width="11.75" style="2757" customWidth="1"/>
    <col min="11020" max="11021" width="10.75" style="2757" customWidth="1"/>
    <col min="11022" max="11022" width="10" style="2757" customWidth="1"/>
    <col min="11023" max="11024" width="10.5" style="2757" bestFit="1" customWidth="1"/>
    <col min="11025" max="11025" width="10" style="2757" customWidth="1"/>
    <col min="11026" max="11026" width="10.125" style="2757" customWidth="1"/>
    <col min="11027" max="11027" width="10" style="2757" customWidth="1"/>
    <col min="11028" max="11028" width="26.125" style="2757" customWidth="1"/>
    <col min="11029" max="11264" width="8.875" style="2757"/>
    <col min="11265" max="11265" width="9.5" style="2757" customWidth="1"/>
    <col min="11266" max="11266" width="8.875" style="2757"/>
    <col min="11267" max="11269" width="12.875" style="2757" customWidth="1"/>
    <col min="11270" max="11270" width="47.5" style="2757" customWidth="1"/>
    <col min="11271" max="11271" width="13" style="2757" customWidth="1"/>
    <col min="11272" max="11273" width="8.875" style="2757"/>
    <col min="11274" max="11274" width="5.75" style="2757" customWidth="1"/>
    <col min="11275" max="11275" width="11.75" style="2757" customWidth="1"/>
    <col min="11276" max="11277" width="10.75" style="2757" customWidth="1"/>
    <col min="11278" max="11278" width="10" style="2757" customWidth="1"/>
    <col min="11279" max="11280" width="10.5" style="2757" bestFit="1" customWidth="1"/>
    <col min="11281" max="11281" width="10" style="2757" customWidth="1"/>
    <col min="11282" max="11282" width="10.125" style="2757" customWidth="1"/>
    <col min="11283" max="11283" width="10" style="2757" customWidth="1"/>
    <col min="11284" max="11284" width="26.125" style="2757" customWidth="1"/>
    <col min="11285" max="11520" width="8.875" style="2757"/>
    <col min="11521" max="11521" width="9.5" style="2757" customWidth="1"/>
    <col min="11522" max="11522" width="8.875" style="2757"/>
    <col min="11523" max="11525" width="12.875" style="2757" customWidth="1"/>
    <col min="11526" max="11526" width="47.5" style="2757" customWidth="1"/>
    <col min="11527" max="11527" width="13" style="2757" customWidth="1"/>
    <col min="11528" max="11529" width="8.875" style="2757"/>
    <col min="11530" max="11530" width="5.75" style="2757" customWidth="1"/>
    <col min="11531" max="11531" width="11.75" style="2757" customWidth="1"/>
    <col min="11532" max="11533" width="10.75" style="2757" customWidth="1"/>
    <col min="11534" max="11534" width="10" style="2757" customWidth="1"/>
    <col min="11535" max="11536" width="10.5" style="2757" bestFit="1" customWidth="1"/>
    <col min="11537" max="11537" width="10" style="2757" customWidth="1"/>
    <col min="11538" max="11538" width="10.125" style="2757" customWidth="1"/>
    <col min="11539" max="11539" width="10" style="2757" customWidth="1"/>
    <col min="11540" max="11540" width="26.125" style="2757" customWidth="1"/>
    <col min="11541" max="11776" width="8.875" style="2757"/>
    <col min="11777" max="11777" width="9.5" style="2757" customWidth="1"/>
    <col min="11778" max="11778" width="8.875" style="2757"/>
    <col min="11779" max="11781" width="12.875" style="2757" customWidth="1"/>
    <col min="11782" max="11782" width="47.5" style="2757" customWidth="1"/>
    <col min="11783" max="11783" width="13" style="2757" customWidth="1"/>
    <col min="11784" max="11785" width="8.875" style="2757"/>
    <col min="11786" max="11786" width="5.75" style="2757" customWidth="1"/>
    <col min="11787" max="11787" width="11.75" style="2757" customWidth="1"/>
    <col min="11788" max="11789" width="10.75" style="2757" customWidth="1"/>
    <col min="11790" max="11790" width="10" style="2757" customWidth="1"/>
    <col min="11791" max="11792" width="10.5" style="2757" bestFit="1" customWidth="1"/>
    <col min="11793" max="11793" width="10" style="2757" customWidth="1"/>
    <col min="11794" max="11794" width="10.125" style="2757" customWidth="1"/>
    <col min="11795" max="11795" width="10" style="2757" customWidth="1"/>
    <col min="11796" max="11796" width="26.125" style="2757" customWidth="1"/>
    <col min="11797" max="12032" width="8.875" style="2757"/>
    <col min="12033" max="12033" width="9.5" style="2757" customWidth="1"/>
    <col min="12034" max="12034" width="8.875" style="2757"/>
    <col min="12035" max="12037" width="12.875" style="2757" customWidth="1"/>
    <col min="12038" max="12038" width="47.5" style="2757" customWidth="1"/>
    <col min="12039" max="12039" width="13" style="2757" customWidth="1"/>
    <col min="12040" max="12041" width="8.875" style="2757"/>
    <col min="12042" max="12042" width="5.75" style="2757" customWidth="1"/>
    <col min="12043" max="12043" width="11.75" style="2757" customWidth="1"/>
    <col min="12044" max="12045" width="10.75" style="2757" customWidth="1"/>
    <col min="12046" max="12046" width="10" style="2757" customWidth="1"/>
    <col min="12047" max="12048" width="10.5" style="2757" bestFit="1" customWidth="1"/>
    <col min="12049" max="12049" width="10" style="2757" customWidth="1"/>
    <col min="12050" max="12050" width="10.125" style="2757" customWidth="1"/>
    <col min="12051" max="12051" width="10" style="2757" customWidth="1"/>
    <col min="12052" max="12052" width="26.125" style="2757" customWidth="1"/>
    <col min="12053" max="12288" width="8.875" style="2757"/>
    <col min="12289" max="12289" width="9.5" style="2757" customWidth="1"/>
    <col min="12290" max="12290" width="8.875" style="2757"/>
    <col min="12291" max="12293" width="12.875" style="2757" customWidth="1"/>
    <col min="12294" max="12294" width="47.5" style="2757" customWidth="1"/>
    <col min="12295" max="12295" width="13" style="2757" customWidth="1"/>
    <col min="12296" max="12297" width="8.875" style="2757"/>
    <col min="12298" max="12298" width="5.75" style="2757" customWidth="1"/>
    <col min="12299" max="12299" width="11.75" style="2757" customWidth="1"/>
    <col min="12300" max="12301" width="10.75" style="2757" customWidth="1"/>
    <col min="12302" max="12302" width="10" style="2757" customWidth="1"/>
    <col min="12303" max="12304" width="10.5" style="2757" bestFit="1" customWidth="1"/>
    <col min="12305" max="12305" width="10" style="2757" customWidth="1"/>
    <col min="12306" max="12306" width="10.125" style="2757" customWidth="1"/>
    <col min="12307" max="12307" width="10" style="2757" customWidth="1"/>
    <col min="12308" max="12308" width="26.125" style="2757" customWidth="1"/>
    <col min="12309" max="12544" width="8.875" style="2757"/>
    <col min="12545" max="12545" width="9.5" style="2757" customWidth="1"/>
    <col min="12546" max="12546" width="8.875" style="2757"/>
    <col min="12547" max="12549" width="12.875" style="2757" customWidth="1"/>
    <col min="12550" max="12550" width="47.5" style="2757" customWidth="1"/>
    <col min="12551" max="12551" width="13" style="2757" customWidth="1"/>
    <col min="12552" max="12553" width="8.875" style="2757"/>
    <col min="12554" max="12554" width="5.75" style="2757" customWidth="1"/>
    <col min="12555" max="12555" width="11.75" style="2757" customWidth="1"/>
    <col min="12556" max="12557" width="10.75" style="2757" customWidth="1"/>
    <col min="12558" max="12558" width="10" style="2757" customWidth="1"/>
    <col min="12559" max="12560" width="10.5" style="2757" bestFit="1" customWidth="1"/>
    <col min="12561" max="12561" width="10" style="2757" customWidth="1"/>
    <col min="12562" max="12562" width="10.125" style="2757" customWidth="1"/>
    <col min="12563" max="12563" width="10" style="2757" customWidth="1"/>
    <col min="12564" max="12564" width="26.125" style="2757" customWidth="1"/>
    <col min="12565" max="12800" width="8.875" style="2757"/>
    <col min="12801" max="12801" width="9.5" style="2757" customWidth="1"/>
    <col min="12802" max="12802" width="8.875" style="2757"/>
    <col min="12803" max="12805" width="12.875" style="2757" customWidth="1"/>
    <col min="12806" max="12806" width="47.5" style="2757" customWidth="1"/>
    <col min="12807" max="12807" width="13" style="2757" customWidth="1"/>
    <col min="12808" max="12809" width="8.875" style="2757"/>
    <col min="12810" max="12810" width="5.75" style="2757" customWidth="1"/>
    <col min="12811" max="12811" width="11.75" style="2757" customWidth="1"/>
    <col min="12812" max="12813" width="10.75" style="2757" customWidth="1"/>
    <col min="12814" max="12814" width="10" style="2757" customWidth="1"/>
    <col min="12815" max="12816" width="10.5" style="2757" bestFit="1" customWidth="1"/>
    <col min="12817" max="12817" width="10" style="2757" customWidth="1"/>
    <col min="12818" max="12818" width="10.125" style="2757" customWidth="1"/>
    <col min="12819" max="12819" width="10" style="2757" customWidth="1"/>
    <col min="12820" max="12820" width="26.125" style="2757" customWidth="1"/>
    <col min="12821" max="13056" width="8.875" style="2757"/>
    <col min="13057" max="13057" width="9.5" style="2757" customWidth="1"/>
    <col min="13058" max="13058" width="8.875" style="2757"/>
    <col min="13059" max="13061" width="12.875" style="2757" customWidth="1"/>
    <col min="13062" max="13062" width="47.5" style="2757" customWidth="1"/>
    <col min="13063" max="13063" width="13" style="2757" customWidth="1"/>
    <col min="13064" max="13065" width="8.875" style="2757"/>
    <col min="13066" max="13066" width="5.75" style="2757" customWidth="1"/>
    <col min="13067" max="13067" width="11.75" style="2757" customWidth="1"/>
    <col min="13068" max="13069" width="10.75" style="2757" customWidth="1"/>
    <col min="13070" max="13070" width="10" style="2757" customWidth="1"/>
    <col min="13071" max="13072" width="10.5" style="2757" bestFit="1" customWidth="1"/>
    <col min="13073" max="13073" width="10" style="2757" customWidth="1"/>
    <col min="13074" max="13074" width="10.125" style="2757" customWidth="1"/>
    <col min="13075" max="13075" width="10" style="2757" customWidth="1"/>
    <col min="13076" max="13076" width="26.125" style="2757" customWidth="1"/>
    <col min="13077" max="13312" width="8.875" style="2757"/>
    <col min="13313" max="13313" width="9.5" style="2757" customWidth="1"/>
    <col min="13314" max="13314" width="8.875" style="2757"/>
    <col min="13315" max="13317" width="12.875" style="2757" customWidth="1"/>
    <col min="13318" max="13318" width="47.5" style="2757" customWidth="1"/>
    <col min="13319" max="13319" width="13" style="2757" customWidth="1"/>
    <col min="13320" max="13321" width="8.875" style="2757"/>
    <col min="13322" max="13322" width="5.75" style="2757" customWidth="1"/>
    <col min="13323" max="13323" width="11.75" style="2757" customWidth="1"/>
    <col min="13324" max="13325" width="10.75" style="2757" customWidth="1"/>
    <col min="13326" max="13326" width="10" style="2757" customWidth="1"/>
    <col min="13327" max="13328" width="10.5" style="2757" bestFit="1" customWidth="1"/>
    <col min="13329" max="13329" width="10" style="2757" customWidth="1"/>
    <col min="13330" max="13330" width="10.125" style="2757" customWidth="1"/>
    <col min="13331" max="13331" width="10" style="2757" customWidth="1"/>
    <col min="13332" max="13332" width="26.125" style="2757" customWidth="1"/>
    <col min="13333" max="13568" width="8.875" style="2757"/>
    <col min="13569" max="13569" width="9.5" style="2757" customWidth="1"/>
    <col min="13570" max="13570" width="8.875" style="2757"/>
    <col min="13571" max="13573" width="12.875" style="2757" customWidth="1"/>
    <col min="13574" max="13574" width="47.5" style="2757" customWidth="1"/>
    <col min="13575" max="13575" width="13" style="2757" customWidth="1"/>
    <col min="13576" max="13577" width="8.875" style="2757"/>
    <col min="13578" max="13578" width="5.75" style="2757" customWidth="1"/>
    <col min="13579" max="13579" width="11.75" style="2757" customWidth="1"/>
    <col min="13580" max="13581" width="10.75" style="2757" customWidth="1"/>
    <col min="13582" max="13582" width="10" style="2757" customWidth="1"/>
    <col min="13583" max="13584" width="10.5" style="2757" bestFit="1" customWidth="1"/>
    <col min="13585" max="13585" width="10" style="2757" customWidth="1"/>
    <col min="13586" max="13586" width="10.125" style="2757" customWidth="1"/>
    <col min="13587" max="13587" width="10" style="2757" customWidth="1"/>
    <col min="13588" max="13588" width="26.125" style="2757" customWidth="1"/>
    <col min="13589" max="13824" width="8.875" style="2757"/>
    <col min="13825" max="13825" width="9.5" style="2757" customWidth="1"/>
    <col min="13826" max="13826" width="8.875" style="2757"/>
    <col min="13827" max="13829" width="12.875" style="2757" customWidth="1"/>
    <col min="13830" max="13830" width="47.5" style="2757" customWidth="1"/>
    <col min="13831" max="13831" width="13" style="2757" customWidth="1"/>
    <col min="13832" max="13833" width="8.875" style="2757"/>
    <col min="13834" max="13834" width="5.75" style="2757" customWidth="1"/>
    <col min="13835" max="13835" width="11.75" style="2757" customWidth="1"/>
    <col min="13836" max="13837" width="10.75" style="2757" customWidth="1"/>
    <col min="13838" max="13838" width="10" style="2757" customWidth="1"/>
    <col min="13839" max="13840" width="10.5" style="2757" bestFit="1" customWidth="1"/>
    <col min="13841" max="13841" width="10" style="2757" customWidth="1"/>
    <col min="13842" max="13842" width="10.125" style="2757" customWidth="1"/>
    <col min="13843" max="13843" width="10" style="2757" customWidth="1"/>
    <col min="13844" max="13844" width="26.125" style="2757" customWidth="1"/>
    <col min="13845" max="14080" width="8.875" style="2757"/>
    <col min="14081" max="14081" width="9.5" style="2757" customWidth="1"/>
    <col min="14082" max="14082" width="8.875" style="2757"/>
    <col min="14083" max="14085" width="12.875" style="2757" customWidth="1"/>
    <col min="14086" max="14086" width="47.5" style="2757" customWidth="1"/>
    <col min="14087" max="14087" width="13" style="2757" customWidth="1"/>
    <col min="14088" max="14089" width="8.875" style="2757"/>
    <col min="14090" max="14090" width="5.75" style="2757" customWidth="1"/>
    <col min="14091" max="14091" width="11.75" style="2757" customWidth="1"/>
    <col min="14092" max="14093" width="10.75" style="2757" customWidth="1"/>
    <col min="14094" max="14094" width="10" style="2757" customWidth="1"/>
    <col min="14095" max="14096" width="10.5" style="2757" bestFit="1" customWidth="1"/>
    <col min="14097" max="14097" width="10" style="2757" customWidth="1"/>
    <col min="14098" max="14098" width="10.125" style="2757" customWidth="1"/>
    <col min="14099" max="14099" width="10" style="2757" customWidth="1"/>
    <col min="14100" max="14100" width="26.125" style="2757" customWidth="1"/>
    <col min="14101" max="14336" width="8.875" style="2757"/>
    <col min="14337" max="14337" width="9.5" style="2757" customWidth="1"/>
    <col min="14338" max="14338" width="8.875" style="2757"/>
    <col min="14339" max="14341" width="12.875" style="2757" customWidth="1"/>
    <col min="14342" max="14342" width="47.5" style="2757" customWidth="1"/>
    <col min="14343" max="14343" width="13" style="2757" customWidth="1"/>
    <col min="14344" max="14345" width="8.875" style="2757"/>
    <col min="14346" max="14346" width="5.75" style="2757" customWidth="1"/>
    <col min="14347" max="14347" width="11.75" style="2757" customWidth="1"/>
    <col min="14348" max="14349" width="10.75" style="2757" customWidth="1"/>
    <col min="14350" max="14350" width="10" style="2757" customWidth="1"/>
    <col min="14351" max="14352" width="10.5" style="2757" bestFit="1" customWidth="1"/>
    <col min="14353" max="14353" width="10" style="2757" customWidth="1"/>
    <col min="14354" max="14354" width="10.125" style="2757" customWidth="1"/>
    <col min="14355" max="14355" width="10" style="2757" customWidth="1"/>
    <col min="14356" max="14356" width="26.125" style="2757" customWidth="1"/>
    <col min="14357" max="14592" width="8.875" style="2757"/>
    <col min="14593" max="14593" width="9.5" style="2757" customWidth="1"/>
    <col min="14594" max="14594" width="8.875" style="2757"/>
    <col min="14595" max="14597" width="12.875" style="2757" customWidth="1"/>
    <col min="14598" max="14598" width="47.5" style="2757" customWidth="1"/>
    <col min="14599" max="14599" width="13" style="2757" customWidth="1"/>
    <col min="14600" max="14601" width="8.875" style="2757"/>
    <col min="14602" max="14602" width="5.75" style="2757" customWidth="1"/>
    <col min="14603" max="14603" width="11.75" style="2757" customWidth="1"/>
    <col min="14604" max="14605" width="10.75" style="2757" customWidth="1"/>
    <col min="14606" max="14606" width="10" style="2757" customWidth="1"/>
    <col min="14607" max="14608" width="10.5" style="2757" bestFit="1" customWidth="1"/>
    <col min="14609" max="14609" width="10" style="2757" customWidth="1"/>
    <col min="14610" max="14610" width="10.125" style="2757" customWidth="1"/>
    <col min="14611" max="14611" width="10" style="2757" customWidth="1"/>
    <col min="14612" max="14612" width="26.125" style="2757" customWidth="1"/>
    <col min="14613" max="14848" width="8.875" style="2757"/>
    <col min="14849" max="14849" width="9.5" style="2757" customWidth="1"/>
    <col min="14850" max="14850" width="8.875" style="2757"/>
    <col min="14851" max="14853" width="12.875" style="2757" customWidth="1"/>
    <col min="14854" max="14854" width="47.5" style="2757" customWidth="1"/>
    <col min="14855" max="14855" width="13" style="2757" customWidth="1"/>
    <col min="14856" max="14857" width="8.875" style="2757"/>
    <col min="14858" max="14858" width="5.75" style="2757" customWidth="1"/>
    <col min="14859" max="14859" width="11.75" style="2757" customWidth="1"/>
    <col min="14860" max="14861" width="10.75" style="2757" customWidth="1"/>
    <col min="14862" max="14862" width="10" style="2757" customWidth="1"/>
    <col min="14863" max="14864" width="10.5" style="2757" bestFit="1" customWidth="1"/>
    <col min="14865" max="14865" width="10" style="2757" customWidth="1"/>
    <col min="14866" max="14866" width="10.125" style="2757" customWidth="1"/>
    <col min="14867" max="14867" width="10" style="2757" customWidth="1"/>
    <col min="14868" max="14868" width="26.125" style="2757" customWidth="1"/>
    <col min="14869" max="15104" width="8.875" style="2757"/>
    <col min="15105" max="15105" width="9.5" style="2757" customWidth="1"/>
    <col min="15106" max="15106" width="8.875" style="2757"/>
    <col min="15107" max="15109" width="12.875" style="2757" customWidth="1"/>
    <col min="15110" max="15110" width="47.5" style="2757" customWidth="1"/>
    <col min="15111" max="15111" width="13" style="2757" customWidth="1"/>
    <col min="15112" max="15113" width="8.875" style="2757"/>
    <col min="15114" max="15114" width="5.75" style="2757" customWidth="1"/>
    <col min="15115" max="15115" width="11.75" style="2757" customWidth="1"/>
    <col min="15116" max="15117" width="10.75" style="2757" customWidth="1"/>
    <col min="15118" max="15118" width="10" style="2757" customWidth="1"/>
    <col min="15119" max="15120" width="10.5" style="2757" bestFit="1" customWidth="1"/>
    <col min="15121" max="15121" width="10" style="2757" customWidth="1"/>
    <col min="15122" max="15122" width="10.125" style="2757" customWidth="1"/>
    <col min="15123" max="15123" width="10" style="2757" customWidth="1"/>
    <col min="15124" max="15124" width="26.125" style="2757" customWidth="1"/>
    <col min="15125" max="15360" width="8.875" style="2757"/>
    <col min="15361" max="15361" width="9.5" style="2757" customWidth="1"/>
    <col min="15362" max="15362" width="8.875" style="2757"/>
    <col min="15363" max="15365" width="12.875" style="2757" customWidth="1"/>
    <col min="15366" max="15366" width="47.5" style="2757" customWidth="1"/>
    <col min="15367" max="15367" width="13" style="2757" customWidth="1"/>
    <col min="15368" max="15369" width="8.875" style="2757"/>
    <col min="15370" max="15370" width="5.75" style="2757" customWidth="1"/>
    <col min="15371" max="15371" width="11.75" style="2757" customWidth="1"/>
    <col min="15372" max="15373" width="10.75" style="2757" customWidth="1"/>
    <col min="15374" max="15374" width="10" style="2757" customWidth="1"/>
    <col min="15375" max="15376" width="10.5" style="2757" bestFit="1" customWidth="1"/>
    <col min="15377" max="15377" width="10" style="2757" customWidth="1"/>
    <col min="15378" max="15378" width="10.125" style="2757" customWidth="1"/>
    <col min="15379" max="15379" width="10" style="2757" customWidth="1"/>
    <col min="15380" max="15380" width="26.125" style="2757" customWidth="1"/>
    <col min="15381" max="15616" width="8.875" style="2757"/>
    <col min="15617" max="15617" width="9.5" style="2757" customWidth="1"/>
    <col min="15618" max="15618" width="8.875" style="2757"/>
    <col min="15619" max="15621" width="12.875" style="2757" customWidth="1"/>
    <col min="15622" max="15622" width="47.5" style="2757" customWidth="1"/>
    <col min="15623" max="15623" width="13" style="2757" customWidth="1"/>
    <col min="15624" max="15625" width="8.875" style="2757"/>
    <col min="15626" max="15626" width="5.75" style="2757" customWidth="1"/>
    <col min="15627" max="15627" width="11.75" style="2757" customWidth="1"/>
    <col min="15628" max="15629" width="10.75" style="2757" customWidth="1"/>
    <col min="15630" max="15630" width="10" style="2757" customWidth="1"/>
    <col min="15631" max="15632" width="10.5" style="2757" bestFit="1" customWidth="1"/>
    <col min="15633" max="15633" width="10" style="2757" customWidth="1"/>
    <col min="15634" max="15634" width="10.125" style="2757" customWidth="1"/>
    <col min="15635" max="15635" width="10" style="2757" customWidth="1"/>
    <col min="15636" max="15636" width="26.125" style="2757" customWidth="1"/>
    <col min="15637" max="15872" width="8.875" style="2757"/>
    <col min="15873" max="15873" width="9.5" style="2757" customWidth="1"/>
    <col min="15874" max="15874" width="8.875" style="2757"/>
    <col min="15875" max="15877" width="12.875" style="2757" customWidth="1"/>
    <col min="15878" max="15878" width="47.5" style="2757" customWidth="1"/>
    <col min="15879" max="15879" width="13" style="2757" customWidth="1"/>
    <col min="15880" max="15881" width="8.875" style="2757"/>
    <col min="15882" max="15882" width="5.75" style="2757" customWidth="1"/>
    <col min="15883" max="15883" width="11.75" style="2757" customWidth="1"/>
    <col min="15884" max="15885" width="10.75" style="2757" customWidth="1"/>
    <col min="15886" max="15886" width="10" style="2757" customWidth="1"/>
    <col min="15887" max="15888" width="10.5" style="2757" bestFit="1" customWidth="1"/>
    <col min="15889" max="15889" width="10" style="2757" customWidth="1"/>
    <col min="15890" max="15890" width="10.125" style="2757" customWidth="1"/>
    <col min="15891" max="15891" width="10" style="2757" customWidth="1"/>
    <col min="15892" max="15892" width="26.125" style="2757" customWidth="1"/>
    <col min="15893" max="16128" width="8.875" style="2757"/>
    <col min="16129" max="16129" width="9.5" style="2757" customWidth="1"/>
    <col min="16130" max="16130" width="8.875" style="2757"/>
    <col min="16131" max="16133" width="12.875" style="2757" customWidth="1"/>
    <col min="16134" max="16134" width="47.5" style="2757" customWidth="1"/>
    <col min="16135" max="16135" width="13" style="2757" customWidth="1"/>
    <col min="16136" max="16137" width="8.875" style="2757"/>
    <col min="16138" max="16138" width="5.75" style="2757" customWidth="1"/>
    <col min="16139" max="16139" width="11.75" style="2757" customWidth="1"/>
    <col min="16140" max="16141" width="10.75" style="2757" customWidth="1"/>
    <col min="16142" max="16142" width="10" style="2757" customWidth="1"/>
    <col min="16143" max="16144" width="10.5" style="2757" bestFit="1" customWidth="1"/>
    <col min="16145" max="16145" width="10" style="2757" customWidth="1"/>
    <col min="16146" max="16146" width="10.125" style="2757" customWidth="1"/>
    <col min="16147" max="16147" width="10" style="2757" customWidth="1"/>
    <col min="16148" max="16148" width="26.125" style="2757" customWidth="1"/>
    <col min="16149" max="16384" width="8.875" style="2757"/>
  </cols>
  <sheetData>
    <row r="1" spans="1:22" ht="21" customHeight="1">
      <c r="A1" s="2746" t="s">
        <v>2933</v>
      </c>
      <c r="B1" s="2747"/>
      <c r="C1" s="2759"/>
      <c r="D1" s="2759"/>
      <c r="E1" s="2748"/>
      <c r="F1" s="2749"/>
      <c r="G1" s="2750"/>
      <c r="J1" s="2753" t="s">
        <v>2812</v>
      </c>
      <c r="K1" s="2754"/>
      <c r="L1" s="2754"/>
      <c r="M1" s="2754"/>
      <c r="N1" s="2754"/>
      <c r="O1" s="2754"/>
      <c r="P1" s="2754"/>
      <c r="Q1" s="2754"/>
      <c r="R1" s="2755"/>
      <c r="S1" s="2756"/>
      <c r="T1" s="2756"/>
      <c r="U1" s="2756"/>
    </row>
    <row r="2" spans="1:22" s="2768" customFormat="1" ht="13.15" customHeight="1">
      <c r="A2" s="1422" t="s">
        <v>2813</v>
      </c>
      <c r="B2" s="2758" t="e">
        <f>C40</f>
        <v>#DIV/0!</v>
      </c>
      <c r="C2" s="2759" t="s">
        <v>2814</v>
      </c>
      <c r="D2" s="2759"/>
      <c r="E2" s="2760"/>
      <c r="F2" s="2761"/>
      <c r="G2" s="2762"/>
      <c r="H2" s="2763"/>
      <c r="I2" s="2764"/>
      <c r="J2" s="3392" t="s">
        <v>2815</v>
      </c>
      <c r="K2" s="3393"/>
      <c r="L2" s="2765" t="s">
        <v>2816</v>
      </c>
      <c r="M2" s="2765" t="s">
        <v>2817</v>
      </c>
      <c r="N2" s="2765" t="s">
        <v>2818</v>
      </c>
      <c r="O2" s="2765" t="s">
        <v>2819</v>
      </c>
      <c r="P2" s="2765" t="s">
        <v>2820</v>
      </c>
      <c r="Q2" s="2766" t="s">
        <v>2821</v>
      </c>
      <c r="R2" s="2767" t="s">
        <v>2822</v>
      </c>
      <c r="S2" s="2756"/>
      <c r="T2" s="2756"/>
      <c r="U2" s="2756"/>
      <c r="V2" s="2764"/>
    </row>
    <row r="3" spans="1:22" s="2768" customFormat="1" ht="13.15" customHeight="1">
      <c r="A3" s="2769" t="s">
        <v>2823</v>
      </c>
      <c r="B3" s="2770" t="e">
        <f>ROUND(B2*10000/B4,0)</f>
        <v>#DIV/0!</v>
      </c>
      <c r="C3" s="2759" t="s">
        <v>2824</v>
      </c>
      <c r="D3" s="2759"/>
      <c r="E3" s="2760"/>
      <c r="F3" s="2761"/>
      <c r="G3" s="2762"/>
      <c r="H3" s="2763"/>
      <c r="I3" s="2764"/>
      <c r="J3" s="3394" t="s">
        <v>2825</v>
      </c>
      <c r="K3" s="3395"/>
      <c r="L3" s="2771"/>
      <c r="M3" s="2771"/>
      <c r="N3" s="2771"/>
      <c r="O3" s="2771"/>
      <c r="P3" s="2771"/>
      <c r="Q3" s="2772"/>
      <c r="R3" s="2773">
        <f>SUM(L3:Q3)</f>
        <v>0</v>
      </c>
      <c r="S3" s="2756"/>
      <c r="T3" s="2756"/>
      <c r="U3" s="2756"/>
      <c r="V3" s="2764"/>
    </row>
    <row r="4" spans="1:22" s="2768" customFormat="1" ht="13.15" customHeight="1">
      <c r="A4" s="2774" t="s">
        <v>2826</v>
      </c>
      <c r="B4" s="2775"/>
      <c r="C4" s="2759"/>
      <c r="D4" s="2759"/>
      <c r="E4" s="2760"/>
      <c r="F4" s="2761"/>
      <c r="G4" s="2762"/>
      <c r="H4" s="2763"/>
      <c r="I4" s="2764"/>
      <c r="J4" s="3394" t="s">
        <v>2827</v>
      </c>
      <c r="K4" s="3395"/>
      <c r="L4" s="2776"/>
      <c r="M4" s="2776"/>
      <c r="N4" s="2776"/>
      <c r="O4" s="2776"/>
      <c r="P4" s="2776"/>
      <c r="Q4" s="2777"/>
      <c r="R4" s="2778">
        <f>SUM(L4:Q4)</f>
        <v>0</v>
      </c>
      <c r="S4" s="2756"/>
      <c r="T4" s="2756"/>
      <c r="U4" s="2756"/>
      <c r="V4" s="2764"/>
    </row>
    <row r="5" spans="1:22" s="2768" customFormat="1" ht="13.15" customHeight="1" thickBot="1">
      <c r="A5" s="2779" t="s">
        <v>2828</v>
      </c>
      <c r="B5" s="2780"/>
      <c r="C5" s="2759"/>
      <c r="D5" s="2781"/>
      <c r="E5" s="2761"/>
      <c r="F5" s="2761"/>
      <c r="G5" s="2762"/>
      <c r="H5" s="2763"/>
      <c r="I5" s="2764"/>
      <c r="J5" s="2782" t="s">
        <v>2829</v>
      </c>
      <c r="K5" s="2783"/>
      <c r="L5" s="2783"/>
      <c r="M5" s="2784"/>
      <c r="N5" s="2784"/>
      <c r="O5" s="2784"/>
      <c r="P5" s="2784"/>
      <c r="Q5" s="2784"/>
      <c r="R5" s="2767">
        <f>SUM(R14,R19,R24,R25,R27,R28)</f>
        <v>0</v>
      </c>
      <c r="S5" s="2756"/>
      <c r="T5" s="2756" t="s">
        <v>2830</v>
      </c>
      <c r="U5" s="2756" t="e">
        <f>ROUND(R5*10000/365/R3,1)</f>
        <v>#DIV/0!</v>
      </c>
      <c r="V5" s="2764"/>
    </row>
    <row r="6" spans="1:22" s="2768" customFormat="1" ht="13.15" customHeight="1" thickBot="1">
      <c r="A6" s="3396" t="s">
        <v>2831</v>
      </c>
      <c r="B6" s="3397"/>
      <c r="C6" s="3398"/>
      <c r="D6" s="2785"/>
      <c r="E6" s="2786"/>
      <c r="F6" s="2787"/>
      <c r="G6" s="2788"/>
      <c r="H6" s="2763"/>
      <c r="I6" s="2764"/>
      <c r="J6" s="3399">
        <v>1</v>
      </c>
      <c r="K6" s="3400" t="s">
        <v>2832</v>
      </c>
      <c r="L6" s="2789" t="s">
        <v>2833</v>
      </c>
      <c r="M6" s="2790" t="s">
        <v>2834</v>
      </c>
      <c r="N6" s="2790" t="s">
        <v>2835</v>
      </c>
      <c r="O6" s="2790" t="s">
        <v>2836</v>
      </c>
      <c r="P6" s="2790" t="s">
        <v>2837</v>
      </c>
      <c r="Q6" s="2790" t="s">
        <v>2838</v>
      </c>
      <c r="R6" s="2773" t="s">
        <v>2839</v>
      </c>
      <c r="S6" s="2756"/>
      <c r="T6" s="2756" t="s">
        <v>2840</v>
      </c>
      <c r="U6" s="2756"/>
      <c r="V6" s="2764"/>
    </row>
    <row r="7" spans="1:22" s="2768" customFormat="1" ht="13.15" customHeight="1">
      <c r="A7" s="2791" t="s">
        <v>2841</v>
      </c>
      <c r="B7" s="2792"/>
      <c r="C7" s="2793"/>
      <c r="D7" s="2794">
        <f>SUM(D9,D10,D11,D17,0)</f>
        <v>0</v>
      </c>
      <c r="E7" s="2795" t="e">
        <f>E9+E10+E11+E17</f>
        <v>#DIV/0!</v>
      </c>
      <c r="F7" s="2796"/>
      <c r="G7" s="2797"/>
      <c r="H7" s="2763"/>
      <c r="I7" s="2764"/>
      <c r="J7" s="3399"/>
      <c r="K7" s="3401"/>
      <c r="L7" s="2798" t="s">
        <v>2842</v>
      </c>
      <c r="M7" s="2799"/>
      <c r="N7" s="2775"/>
      <c r="O7" s="2800"/>
      <c r="P7" s="2800"/>
      <c r="Q7" s="2801">
        <v>365</v>
      </c>
      <c r="R7" s="2802">
        <f>ROUND(M7*N7*O7*P7*Q7/10000,0)</f>
        <v>0</v>
      </c>
      <c r="S7" s="2756"/>
      <c r="T7" s="2756" t="s">
        <v>2843</v>
      </c>
      <c r="U7" s="2756"/>
      <c r="V7" s="2764"/>
    </row>
    <row r="8" spans="1:22" s="2768" customFormat="1" ht="13.15" customHeight="1">
      <c r="A8" s="2803" t="s">
        <v>2844</v>
      </c>
      <c r="B8" s="3403" t="s">
        <v>2845</v>
      </c>
      <c r="C8" s="3404"/>
      <c r="D8" s="2804" t="s">
        <v>2846</v>
      </c>
      <c r="E8" s="2805" t="s">
        <v>2847</v>
      </c>
      <c r="F8" s="2806" t="s">
        <v>2848</v>
      </c>
      <c r="G8" s="2807"/>
      <c r="H8" s="2763"/>
      <c r="I8" s="2764"/>
      <c r="J8" s="3399"/>
      <c r="K8" s="3401"/>
      <c r="L8" s="2798" t="s">
        <v>2849</v>
      </c>
      <c r="M8" s="2799"/>
      <c r="N8" s="2775"/>
      <c r="O8" s="2800"/>
      <c r="P8" s="2800"/>
      <c r="Q8" s="2801">
        <v>365</v>
      </c>
      <c r="R8" s="2802">
        <f t="shared" ref="R8:R13" si="0">ROUND(M8*N8*O8*P8*Q8/10000,0)</f>
        <v>0</v>
      </c>
      <c r="S8" s="2756"/>
      <c r="T8" s="2756" t="s">
        <v>2850</v>
      </c>
      <c r="U8" s="2756"/>
      <c r="V8" s="2764"/>
    </row>
    <row r="9" spans="1:22" s="2768" customFormat="1" ht="13.15" customHeight="1">
      <c r="A9" s="2803">
        <v>1</v>
      </c>
      <c r="B9" s="3403" t="s">
        <v>2851</v>
      </c>
      <c r="C9" s="3404"/>
      <c r="D9" s="2804">
        <f>ROUND(D6*E9,0)</f>
        <v>0</v>
      </c>
      <c r="E9" s="2808"/>
      <c r="F9" s="2809" t="s">
        <v>2852</v>
      </c>
      <c r="G9" s="2788"/>
      <c r="H9" s="2763"/>
      <c r="I9" s="2764"/>
      <c r="J9" s="3399"/>
      <c r="K9" s="3401"/>
      <c r="L9" s="2798" t="s">
        <v>2853</v>
      </c>
      <c r="M9" s="2799"/>
      <c r="N9" s="2775"/>
      <c r="O9" s="2800"/>
      <c r="P9" s="2800"/>
      <c r="Q9" s="2801">
        <v>365</v>
      </c>
      <c r="R9" s="2802">
        <f t="shared" si="0"/>
        <v>0</v>
      </c>
      <c r="S9" s="2756"/>
      <c r="T9" s="2756"/>
      <c r="U9" s="2756"/>
      <c r="V9" s="2764"/>
    </row>
    <row r="10" spans="1:22" s="2768" customFormat="1" ht="13.15" customHeight="1">
      <c r="A10" s="2803">
        <v>2</v>
      </c>
      <c r="B10" s="3403" t="s">
        <v>2854</v>
      </c>
      <c r="C10" s="3404"/>
      <c r="D10" s="2804">
        <f>ROUND(D6*E10,0)</f>
        <v>0</v>
      </c>
      <c r="E10" s="2808"/>
      <c r="F10" s="2809" t="s">
        <v>2855</v>
      </c>
      <c r="G10" s="2788"/>
      <c r="H10" s="2763"/>
      <c r="I10" s="2764"/>
      <c r="J10" s="3399"/>
      <c r="K10" s="3401"/>
      <c r="L10" s="2798" t="s">
        <v>2856</v>
      </c>
      <c r="M10" s="2799"/>
      <c r="N10" s="2775"/>
      <c r="O10" s="2800"/>
      <c r="P10" s="2800"/>
      <c r="Q10" s="2801">
        <v>365</v>
      </c>
      <c r="R10" s="2802">
        <f t="shared" si="0"/>
        <v>0</v>
      </c>
      <c r="S10" s="2756"/>
      <c r="T10" s="2756"/>
      <c r="U10" s="2756"/>
      <c r="V10" s="2764"/>
    </row>
    <row r="11" spans="1:22" s="2768" customFormat="1" ht="13.15" customHeight="1">
      <c r="A11" s="2803">
        <v>3</v>
      </c>
      <c r="B11" s="3403" t="s">
        <v>2857</v>
      </c>
      <c r="C11" s="3404"/>
      <c r="D11" s="2804">
        <f>D12+D14+D15+D16</f>
        <v>0</v>
      </c>
      <c r="E11" s="2810" t="e">
        <f>D11/D6</f>
        <v>#DIV/0!</v>
      </c>
      <c r="F11" s="2806"/>
      <c r="G11" s="2807"/>
      <c r="H11" s="2763"/>
      <c r="I11" s="2764"/>
      <c r="J11" s="3399"/>
      <c r="K11" s="3401"/>
      <c r="L11" s="2798" t="s">
        <v>2858</v>
      </c>
      <c r="M11" s="2799"/>
      <c r="N11" s="2775"/>
      <c r="O11" s="2800"/>
      <c r="P11" s="2800"/>
      <c r="Q11" s="2801">
        <v>365</v>
      </c>
      <c r="R11" s="2802">
        <f t="shared" si="0"/>
        <v>0</v>
      </c>
      <c r="S11" s="2756"/>
      <c r="T11" s="2756"/>
      <c r="U11" s="2756"/>
      <c r="V11" s="2764"/>
    </row>
    <row r="12" spans="1:22" s="2768" customFormat="1" ht="13.15" customHeight="1">
      <c r="A12" s="2811" t="s">
        <v>2859</v>
      </c>
      <c r="B12" s="3405" t="s">
        <v>2860</v>
      </c>
      <c r="C12" s="3406"/>
      <c r="D12" s="2812">
        <f>ROUND(D13*1.2%*(1-30%),0)</f>
        <v>0</v>
      </c>
      <c r="E12" s="2813">
        <v>1.2E-2</v>
      </c>
      <c r="F12" s="2806" t="s">
        <v>2861</v>
      </c>
      <c r="G12" s="2807"/>
      <c r="H12" s="2763"/>
      <c r="I12" s="2764"/>
      <c r="J12" s="3399"/>
      <c r="K12" s="3401"/>
      <c r="L12" s="2798" t="s">
        <v>2862</v>
      </c>
      <c r="M12" s="2799"/>
      <c r="N12" s="2775"/>
      <c r="O12" s="2800"/>
      <c r="P12" s="2800"/>
      <c r="Q12" s="2801">
        <v>365</v>
      </c>
      <c r="R12" s="2802">
        <f t="shared" si="0"/>
        <v>0</v>
      </c>
      <c r="S12" s="2756"/>
      <c r="T12" s="2756"/>
      <c r="U12" s="2756"/>
      <c r="V12" s="2764"/>
    </row>
    <row r="13" spans="1:22" s="2768" customFormat="1" ht="13.15" customHeight="1">
      <c r="A13" s="2811"/>
      <c r="B13" s="2814"/>
      <c r="C13" s="2815" t="s">
        <v>2863</v>
      </c>
      <c r="D13" s="2816"/>
      <c r="E13" s="2817"/>
      <c r="F13" s="2806"/>
      <c r="G13" s="2807"/>
      <c r="H13" s="2763"/>
      <c r="I13" s="2764"/>
      <c r="J13" s="3399"/>
      <c r="K13" s="3401"/>
      <c r="L13" s="2798" t="s">
        <v>2864</v>
      </c>
      <c r="M13" s="2799"/>
      <c r="N13" s="2775"/>
      <c r="O13" s="2800"/>
      <c r="P13" s="2800"/>
      <c r="Q13" s="2801">
        <v>365</v>
      </c>
      <c r="R13" s="2802">
        <f t="shared" si="0"/>
        <v>0</v>
      </c>
      <c r="S13" s="2756"/>
      <c r="T13" s="2756"/>
      <c r="U13" s="2756"/>
      <c r="V13" s="2764"/>
    </row>
    <row r="14" spans="1:22" s="2768" customFormat="1" ht="13.15" customHeight="1">
      <c r="A14" s="2811" t="s">
        <v>2865</v>
      </c>
      <c r="B14" s="3405" t="s">
        <v>2866</v>
      </c>
      <c r="C14" s="3406"/>
      <c r="D14" s="2812">
        <f>ROUND(E14*B5/10000,0)</f>
        <v>0</v>
      </c>
      <c r="E14" s="2801"/>
      <c r="F14" s="2806" t="s">
        <v>2867</v>
      </c>
      <c r="G14" s="2807"/>
      <c r="H14" s="2763"/>
      <c r="I14" s="2764"/>
      <c r="J14" s="3399"/>
      <c r="K14" s="3402"/>
      <c r="L14" s="2818" t="s">
        <v>2868</v>
      </c>
      <c r="M14" s="2819">
        <f>SUM(M7:M13)</f>
        <v>0</v>
      </c>
      <c r="N14" s="2819" t="e">
        <f>ROUND((N7*M7+N8*M8+N9*M9+N10*M10+N11*M11+N12*M12+N13*M13)/M14,0)</f>
        <v>#DIV/0!</v>
      </c>
      <c r="O14" s="2820"/>
      <c r="P14" s="2820"/>
      <c r="Q14" s="2821"/>
      <c r="R14" s="2767">
        <f>SUM(R7:R13)</f>
        <v>0</v>
      </c>
      <c r="S14" s="2756"/>
      <c r="T14" s="2756"/>
      <c r="U14" s="2756"/>
      <c r="V14" s="2764"/>
    </row>
    <row r="15" spans="1:22" s="2768" customFormat="1" ht="13.15" customHeight="1">
      <c r="A15" s="2811" t="s">
        <v>2869</v>
      </c>
      <c r="B15" s="3405" t="s">
        <v>2870</v>
      </c>
      <c r="C15" s="3406"/>
      <c r="D15" s="2812">
        <f>ROUND(D6*E15,0)</f>
        <v>0</v>
      </c>
      <c r="E15" s="2813">
        <v>5.5E-2</v>
      </c>
      <c r="F15" s="2806" t="s">
        <v>2871</v>
      </c>
      <c r="G15" s="2788"/>
      <c r="H15" s="2763"/>
      <c r="I15" s="2764"/>
      <c r="J15" s="3399">
        <v>2</v>
      </c>
      <c r="K15" s="3400" t="s">
        <v>2872</v>
      </c>
      <c r="L15" s="2798" t="s">
        <v>2873</v>
      </c>
      <c r="M15" s="2799" t="s">
        <v>2874</v>
      </c>
      <c r="N15" s="2799" t="s">
        <v>2875</v>
      </c>
      <c r="O15" s="2800" t="s">
        <v>2876</v>
      </c>
      <c r="P15" s="2800" t="s">
        <v>2838</v>
      </c>
      <c r="Q15" s="2775" t="s">
        <v>2877</v>
      </c>
      <c r="R15" s="2822" t="s">
        <v>2839</v>
      </c>
      <c r="S15" s="2756"/>
      <c r="T15" s="2756"/>
      <c r="U15" s="2756"/>
      <c r="V15" s="2764"/>
    </row>
    <row r="16" spans="1:22" s="2768" customFormat="1" ht="13.15" customHeight="1">
      <c r="A16" s="2811" t="s">
        <v>2878</v>
      </c>
      <c r="B16" s="3405" t="s">
        <v>2879</v>
      </c>
      <c r="C16" s="3406"/>
      <c r="D16" s="2823">
        <f>D6*E16</f>
        <v>0</v>
      </c>
      <c r="E16" s="2824"/>
      <c r="F16" s="2809" t="s">
        <v>2880</v>
      </c>
      <c r="G16" s="2788"/>
      <c r="H16" s="2763"/>
      <c r="I16" s="2764"/>
      <c r="J16" s="3399"/>
      <c r="K16" s="3401"/>
      <c r="L16" s="2798" t="s">
        <v>2881</v>
      </c>
      <c r="M16" s="2799"/>
      <c r="N16" s="2799"/>
      <c r="O16" s="2800"/>
      <c r="P16" s="2801">
        <v>365</v>
      </c>
      <c r="Q16" s="2775"/>
      <c r="R16" s="2822">
        <f>ROUND(M16*N16*O16*P16/10000,0)</f>
        <v>0</v>
      </c>
      <c r="S16" s="2756"/>
      <c r="T16" s="2756"/>
      <c r="U16" s="2756"/>
      <c r="V16" s="2764"/>
    </row>
    <row r="17" spans="1:22" s="2768" customFormat="1" ht="13.15" customHeight="1" thickBot="1">
      <c r="A17" s="2825">
        <v>4</v>
      </c>
      <c r="B17" s="3407" t="s">
        <v>2882</v>
      </c>
      <c r="C17" s="3408"/>
      <c r="D17" s="2826">
        <f>ROUND(D6*E17,0)</f>
        <v>0</v>
      </c>
      <c r="E17" s="2827"/>
      <c r="F17" s="2828" t="s">
        <v>2883</v>
      </c>
      <c r="G17" s="2788"/>
      <c r="H17" s="2763"/>
      <c r="I17" s="2764"/>
      <c r="J17" s="3399"/>
      <c r="K17" s="3401"/>
      <c r="L17" s="2798" t="s">
        <v>2884</v>
      </c>
      <c r="M17" s="2799"/>
      <c r="N17" s="2799"/>
      <c r="O17" s="2800"/>
      <c r="P17" s="2801">
        <v>365</v>
      </c>
      <c r="Q17" s="2775"/>
      <c r="R17" s="2822">
        <f>ROUND(M17*N17*O17*P17/10000,0)</f>
        <v>0</v>
      </c>
      <c r="S17" s="2756"/>
      <c r="T17" s="2756"/>
      <c r="U17" s="2756"/>
      <c r="V17" s="2764"/>
    </row>
    <row r="18" spans="1:22" s="2768" customFormat="1" ht="13.15" customHeight="1" thickBot="1">
      <c r="A18" s="2791" t="s">
        <v>2885</v>
      </c>
      <c r="B18" s="2792"/>
      <c r="C18" s="2792"/>
      <c r="D18" s="2829">
        <f>ROUND(D6*E18,0)</f>
        <v>0</v>
      </c>
      <c r="E18" s="2830"/>
      <c r="F18" s="2831" t="s">
        <v>2886</v>
      </c>
      <c r="G18" s="2788"/>
      <c r="H18" s="2763"/>
      <c r="I18" s="2764"/>
      <c r="J18" s="3399"/>
      <c r="K18" s="3401"/>
      <c r="L18" s="2798" t="s">
        <v>2887</v>
      </c>
      <c r="M18" s="2799"/>
      <c r="N18" s="2799"/>
      <c r="O18" s="2800"/>
      <c r="P18" s="2801">
        <v>365</v>
      </c>
      <c r="Q18" s="2775"/>
      <c r="R18" s="2822">
        <f>ROUND(M18*N18*O18*P18/10000,0)</f>
        <v>0</v>
      </c>
      <c r="S18" s="2756"/>
      <c r="T18" s="2756"/>
      <c r="U18" s="2756"/>
      <c r="V18" s="2764"/>
    </row>
    <row r="19" spans="1:22" s="2768" customFormat="1" ht="13.15" customHeight="1" thickBot="1">
      <c r="A19" s="2832" t="s">
        <v>2888</v>
      </c>
      <c r="B19" s="2786"/>
      <c r="C19" s="2786"/>
      <c r="D19" s="2786"/>
      <c r="E19" s="2786"/>
      <c r="F19" s="2787"/>
      <c r="G19" s="2807"/>
      <c r="H19" s="2763"/>
      <c r="I19" s="2764"/>
      <c r="J19" s="3399"/>
      <c r="K19" s="3402"/>
      <c r="L19" s="2818" t="s">
        <v>2868</v>
      </c>
      <c r="M19" s="2819"/>
      <c r="N19" s="2819">
        <f>SUM(N16:N18)</f>
        <v>0</v>
      </c>
      <c r="O19" s="2820"/>
      <c r="P19" s="2833" t="s">
        <v>2932</v>
      </c>
      <c r="Q19" s="2800">
        <v>0</v>
      </c>
      <c r="R19" s="2834">
        <f>ROUND(IF(P19="按比例",R14*Q19,SUM(R16:R18)),0)</f>
        <v>0</v>
      </c>
      <c r="S19" s="2756"/>
      <c r="T19" s="2756"/>
      <c r="U19" s="2756"/>
      <c r="V19" s="2764"/>
    </row>
    <row r="20" spans="1:22" s="2768" customFormat="1" ht="13.15" customHeight="1">
      <c r="A20" s="2791"/>
      <c r="B20" s="2792"/>
      <c r="C20" s="2792"/>
      <c r="D20" s="2792"/>
      <c r="E20" s="2792"/>
      <c r="F20" s="2835"/>
      <c r="G20" s="2807"/>
      <c r="H20" s="2763"/>
      <c r="I20" s="2764"/>
      <c r="J20" s="3399">
        <v>3</v>
      </c>
      <c r="K20" s="3400" t="s">
        <v>2889</v>
      </c>
      <c r="L20" s="2798" t="s">
        <v>2890</v>
      </c>
      <c r="M20" s="2799" t="s">
        <v>2891</v>
      </c>
      <c r="N20" s="2836" t="s">
        <v>2892</v>
      </c>
      <c r="O20" s="2800" t="s">
        <v>2893</v>
      </c>
      <c r="P20" s="2801" t="s">
        <v>2894</v>
      </c>
      <c r="Q20" s="2775" t="s">
        <v>2895</v>
      </c>
      <c r="R20" s="2822" t="s">
        <v>2896</v>
      </c>
      <c r="S20" s="2756"/>
      <c r="T20" s="2756"/>
      <c r="U20" s="2756"/>
      <c r="V20" s="2764"/>
    </row>
    <row r="21" spans="1:22" s="2768" customFormat="1" ht="13.15" customHeight="1">
      <c r="A21" s="2791"/>
      <c r="B21" s="2792"/>
      <c r="C21" s="2837" t="s">
        <v>2897</v>
      </c>
      <c r="D21" s="2838" t="s">
        <v>2898</v>
      </c>
      <c r="E21" s="2839" t="s">
        <v>2899</v>
      </c>
      <c r="F21" s="2835"/>
      <c r="G21" s="2807"/>
      <c r="H21" s="2763"/>
      <c r="I21" s="2764"/>
      <c r="J21" s="3399"/>
      <c r="K21" s="3401"/>
      <c r="L21" s="2798" t="s">
        <v>2900</v>
      </c>
      <c r="M21" s="2799"/>
      <c r="N21" s="2799"/>
      <c r="O21" s="2800"/>
      <c r="P21" s="2801">
        <v>365</v>
      </c>
      <c r="Q21" s="2775"/>
      <c r="R21" s="2840">
        <f>ROUND(M21*N21*O21*P21/10000,0)</f>
        <v>0</v>
      </c>
      <c r="S21" s="2756"/>
      <c r="T21" s="2756"/>
      <c r="U21" s="2756"/>
      <c r="V21" s="2764"/>
    </row>
    <row r="22" spans="1:22" s="2768" customFormat="1" ht="13.15" customHeight="1">
      <c r="A22" s="2791"/>
      <c r="B22" s="2792"/>
      <c r="C22" s="2841" t="s">
        <v>2901</v>
      </c>
      <c r="D22" s="2842" t="s">
        <v>2902</v>
      </c>
      <c r="E22" s="2843" t="s">
        <v>2903</v>
      </c>
      <c r="F22" s="2835"/>
      <c r="G22" s="2756"/>
      <c r="H22" s="2763"/>
      <c r="I22" s="2764"/>
      <c r="J22" s="3399"/>
      <c r="K22" s="3401"/>
      <c r="L22" s="2798" t="s">
        <v>2904</v>
      </c>
      <c r="M22" s="2799"/>
      <c r="N22" s="2799"/>
      <c r="O22" s="2800"/>
      <c r="P22" s="2801">
        <v>365</v>
      </c>
      <c r="Q22" s="2775"/>
      <c r="R22" s="2840">
        <f>ROUND(M22*N22*O22*P22/10000,0)</f>
        <v>0</v>
      </c>
      <c r="S22" s="2756"/>
      <c r="T22" s="2756"/>
      <c r="U22" s="2756"/>
      <c r="V22" s="2764"/>
    </row>
    <row r="23" spans="1:22" s="2768" customFormat="1" ht="13.15" customHeight="1">
      <c r="A23" s="2844">
        <v>1</v>
      </c>
      <c r="B23" s="2845" t="s">
        <v>2905</v>
      </c>
      <c r="C23" s="2846">
        <f>D6</f>
        <v>0</v>
      </c>
      <c r="D23" s="2847">
        <f>C23*(1+D24)</f>
        <v>0</v>
      </c>
      <c r="E23" s="2848">
        <f>D23*(1+E24)</f>
        <v>0</v>
      </c>
      <c r="F23" s="2849"/>
      <c r="G23" s="2850"/>
      <c r="H23" s="2763"/>
      <c r="I23" s="2764"/>
      <c r="J23" s="3399"/>
      <c r="K23" s="3401"/>
      <c r="L23" s="2798" t="s">
        <v>2906</v>
      </c>
      <c r="M23" s="2799"/>
      <c r="N23" s="2799"/>
      <c r="O23" s="2800"/>
      <c r="P23" s="2801">
        <v>365</v>
      </c>
      <c r="Q23" s="2775"/>
      <c r="R23" s="2840">
        <f>ROUND(M23*N23*O23*P23/10000,0)</f>
        <v>0</v>
      </c>
      <c r="S23" s="2756"/>
      <c r="T23" s="2756"/>
      <c r="U23" s="2756"/>
      <c r="V23" s="2764"/>
    </row>
    <row r="24" spans="1:22" s="2768" customFormat="1" ht="13.15" customHeight="1">
      <c r="A24" s="2851"/>
      <c r="B24" s="2852" t="s">
        <v>2907</v>
      </c>
      <c r="C24" s="2853"/>
      <c r="D24" s="2854"/>
      <c r="E24" s="2855"/>
      <c r="F24" s="2856"/>
      <c r="G24" s="2850"/>
      <c r="H24" s="2763"/>
      <c r="I24" s="2764"/>
      <c r="J24" s="3399"/>
      <c r="K24" s="3402"/>
      <c r="L24" s="2818" t="s">
        <v>2868</v>
      </c>
      <c r="M24" s="2819">
        <f>SUM(M21:M23)</f>
        <v>0</v>
      </c>
      <c r="N24" s="2819"/>
      <c r="O24" s="2820"/>
      <c r="P24" s="2833" t="s">
        <v>2932</v>
      </c>
      <c r="Q24" s="2800">
        <v>0</v>
      </c>
      <c r="R24" s="2834">
        <f>ROUND(IF(P24="按比例",R14*Q24,SUM(R21:R23)),0)</f>
        <v>0</v>
      </c>
      <c r="S24" s="2756"/>
      <c r="T24" s="2756"/>
      <c r="U24" s="2756"/>
      <c r="V24" s="2764"/>
    </row>
    <row r="25" spans="1:22" s="2863" customFormat="1" ht="13.15" customHeight="1">
      <c r="A25" s="2851"/>
      <c r="B25" s="2852"/>
      <c r="C25" s="2853"/>
      <c r="D25" s="2854"/>
      <c r="E25" s="2855"/>
      <c r="F25" s="2856"/>
      <c r="G25" s="2756"/>
      <c r="H25" s="2763"/>
      <c r="I25" s="2764"/>
      <c r="J25" s="2857">
        <v>4</v>
      </c>
      <c r="K25" s="2858" t="s">
        <v>2908</v>
      </c>
      <c r="L25" s="2859"/>
      <c r="M25" s="2859"/>
      <c r="N25" s="2859"/>
      <c r="O25" s="2859"/>
      <c r="P25" s="2860"/>
      <c r="Q25" s="2861">
        <v>0</v>
      </c>
      <c r="R25" s="2834">
        <f>ROUND(R14*Q25,0)</f>
        <v>0</v>
      </c>
      <c r="S25" s="2756"/>
      <c r="T25" s="2756"/>
      <c r="U25" s="2756"/>
      <c r="V25" s="2862"/>
    </row>
    <row r="26" spans="1:22" s="2863" customFormat="1" ht="13.15" customHeight="1">
      <c r="A26" s="2844">
        <v>2</v>
      </c>
      <c r="B26" s="2845" t="s">
        <v>2909</v>
      </c>
      <c r="C26" s="2846">
        <f>D7</f>
        <v>0</v>
      </c>
      <c r="D26" s="2847">
        <f>D23*D27</f>
        <v>0</v>
      </c>
      <c r="E26" s="2848">
        <f>E23*E27</f>
        <v>0</v>
      </c>
      <c r="F26" s="2849"/>
      <c r="G26" s="2850"/>
      <c r="H26" s="2763"/>
      <c r="I26" s="2764"/>
      <c r="J26" s="3409">
        <v>5</v>
      </c>
      <c r="K26" s="2864" t="s">
        <v>2910</v>
      </c>
      <c r="L26" s="2865"/>
      <c r="M26" s="2866"/>
      <c r="N26" s="2867" t="s">
        <v>2911</v>
      </c>
      <c r="O26" s="2867" t="s">
        <v>2912</v>
      </c>
      <c r="P26" s="2868" t="s">
        <v>2913</v>
      </c>
      <c r="Q26" s="2868" t="s">
        <v>2914</v>
      </c>
      <c r="R26" s="2773" t="s">
        <v>2839</v>
      </c>
      <c r="S26" s="2807"/>
      <c r="T26" s="2807"/>
      <c r="U26" s="2807"/>
      <c r="V26" s="2862"/>
    </row>
    <row r="27" spans="1:22" s="2768" customFormat="1" ht="13.15" customHeight="1">
      <c r="A27" s="2851"/>
      <c r="B27" s="2852" t="s">
        <v>2915</v>
      </c>
      <c r="C27" s="2869" t="e">
        <f>E7</f>
        <v>#DIV/0!</v>
      </c>
      <c r="D27" s="2854"/>
      <c r="E27" s="2855"/>
      <c r="F27" s="2856"/>
      <c r="G27" s="2850"/>
      <c r="H27" s="2870"/>
      <c r="I27" s="2862"/>
      <c r="J27" s="3410"/>
      <c r="K27" s="2871"/>
      <c r="L27" s="2872"/>
      <c r="M27" s="2873"/>
      <c r="N27" s="2874"/>
      <c r="O27" s="2874"/>
      <c r="P27" s="2874"/>
      <c r="Q27" s="2875"/>
      <c r="R27" s="2834">
        <f>ROUND(O27*N27*P27*(1-Q27)/10000,0)</f>
        <v>0</v>
      </c>
      <c r="S27" s="2756"/>
      <c r="T27" s="2756"/>
      <c r="U27" s="2756"/>
      <c r="V27" s="2764"/>
    </row>
    <row r="28" spans="1:22" s="2863" customFormat="1" ht="13.15" customHeight="1" thickBot="1">
      <c r="A28" s="2851"/>
      <c r="B28" s="2852"/>
      <c r="C28" s="2869"/>
      <c r="D28" s="2854"/>
      <c r="E28" s="2855" t="s">
        <v>2916</v>
      </c>
      <c r="F28" s="2856"/>
      <c r="G28" s="2756"/>
      <c r="H28" s="2870"/>
      <c r="I28" s="2862"/>
      <c r="J28" s="2876">
        <v>6</v>
      </c>
      <c r="K28" s="2877" t="s">
        <v>2917</v>
      </c>
      <c r="L28" s="2878" t="s">
        <v>2918</v>
      </c>
      <c r="M28" s="2879"/>
      <c r="N28" s="2878" t="s">
        <v>2919</v>
      </c>
      <c r="O28" s="2880"/>
      <c r="P28" s="2878" t="s">
        <v>2920</v>
      </c>
      <c r="Q28" s="2881">
        <v>1.4999999999999999E-2</v>
      </c>
      <c r="R28" s="2882"/>
      <c r="S28" s="2756"/>
      <c r="T28" s="2756"/>
      <c r="U28" s="2756"/>
      <c r="V28" s="2862"/>
    </row>
    <row r="29" spans="1:22" s="2863" customFormat="1" ht="13.15" customHeight="1">
      <c r="A29" s="2844">
        <v>3</v>
      </c>
      <c r="B29" s="2845" t="s">
        <v>2921</v>
      </c>
      <c r="C29" s="2846">
        <f>C23*C30</f>
        <v>0</v>
      </c>
      <c r="D29" s="2847">
        <f>D23*C30</f>
        <v>0</v>
      </c>
      <c r="E29" s="2848">
        <f>E23*C30</f>
        <v>0</v>
      </c>
      <c r="F29" s="2849"/>
      <c r="G29" s="2850"/>
      <c r="H29" s="2763"/>
      <c r="I29" s="2764"/>
      <c r="J29" s="2756"/>
      <c r="K29" s="2756"/>
      <c r="L29" s="2756"/>
      <c r="M29" s="2756"/>
      <c r="N29" s="2756"/>
      <c r="O29" s="2756"/>
      <c r="P29" s="2756"/>
      <c r="Q29" s="2756"/>
      <c r="R29" s="2756"/>
      <c r="S29" s="2756"/>
      <c r="T29" s="2756"/>
      <c r="U29" s="2756"/>
      <c r="V29" s="2862"/>
    </row>
    <row r="30" spans="1:22" s="2768" customFormat="1" ht="13.15" customHeight="1" thickBot="1">
      <c r="A30" s="2851"/>
      <c r="B30" s="2852" t="s">
        <v>2915</v>
      </c>
      <c r="C30" s="2869">
        <f>E18</f>
        <v>0</v>
      </c>
      <c r="D30" s="2883"/>
      <c r="E30" s="2817"/>
      <c r="F30" s="2856"/>
      <c r="G30" s="2850"/>
      <c r="H30" s="2870"/>
      <c r="I30" s="2862"/>
      <c r="J30" s="2756"/>
      <c r="K30" s="2756"/>
      <c r="L30" s="2756"/>
      <c r="M30" s="2756"/>
      <c r="N30" s="2756"/>
      <c r="O30" s="2756"/>
      <c r="P30" s="2756"/>
      <c r="Q30" s="2756"/>
      <c r="R30" s="2756"/>
      <c r="S30" s="2756"/>
      <c r="T30" s="2756"/>
      <c r="U30" s="2756"/>
      <c r="V30" s="2764"/>
    </row>
    <row r="31" spans="1:22" s="2863" customFormat="1" ht="13.15" customHeight="1">
      <c r="A31" s="2851"/>
      <c r="B31" s="2852"/>
      <c r="C31" s="2884"/>
      <c r="D31" s="2883"/>
      <c r="E31" s="2817"/>
      <c r="F31" s="2856"/>
      <c r="G31" s="2756"/>
      <c r="H31" s="2870"/>
      <c r="I31" s="2862"/>
      <c r="J31" s="2753" t="s">
        <v>2922</v>
      </c>
      <c r="K31" s="2754"/>
      <c r="L31" s="2754"/>
      <c r="M31" s="2754"/>
      <c r="N31" s="2754"/>
      <c r="O31" s="2754"/>
      <c r="P31" s="2754"/>
      <c r="Q31" s="2754"/>
      <c r="R31" s="2755"/>
      <c r="S31" s="2756"/>
      <c r="T31" s="2756"/>
      <c r="U31" s="2756"/>
      <c r="V31" s="2862"/>
    </row>
    <row r="32" spans="1:22" s="2863" customFormat="1" ht="13.15" customHeight="1">
      <c r="A32" s="2844">
        <v>4</v>
      </c>
      <c r="B32" s="2845" t="s">
        <v>2923</v>
      </c>
      <c r="C32" s="2846">
        <f>C23-C26-C29</f>
        <v>0</v>
      </c>
      <c r="D32" s="2847">
        <f>D23-D26-D29</f>
        <v>0</v>
      </c>
      <c r="E32" s="2848">
        <f>E23-E26-E29</f>
        <v>0</v>
      </c>
      <c r="F32" s="2849"/>
      <c r="G32" s="2756"/>
      <c r="H32" s="2763"/>
      <c r="I32" s="2764"/>
      <c r="J32" s="3392" t="s">
        <v>2815</v>
      </c>
      <c r="K32" s="3393"/>
      <c r="L32" s="2765" t="s">
        <v>2816</v>
      </c>
      <c r="M32" s="2765" t="s">
        <v>2817</v>
      </c>
      <c r="N32" s="2765" t="s">
        <v>2818</v>
      </c>
      <c r="O32" s="2765" t="s">
        <v>2819</v>
      </c>
      <c r="P32" s="2765" t="s">
        <v>2820</v>
      </c>
      <c r="Q32" s="2766" t="s">
        <v>2821</v>
      </c>
      <c r="R32" s="2885" t="s">
        <v>2822</v>
      </c>
      <c r="S32" s="2756"/>
      <c r="T32" s="2756"/>
      <c r="U32" s="2756"/>
      <c r="V32" s="2862"/>
    </row>
    <row r="33" spans="1:23" s="2768" customFormat="1" ht="13.15" customHeight="1">
      <c r="A33" s="2844"/>
      <c r="B33" s="2845"/>
      <c r="C33" s="2846"/>
      <c r="D33" s="2886"/>
      <c r="E33" s="2887"/>
      <c r="F33" s="2849"/>
      <c r="G33" s="2756"/>
      <c r="H33" s="2870"/>
      <c r="I33" s="2862"/>
      <c r="J33" s="3394" t="s">
        <v>2825</v>
      </c>
      <c r="K33" s="3395"/>
      <c r="L33" s="2771"/>
      <c r="M33" s="2771"/>
      <c r="N33" s="2771"/>
      <c r="O33" s="2771"/>
      <c r="P33" s="2771"/>
      <c r="Q33" s="2772"/>
      <c r="R33" s="2888">
        <f>SUM(L33:Q33)</f>
        <v>0</v>
      </c>
      <c r="S33" s="2756"/>
      <c r="T33" s="2756"/>
      <c r="U33" s="2756"/>
      <c r="V33" s="2764"/>
    </row>
    <row r="34" spans="1:23" s="2768" customFormat="1" ht="13.15" customHeight="1">
      <c r="A34" s="2844">
        <v>5</v>
      </c>
      <c r="B34" s="2845" t="s">
        <v>2924</v>
      </c>
      <c r="C34" s="2889"/>
      <c r="D34" s="2890"/>
      <c r="E34" s="2891"/>
      <c r="F34" s="2849"/>
      <c r="G34" s="2756"/>
      <c r="H34" s="2870"/>
      <c r="I34" s="2862"/>
      <c r="J34" s="3394" t="s">
        <v>2827</v>
      </c>
      <c r="K34" s="3395"/>
      <c r="L34" s="2776"/>
      <c r="M34" s="2776"/>
      <c r="N34" s="2776"/>
      <c r="O34" s="2776"/>
      <c r="P34" s="2776"/>
      <c r="Q34" s="2777"/>
      <c r="R34" s="2892">
        <f>SUM(L34:Q34)</f>
        <v>0</v>
      </c>
      <c r="S34" s="2756"/>
      <c r="T34" s="2756"/>
      <c r="U34" s="2756" t="e">
        <f>ROUND(R35*10000/365/R33,1)</f>
        <v>#DIV/0!</v>
      </c>
      <c r="V34" s="2764"/>
    </row>
    <row r="35" spans="1:23" s="2768" customFormat="1" ht="13.15" customHeight="1">
      <c r="A35" s="2844">
        <v>6</v>
      </c>
      <c r="B35" s="2845" t="s">
        <v>2925</v>
      </c>
      <c r="C35" s="2893"/>
      <c r="D35" s="2894"/>
      <c r="E35" s="2895"/>
      <c r="F35" s="2849"/>
      <c r="G35" s="2896"/>
      <c r="H35" s="2763"/>
      <c r="I35" s="2862"/>
      <c r="J35" s="2782" t="s">
        <v>2829</v>
      </c>
      <c r="K35" s="2783"/>
      <c r="L35" s="2783"/>
      <c r="M35" s="2784"/>
      <c r="N35" s="2784"/>
      <c r="O35" s="2784"/>
      <c r="P35" s="2784"/>
      <c r="Q35" s="2784"/>
      <c r="R35" s="2897">
        <f>R40+R41+R43</f>
        <v>0</v>
      </c>
      <c r="S35" s="2756"/>
      <c r="T35" s="2756" t="s">
        <v>2830</v>
      </c>
      <c r="U35" s="2756"/>
      <c r="V35" s="2764"/>
    </row>
    <row r="36" spans="1:23" s="2768" customFormat="1" ht="13.15" customHeight="1" thickBot="1">
      <c r="A36" s="2844">
        <v>7</v>
      </c>
      <c r="B36" s="2898" t="s">
        <v>2926</v>
      </c>
      <c r="C36" s="2899"/>
      <c r="D36" s="2900"/>
      <c r="E36" s="2901"/>
      <c r="F36" s="2902">
        <f>C36+D36+E36</f>
        <v>0</v>
      </c>
      <c r="G36" s="2756"/>
      <c r="H36" s="2763"/>
      <c r="I36" s="2764"/>
      <c r="J36" s="3399">
        <v>1</v>
      </c>
      <c r="K36" s="3400" t="s">
        <v>2927</v>
      </c>
      <c r="L36" s="2789"/>
      <c r="M36" s="2790"/>
      <c r="N36" s="2790"/>
      <c r="O36" s="2790"/>
      <c r="P36" s="2790"/>
      <c r="Q36" s="2790"/>
      <c r="R36" s="2773" t="s">
        <v>2839</v>
      </c>
      <c r="S36" s="2756"/>
      <c r="T36" s="2756" t="s">
        <v>2840</v>
      </c>
      <c r="U36" s="2756"/>
      <c r="V36" s="2764"/>
    </row>
    <row r="37" spans="1:23" s="2768" customFormat="1" ht="13.15" customHeight="1">
      <c r="A37" s="2844"/>
      <c r="B37" s="2845"/>
      <c r="C37" s="2845"/>
      <c r="D37" s="2845"/>
      <c r="E37" s="2845"/>
      <c r="F37" s="2849"/>
      <c r="G37" s="2756"/>
      <c r="H37" s="2763"/>
      <c r="I37" s="2764"/>
      <c r="J37" s="3399"/>
      <c r="K37" s="3401"/>
      <c r="L37" s="2798"/>
      <c r="M37" s="2799"/>
      <c r="N37" s="2775"/>
      <c r="O37" s="2800"/>
      <c r="P37" s="2800"/>
      <c r="Q37" s="2801"/>
      <c r="R37" s="2802"/>
      <c r="S37" s="2756"/>
      <c r="T37" s="2756" t="s">
        <v>2843</v>
      </c>
      <c r="U37" s="2756"/>
      <c r="V37" s="2764"/>
    </row>
    <row r="38" spans="1:23" s="2768" customFormat="1" ht="13.15" customHeight="1">
      <c r="A38" s="2844">
        <v>8</v>
      </c>
      <c r="B38" s="2845"/>
      <c r="C38" s="2804" t="e">
        <f>ROUND(C32*(1-((1+C35)/(1+C34))^C36)/(C34-C35),0)</f>
        <v>#DIV/0!</v>
      </c>
      <c r="D38" s="2804">
        <f>IF(D23=0,0,ROUND(D32*(1-((1+D35)/(1+D34))^D36)/(D34-D35),0))</f>
        <v>0</v>
      </c>
      <c r="E38" s="2804">
        <f>IF(E23=0,0,ROUND(E32*(1-((1+E35)/(1+E34))^E36)/(E34-E35),0))</f>
        <v>0</v>
      </c>
      <c r="F38" s="2849"/>
      <c r="G38" s="2756"/>
      <c r="H38" s="2763"/>
      <c r="I38" s="2764"/>
      <c r="J38" s="3399"/>
      <c r="K38" s="3401"/>
      <c r="L38" s="2798"/>
      <c r="M38" s="2799"/>
      <c r="N38" s="2775"/>
      <c r="O38" s="2800"/>
      <c r="P38" s="2800"/>
      <c r="Q38" s="2801"/>
      <c r="R38" s="2802"/>
      <c r="S38" s="2756"/>
      <c r="T38" s="2756" t="s">
        <v>2850</v>
      </c>
      <c r="U38" s="2756"/>
      <c r="V38" s="2764"/>
    </row>
    <row r="39" spans="1:23" s="2768" customFormat="1" ht="13.15" customHeight="1">
      <c r="A39" s="2844">
        <v>9</v>
      </c>
      <c r="B39" s="2845" t="s">
        <v>2928</v>
      </c>
      <c r="C39" s="2812" t="e">
        <f>C38</f>
        <v>#DIV/0!</v>
      </c>
      <c r="D39" s="2845">
        <f>D38/(1+D34)^C36</f>
        <v>0</v>
      </c>
      <c r="E39" s="2845">
        <f>E38/(1+E34)^(C36+D36)</f>
        <v>0</v>
      </c>
      <c r="F39" s="2849"/>
      <c r="G39" s="2764"/>
      <c r="H39" s="2763"/>
      <c r="I39" s="2764"/>
      <c r="J39" s="3399"/>
      <c r="K39" s="3401"/>
      <c r="L39" s="2798"/>
      <c r="M39" s="2799"/>
      <c r="N39" s="2775"/>
      <c r="O39" s="2800"/>
      <c r="P39" s="2800"/>
      <c r="Q39" s="2801"/>
      <c r="R39" s="2802"/>
      <c r="S39" s="2756"/>
      <c r="T39" s="2756"/>
      <c r="U39" s="2756"/>
      <c r="V39" s="2764"/>
    </row>
    <row r="40" spans="1:23" s="2768" customFormat="1" ht="13.15" customHeight="1">
      <c r="A40" s="2903">
        <v>10</v>
      </c>
      <c r="B40" s="2845" t="s">
        <v>2929</v>
      </c>
      <c r="C40" s="2904" t="e">
        <f>C39+D39+E39</f>
        <v>#DIV/0!</v>
      </c>
      <c r="D40" s="2905"/>
      <c r="E40" s="2905"/>
      <c r="F40" s="2906"/>
      <c r="G40" s="2756"/>
      <c r="H40" s="2763"/>
      <c r="I40" s="2764"/>
      <c r="J40" s="3399"/>
      <c r="K40" s="3402"/>
      <c r="L40" s="2818" t="s">
        <v>2868</v>
      </c>
      <c r="M40" s="2819"/>
      <c r="N40" s="2819"/>
      <c r="O40" s="2820"/>
      <c r="P40" s="2820"/>
      <c r="Q40" s="2821"/>
      <c r="R40" s="2767">
        <f>SUM(R37:R39)</f>
        <v>0</v>
      </c>
      <c r="S40" s="2756"/>
      <c r="T40" s="2756"/>
      <c r="U40" s="2756"/>
      <c r="V40" s="2764"/>
    </row>
    <row r="41" spans="1:23" s="2768" customFormat="1" ht="13.15" customHeight="1" thickBot="1">
      <c r="A41" s="2907">
        <v>11</v>
      </c>
      <c r="B41" s="2908" t="s">
        <v>2930</v>
      </c>
      <c r="C41" s="2908" t="e">
        <f>ROUND(C40*10000/B4,0)</f>
        <v>#DIV/0!</v>
      </c>
      <c r="D41" s="2909"/>
      <c r="E41" s="2909"/>
      <c r="F41" s="2910"/>
      <c r="G41" s="2763"/>
      <c r="H41" s="2763"/>
      <c r="I41" s="2764"/>
      <c r="J41" s="2857">
        <v>2</v>
      </c>
      <c r="K41" s="2858" t="s">
        <v>2908</v>
      </c>
      <c r="L41" s="2859"/>
      <c r="M41" s="2859"/>
      <c r="N41" s="2859"/>
      <c r="O41" s="2859"/>
      <c r="P41" s="2860"/>
      <c r="Q41" s="2861"/>
      <c r="R41" s="2834">
        <f>ROUND(R40*Q41,0)</f>
        <v>0</v>
      </c>
      <c r="S41" s="2756"/>
      <c r="T41" s="2756"/>
      <c r="U41" s="2807"/>
      <c r="V41" s="2764"/>
    </row>
    <row r="42" spans="1:23" s="2768" customFormat="1" ht="13.15" customHeight="1">
      <c r="G42" s="2763"/>
      <c r="H42" s="2763"/>
      <c r="I42" s="2764"/>
      <c r="J42" s="3409">
        <v>3</v>
      </c>
      <c r="K42" s="2864" t="s">
        <v>2910</v>
      </c>
      <c r="L42" s="2865"/>
      <c r="M42" s="2866"/>
      <c r="N42" s="2867" t="s">
        <v>2911</v>
      </c>
      <c r="O42" s="2867" t="s">
        <v>2912</v>
      </c>
      <c r="P42" s="2868" t="s">
        <v>2913</v>
      </c>
      <c r="Q42" s="2868" t="s">
        <v>2914</v>
      </c>
      <c r="R42" s="2773" t="s">
        <v>2839</v>
      </c>
      <c r="S42" s="2807"/>
      <c r="T42" s="2807"/>
      <c r="U42" s="2756"/>
      <c r="V42" s="2764"/>
    </row>
    <row r="43" spans="1:23" ht="13.15" customHeight="1">
      <c r="A43" s="2768"/>
      <c r="B43" s="2768"/>
      <c r="C43" s="2768"/>
      <c r="D43" s="2768"/>
      <c r="E43" s="2768"/>
      <c r="F43" s="2768"/>
      <c r="I43" s="2751"/>
      <c r="J43" s="3410"/>
      <c r="K43" s="2871"/>
      <c r="L43" s="2872"/>
      <c r="M43" s="2873"/>
      <c r="N43" s="2799"/>
      <c r="O43" s="2799"/>
      <c r="P43" s="2799"/>
      <c r="Q43" s="2861"/>
      <c r="R43" s="2834">
        <f>ROUND(O43*N43*P43*(1-Q43)/10000,0)</f>
        <v>0</v>
      </c>
      <c r="S43" s="2756"/>
      <c r="T43" s="2756"/>
      <c r="V43" s="2911"/>
      <c r="W43" s="2912"/>
    </row>
    <row r="44" spans="1:23" ht="13.15" customHeight="1" thickBot="1">
      <c r="J44" s="2876">
        <v>6</v>
      </c>
      <c r="K44" s="2877" t="s">
        <v>2917</v>
      </c>
      <c r="L44" s="2913" t="s">
        <v>2918</v>
      </c>
      <c r="M44" s="2879"/>
      <c r="N44" s="2913" t="s">
        <v>2919</v>
      </c>
      <c r="O44" s="2879"/>
      <c r="P44" s="2913" t="s">
        <v>2920</v>
      </c>
      <c r="Q44" s="2881">
        <v>1.4999999999999999E-2</v>
      </c>
      <c r="R44" s="288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0" zoomScaleNormal="70" zoomScaleSheetLayoutView="80" workbookViewId="0">
      <selection activeCell="J56" sqref="J56"/>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1313</v>
      </c>
      <c r="B1" s="672"/>
      <c r="C1" s="1416" t="s">
        <v>48</v>
      </c>
      <c r="D1" s="1400" t="s">
        <v>70</v>
      </c>
      <c r="E1" s="1401" t="s">
        <v>1111</v>
      </c>
      <c r="F1" s="1106">
        <f ca="1">J53</f>
        <v>37.409999999999997</v>
      </c>
      <c r="G1" s="1415">
        <f>MATCH(C1,'数据-取费表'!A6:A16,0)+5</f>
        <v>7</v>
      </c>
      <c r="H1" s="2627"/>
      <c r="I1" s="2628"/>
      <c r="J1" s="2628"/>
      <c r="K1" s="2629"/>
      <c r="L1" s="2628"/>
      <c r="M1" s="2628"/>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f ca="1">C40+J29+L46</f>
        <v>35718</v>
      </c>
      <c r="C2" s="1418" t="s">
        <v>1240</v>
      </c>
      <c r="D2" s="1418"/>
      <c r="E2" s="1424"/>
      <c r="F2" s="1425"/>
      <c r="G2" s="2640"/>
      <c r="H2" s="2630"/>
      <c r="I2" s="2630"/>
      <c r="J2" s="2630"/>
      <c r="K2" s="2631"/>
      <c r="L2" s="2630"/>
      <c r="M2" s="2630"/>
    </row>
    <row r="3" spans="1:37" ht="18" customHeight="1" thickBot="1">
      <c r="A3" s="1426" t="s">
        <v>1241</v>
      </c>
      <c r="B3" s="1427">
        <f ca="1">IF(ISERROR(B2*10000/F43),0,ROUND(B2*10000/F43,0))</f>
        <v>5927</v>
      </c>
      <c r="C3" s="1418" t="s">
        <v>1242</v>
      </c>
      <c r="D3" s="1418"/>
      <c r="E3" s="1424"/>
      <c r="F3" s="1425"/>
      <c r="G3" s="2640"/>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1980</v>
      </c>
      <c r="D5" s="1402" t="s">
        <v>1126</v>
      </c>
      <c r="E5" s="1116"/>
      <c r="F5" s="1117"/>
      <c r="G5" s="1421"/>
      <c r="H5" s="297">
        <v>1</v>
      </c>
      <c r="I5" s="298" t="s">
        <v>1125</v>
      </c>
      <c r="J5" s="1115">
        <f ca="1">J6+J10+J12</f>
        <v>0</v>
      </c>
      <c r="K5" s="1402" t="s">
        <v>1126</v>
      </c>
      <c r="L5" s="1116"/>
      <c r="M5" s="1117"/>
    </row>
    <row r="6" spans="1:37" ht="18" customHeight="1">
      <c r="A6" s="1114" t="s">
        <v>822</v>
      </c>
      <c r="B6" s="3389" t="s">
        <v>1127</v>
      </c>
      <c r="C6" s="1119">
        <f ca="1">ROUND(F6*F8*F7*(1-F9)/10000,0)</f>
        <v>1980</v>
      </c>
      <c r="D6" s="152" t="s">
        <v>2604</v>
      </c>
      <c r="E6" s="300" t="s">
        <v>1129</v>
      </c>
      <c r="F6" s="301">
        <f ca="1">INDIRECT("'数据-取费表'!u"&amp;$G$1)</f>
        <v>1</v>
      </c>
      <c r="G6" s="1421"/>
      <c r="H6" s="1114" t="s">
        <v>822</v>
      </c>
      <c r="I6" s="3389" t="s">
        <v>1127</v>
      </c>
      <c r="J6" s="299">
        <f ca="1">ROUND(M6*M8*M7*(1-M9)/10000,0)</f>
        <v>0</v>
      </c>
      <c r="K6" s="152" t="s">
        <v>2603</v>
      </c>
      <c r="L6" s="300" t="s">
        <v>1129</v>
      </c>
      <c r="M6" s="301">
        <f ca="1">INDIRECT("'数据-取费表'!z"&amp;$G$1)</f>
        <v>0</v>
      </c>
    </row>
    <row r="7" spans="1:37" ht="18" customHeight="1">
      <c r="A7" s="1118"/>
      <c r="B7" s="3390"/>
      <c r="C7" s="1120"/>
      <c r="D7" s="305"/>
      <c r="E7" s="1121" t="s">
        <v>1130</v>
      </c>
      <c r="F7" s="301">
        <f ca="1">IF(INDIRECT("'数据-取费表'!ah"&amp;$G$1)="",INDIRECT("'数据-取费表'!k"&amp;$G$1),INDIRECT("'数据-取费表'!ah"&amp;$G$1))</f>
        <v>60266.74</v>
      </c>
      <c r="G7" s="1421"/>
      <c r="H7" s="302"/>
      <c r="I7" s="3390"/>
      <c r="J7" s="304"/>
      <c r="K7" s="305"/>
      <c r="L7" s="300" t="s">
        <v>1130</v>
      </c>
      <c r="M7" s="301">
        <f ca="1">F7</f>
        <v>60266.74</v>
      </c>
    </row>
    <row r="8" spans="1:37" ht="18" customHeight="1">
      <c r="A8" s="302"/>
      <c r="B8" s="3390"/>
      <c r="C8" s="304"/>
      <c r="D8" s="305"/>
      <c r="E8" s="300" t="s">
        <v>1131</v>
      </c>
      <c r="F8" s="301">
        <f ca="1">INDIRECT("'数据-取费表'!ai"&amp;$G$1)</f>
        <v>365</v>
      </c>
      <c r="G8" s="1421"/>
      <c r="H8" s="302"/>
      <c r="I8" s="3390"/>
      <c r="J8" s="304"/>
      <c r="K8" s="305"/>
      <c r="L8" s="300" t="s">
        <v>1131</v>
      </c>
      <c r="M8" s="301">
        <f ca="1">INDIRECT("'数据-取费表'!ai"&amp;$G$1)</f>
        <v>365</v>
      </c>
    </row>
    <row r="9" spans="1:37" ht="18" customHeight="1">
      <c r="A9" s="302"/>
      <c r="B9" s="3391"/>
      <c r="C9" s="304"/>
      <c r="D9" s="305"/>
      <c r="E9" s="300" t="s">
        <v>1132</v>
      </c>
      <c r="F9" s="310">
        <f ca="1">INDIRECT("'数据-取费表'!w"&amp;$G$1)</f>
        <v>0.1</v>
      </c>
      <c r="G9" s="1421"/>
      <c r="H9" s="302"/>
      <c r="I9" s="3391"/>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2611</v>
      </c>
      <c r="E10" s="311" t="s">
        <v>1134</v>
      </c>
      <c r="F10" s="1161" t="s">
        <v>3759</v>
      </c>
      <c r="G10" s="1421"/>
      <c r="H10" s="1114" t="s">
        <v>826</v>
      </c>
      <c r="I10" s="1403" t="s">
        <v>1133</v>
      </c>
      <c r="J10" s="299">
        <f ca="1">ROUND(IF(M10="押一",J6/12*M11,IF(M10="押二",J6/12*2*M11,IF(M10="押三",J6/12*3*M11,J11*M11))),0)</f>
        <v>0</v>
      </c>
      <c r="K10" s="155" t="s">
        <v>2611</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38055</v>
      </c>
      <c r="D13" s="1126" t="s">
        <v>1139</v>
      </c>
      <c r="E13" s="1126" t="s">
        <v>1140</v>
      </c>
      <c r="F13" s="1127">
        <f ca="1">INDIRECT("'数据-取费表'!y"&amp;$G$1)</f>
        <v>0.87</v>
      </c>
      <c r="G13" s="1421"/>
      <c r="H13" s="1124">
        <v>2</v>
      </c>
      <c r="I13" s="1125" t="s">
        <v>1138</v>
      </c>
      <c r="J13" s="1113">
        <f ca="1">ROUND(J14*J15,0)</f>
        <v>0</v>
      </c>
      <c r="K13" s="1132" t="s">
        <v>1139</v>
      </c>
      <c r="L13" s="1428"/>
      <c r="M13" s="1429"/>
    </row>
    <row r="14" spans="1:37" ht="18" customHeight="1">
      <c r="A14" s="1035" t="s">
        <v>821</v>
      </c>
      <c r="B14" s="300" t="s">
        <v>1141</v>
      </c>
      <c r="C14" s="316">
        <f ca="1">INDIRECT("'数据-取费表'!m"&amp;$G$1)+INDIRECT("'数据-取费表'!t"&amp;$G$1)</f>
        <v>30133</v>
      </c>
      <c r="D14" s="1386" t="s">
        <v>1142</v>
      </c>
      <c r="E14" s="1384"/>
      <c r="F14" s="317"/>
      <c r="G14" s="1421"/>
      <c r="H14" s="1035" t="s">
        <v>822</v>
      </c>
      <c r="I14" s="300" t="s">
        <v>1143</v>
      </c>
      <c r="J14" s="24">
        <f ca="1">C29</f>
        <v>43741</v>
      </c>
      <c r="K14" s="15"/>
      <c r="L14" s="844"/>
      <c r="M14" s="845"/>
    </row>
    <row r="15" spans="1:37" s="1433" customFormat="1" ht="18" customHeight="1" thickBot="1">
      <c r="A15" s="1035" t="s">
        <v>823</v>
      </c>
      <c r="B15" s="300" t="s">
        <v>1144</v>
      </c>
      <c r="C15" s="24">
        <f ca="1">ROUND(C14*F15,0)</f>
        <v>1507</v>
      </c>
      <c r="D15" s="318" t="s">
        <v>1145</v>
      </c>
      <c r="E15" s="318" t="s">
        <v>1146</v>
      </c>
      <c r="F15" s="319">
        <f>'数据-取费表'!B33</f>
        <v>0.05</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f ca="1">ROUND(J17+J22+J23+J24,0)</f>
        <v>591</v>
      </c>
      <c r="K16" s="1132" t="s">
        <v>1149</v>
      </c>
      <c r="L16" s="1133"/>
      <c r="M16" s="1117"/>
    </row>
    <row r="17" spans="1:37" s="1433" customFormat="1" ht="18" customHeight="1">
      <c r="A17" s="1035" t="s">
        <v>1114</v>
      </c>
      <c r="B17" s="300" t="s">
        <v>1150</v>
      </c>
      <c r="C17" s="24">
        <f ca="1">ROUND(F17*(F43+INDIRECT("'数据-取费表'!S"&amp;$G$1))/10000,0)</f>
        <v>1205</v>
      </c>
      <c r="D17" s="300" t="s">
        <v>1151</v>
      </c>
      <c r="E17" s="300" t="s">
        <v>1152</v>
      </c>
      <c r="F17" s="26">
        <f>'数据-取费表'!B35</f>
        <v>200</v>
      </c>
      <c r="G17" s="1432"/>
      <c r="H17" s="1035" t="s">
        <v>822</v>
      </c>
      <c r="I17" s="300" t="s">
        <v>1153</v>
      </c>
      <c r="J17" s="2297">
        <f ca="1">ROUND(IF(AND(项目基本情况!B11="自然人",项目基本情况!B10="北京市"),J6*M17/(1+'数据-取费表'!C42),J18+J19+J20),0)</f>
        <v>372</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452</v>
      </c>
      <c r="D18" s="300" t="s">
        <v>1145</v>
      </c>
      <c r="E18" s="300" t="s">
        <v>1146</v>
      </c>
      <c r="F18" s="320">
        <f>'数据-取费表'!B36</f>
        <v>1.4999999999999999E-2</v>
      </c>
      <c r="G18" s="1432"/>
      <c r="H18" s="1035" t="s">
        <v>821</v>
      </c>
      <c r="I18" s="300" t="s">
        <v>1157</v>
      </c>
      <c r="J18" s="24">
        <f ca="1">ROUND(J6*M18/(1+'数据-取费表'!C42),2)</f>
        <v>0</v>
      </c>
      <c r="K18" s="1385" t="s">
        <v>1158</v>
      </c>
      <c r="L18" s="300" t="s">
        <v>1146</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33297</v>
      </c>
      <c r="D19" s="128" t="s">
        <v>1160</v>
      </c>
      <c r="E19" s="1398"/>
      <c r="F19" s="26"/>
      <c r="G19" s="1421"/>
      <c r="H19" s="1035" t="s">
        <v>823</v>
      </c>
      <c r="I19" s="300" t="s">
        <v>1161</v>
      </c>
      <c r="J19" s="24">
        <f ca="1">IF(K19="按租金收入计税",ROUND(J6*M19/(1+'数据-取费表'!C42),2),ROUND(C29*M19*0.7,2))</f>
        <v>367.42</v>
      </c>
      <c r="K19" s="1407" t="s">
        <v>1162</v>
      </c>
      <c r="L19" s="300" t="s">
        <v>1146</v>
      </c>
      <c r="M19" s="320">
        <f>IF(K19="按租金收入计税",'数据-取费表'!B51,'数据-取费表'!B50)</f>
        <v>1.2E-2</v>
      </c>
    </row>
    <row r="20" spans="1:37" s="1433" customFormat="1" ht="18" customHeight="1">
      <c r="A20" s="1035" t="s">
        <v>826</v>
      </c>
      <c r="B20" s="300" t="s">
        <v>1163</v>
      </c>
      <c r="C20" s="24">
        <f ca="1">ROUND(C19*F20,0)</f>
        <v>999</v>
      </c>
      <c r="D20" s="321" t="s">
        <v>1164</v>
      </c>
      <c r="E20" s="300" t="s">
        <v>1146</v>
      </c>
      <c r="F20" s="320">
        <f>'数据-取费表'!B37</f>
        <v>0.03</v>
      </c>
      <c r="G20" s="1432"/>
      <c r="H20" s="1035" t="s">
        <v>1113</v>
      </c>
      <c r="I20" s="152" t="s">
        <v>1165</v>
      </c>
      <c r="J20" s="25">
        <f ca="1">ROUND(M20*M21/10000,2)</f>
        <v>4.67</v>
      </c>
      <c r="K20" s="322" t="s">
        <v>1166</v>
      </c>
      <c r="L20" s="300" t="s">
        <v>1167</v>
      </c>
      <c r="M20" s="323">
        <f>'数据-取费表'!B52</f>
        <v>3</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0.03</v>
      </c>
      <c r="G21" s="1432"/>
      <c r="H21" s="324"/>
      <c r="I21" s="309"/>
      <c r="J21" s="29"/>
      <c r="K21" s="325"/>
      <c r="L21" s="300" t="s">
        <v>1171</v>
      </c>
      <c r="M21" s="301">
        <f ca="1">INDIRECT("'数据-取费表'!r"&amp;$G$1)</f>
        <v>15570.46</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ROUND(J14*M22,1)</f>
        <v>218.7</v>
      </c>
      <c r="K22" s="1385" t="s">
        <v>1174</v>
      </c>
      <c r="L22" s="300" t="s">
        <v>1146</v>
      </c>
      <c r="M22" s="326">
        <f ca="1">INDIRECT("'数据-取费表'!Ak"&amp;$G$1)</f>
        <v>5.0000000000000001E-3</v>
      </c>
    </row>
    <row r="23" spans="1:37" s="1433" customFormat="1" ht="18" customHeight="1">
      <c r="A23" s="1035" t="s">
        <v>821</v>
      </c>
      <c r="B23" s="300" t="s">
        <v>1175</v>
      </c>
      <c r="C23" s="24">
        <f ca="1">IF('数据-取费表'!B22&lt;=1,ROUND(C19*F24*F23/2,0)+ROUND(C20*F24*F23/2,0),ROUND(C19*(POWER((1+F24),F23/2)-1),0)+ROUND(C20*(POWER((1+F24),F23/2)-1),0))</f>
        <v>2157</v>
      </c>
      <c r="D23" s="143" t="str">
        <f>IF(F23&lt;=1,"(建造成本+管理费用)×利率×(建设周期÷2)","(建造成本+管理费用)×((1+利率)^(建设周期÷2)-1)")</f>
        <v>(建造成本+管理费用)×((1+利率)^(建设周期÷2)-1)</v>
      </c>
      <c r="E23" s="300" t="s">
        <v>1176</v>
      </c>
      <c r="F23" s="323">
        <f>'数据-取费表'!B20</f>
        <v>3</v>
      </c>
      <c r="G23" s="1432"/>
      <c r="H23" s="1035" t="s">
        <v>862</v>
      </c>
      <c r="I23" s="300" t="s">
        <v>1177</v>
      </c>
      <c r="J23" s="24">
        <f ca="1">ROUND(J13*M23,1)</f>
        <v>0</v>
      </c>
      <c r="K23" s="1385" t="s">
        <v>1178</v>
      </c>
      <c r="L23" s="300" t="s">
        <v>1146</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823</v>
      </c>
      <c r="B24" s="300" t="s">
        <v>1181</v>
      </c>
      <c r="C24" s="24">
        <f ca="1">ROUND(IF('数据-取费表'!B22&lt;=1,F21*F24*F23/2,F21*(POWER((1+F24),F23/2)-1)),4)</f>
        <v>1.9E-3</v>
      </c>
      <c r="D24" s="143" t="str">
        <f>IF(F23&lt;=1,"销售费用×利率×(建设周期÷2)","销售费用×((1+利率)^(建设周期÷2)-1)")</f>
        <v>销售费用×((1+利率)^(建设周期÷2)-1)</v>
      </c>
      <c r="E24" s="300" t="s">
        <v>1182</v>
      </c>
      <c r="F24" s="328">
        <f ca="1">'数据-取费表'!B40</f>
        <v>4.1499999999999995E-2</v>
      </c>
      <c r="G24" s="1432"/>
      <c r="H24" s="1134" t="s">
        <v>1116</v>
      </c>
      <c r="I24" s="1135" t="s">
        <v>1163</v>
      </c>
      <c r="J24" s="1136">
        <f ca="1">ROUND(J5*M24,1)</f>
        <v>0</v>
      </c>
      <c r="K24" s="1137" t="s">
        <v>1183</v>
      </c>
      <c r="L24" s="1135" t="s">
        <v>1146</v>
      </c>
      <c r="M24" s="1131">
        <f ca="1">INDIRECT("'数据-取费表'!Am"&amp;$G$1)</f>
        <v>0.02</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f ca="1">J5-J16</f>
        <v>-591</v>
      </c>
      <c r="K25" s="1140" t="s">
        <v>1188</v>
      </c>
      <c r="L25" s="1141"/>
      <c r="M25" s="1142"/>
    </row>
    <row r="26" spans="1:37">
      <c r="A26" s="1035" t="s">
        <v>821</v>
      </c>
      <c r="B26" s="300" t="s">
        <v>1189</v>
      </c>
      <c r="C26" s="24">
        <f ca="1">ROUND((C19+C20)*F26,0)</f>
        <v>3430</v>
      </c>
      <c r="D26" s="321" t="s">
        <v>1190</v>
      </c>
      <c r="E26" s="311" t="s">
        <v>1191</v>
      </c>
      <c r="F26" s="310">
        <f ca="1">INDIRECT("'数据-取费表'!q"&amp;$G$1)</f>
        <v>0.1</v>
      </c>
      <c r="G26" s="1421"/>
      <c r="H26" s="297" t="s">
        <v>819</v>
      </c>
      <c r="I26" s="298" t="s">
        <v>1192</v>
      </c>
      <c r="J26" s="299">
        <f ca="1">IF(J5&lt;&gt;0,ROUND(J25*(1-((1+M28)/(1+M26))^M27)/(M26-M28),0),0)</f>
        <v>0</v>
      </c>
      <c r="K26" s="322" t="s">
        <v>1193</v>
      </c>
      <c r="L26" s="300" t="s">
        <v>1194</v>
      </c>
      <c r="M26" s="310">
        <f ca="1">INDIRECT("'数据-取费表'!I"&amp;$G$1)</f>
        <v>0.05</v>
      </c>
    </row>
    <row r="27" spans="1:37" ht="18" customHeight="1">
      <c r="A27" s="1035" t="s">
        <v>823</v>
      </c>
      <c r="B27" s="300" t="s">
        <v>1195</v>
      </c>
      <c r="C27" s="24">
        <f ca="1">ROUND(F21*F26,4)</f>
        <v>3.0000000000000001E-3</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5.33E-2</v>
      </c>
      <c r="D28" s="321" t="s">
        <v>1200</v>
      </c>
      <c r="E28" s="300" t="s">
        <v>1146</v>
      </c>
      <c r="F28" s="320">
        <f>'数据-取费表'!B41</f>
        <v>5.6000000000000001E-2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43741</v>
      </c>
      <c r="D29" s="1137"/>
      <c r="E29" s="1135"/>
      <c r="F29" s="1138"/>
      <c r="G29" s="1432"/>
      <c r="H29" s="331" t="s">
        <v>820</v>
      </c>
      <c r="I29" s="332" t="s">
        <v>1203</v>
      </c>
      <c r="J29" s="333">
        <f ca="1">ROUND(J26/(1+F40)^F41,0)</f>
        <v>0</v>
      </c>
      <c r="K29" s="334" t="s">
        <v>1204</v>
      </c>
      <c r="L29" s="335"/>
      <c r="M29" s="336">
        <f ca="1">INDIRECT("'数据-取费表'!k"&amp;$G$1)</f>
        <v>60266.74</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633</v>
      </c>
      <c r="D30" s="1132" t="s">
        <v>1149</v>
      </c>
      <c r="E30" s="1133"/>
      <c r="F30" s="1117"/>
      <c r="G30" s="1421"/>
      <c r="H30" s="2632"/>
      <c r="I30" s="1434"/>
      <c r="J30" s="1435"/>
      <c r="K30" s="126"/>
      <c r="L30" s="2633"/>
      <c r="M30" s="2634"/>
    </row>
    <row r="31" spans="1:37" ht="18" customHeight="1">
      <c r="A31" s="1035" t="s">
        <v>822</v>
      </c>
      <c r="B31" s="300" t="s">
        <v>1153</v>
      </c>
      <c r="C31" s="2297">
        <f ca="1">ROUND(IF(AND(项目基本情况!B11="自然人",项目基本情况!B10="北京市"),C6*F31/(1+'数据-取费表'!C42),C32+C33+C34),0)</f>
        <v>337</v>
      </c>
      <c r="D31" s="1386" t="s">
        <v>1154</v>
      </c>
      <c r="E31" s="1385" t="s">
        <v>1205</v>
      </c>
      <c r="F31" s="2296" t="str">
        <f>IF(项目基本情况!B11="企业","——",IF('数据-取费表'!B10="住宅",IF(F6*F7*F8/12/(1+'数据-取费表'!F30)&gt;100000,4%,2.5%),IF(F6*F7*F8/12/(1+'数据-取费表'!F30)&gt;100000,12%,7%)))</f>
        <v>——</v>
      </c>
      <c r="G31" s="1421"/>
      <c r="H31" s="2733" t="s">
        <v>2805</v>
      </c>
      <c r="I31" s="1434"/>
      <c r="J31" s="1435"/>
      <c r="K31" s="126"/>
      <c r="L31" s="2633"/>
      <c r="M31" s="2634"/>
    </row>
    <row r="32" spans="1:37" ht="18" customHeight="1">
      <c r="A32" s="1035" t="s">
        <v>821</v>
      </c>
      <c r="B32" s="300" t="s">
        <v>1157</v>
      </c>
      <c r="C32" s="24">
        <f ca="1">IF(项目基本情况!B11="自然人","——",ROUND(C6*F32/(1+'数据-取费表'!C42),2))</f>
        <v>105.6</v>
      </c>
      <c r="D32" s="1385" t="s">
        <v>1158</v>
      </c>
      <c r="E32" s="300" t="s">
        <v>1146</v>
      </c>
      <c r="F32" s="328">
        <f>'数据-取费表'!B41</f>
        <v>5.6000000000000001E-2</v>
      </c>
      <c r="G32" s="1421"/>
      <c r="H32" s="2632"/>
      <c r="I32" s="1434"/>
      <c r="J32" s="1435"/>
      <c r="K32" s="126"/>
      <c r="L32" s="2633"/>
      <c r="M32" s="2634"/>
    </row>
    <row r="33" spans="1:18" ht="18" customHeight="1">
      <c r="A33" s="1035" t="s">
        <v>823</v>
      </c>
      <c r="B33" s="300" t="s">
        <v>1161</v>
      </c>
      <c r="C33" s="24">
        <f ca="1">IF(项目基本情况!B11="自然人","——",IF(D33="按租金收入计税",ROUND(C6*F33/(1+'数据-取费表'!C42),2),IF(D33="按房产原值计税",ROUND(C29*F33*0.7,2),INDIRECT("'数据-取费表'!Aj"&amp;$G$1))))</f>
        <v>226.29</v>
      </c>
      <c r="D33" s="1407" t="s">
        <v>3754</v>
      </c>
      <c r="E33" s="300" t="s">
        <v>1146</v>
      </c>
      <c r="F33" s="320">
        <f>IF(D33="按票据","——",IF(D33="按租金收入计税",'数据-取费表'!B51,'数据-取费表'!B50))</f>
        <v>0.12</v>
      </c>
      <c r="G33" s="1421"/>
      <c r="H33" s="2635"/>
      <c r="I33" s="1434"/>
      <c r="J33" s="1435"/>
      <c r="K33" s="2636"/>
      <c r="L33" s="2635"/>
      <c r="M33" s="2635"/>
    </row>
    <row r="34" spans="1:18" ht="18" customHeight="1">
      <c r="A34" s="1114" t="s">
        <v>1113</v>
      </c>
      <c r="B34" s="152" t="s">
        <v>1165</v>
      </c>
      <c r="C34" s="25">
        <f ca="1">IF(项目基本情况!B11="自然人","——",ROUND(F34*F35/10000,2))</f>
        <v>4.67</v>
      </c>
      <c r="D34" s="322" t="s">
        <v>1166</v>
      </c>
      <c r="E34" s="300" t="s">
        <v>1167</v>
      </c>
      <c r="F34" s="323">
        <f>'数据-取费表'!B52</f>
        <v>3</v>
      </c>
      <c r="G34" s="1421"/>
      <c r="H34" s="2632"/>
      <c r="I34" s="1434"/>
      <c r="J34" s="1435"/>
      <c r="K34" s="2637"/>
      <c r="L34" s="2638"/>
      <c r="M34" s="2638"/>
    </row>
    <row r="35" spans="1:18" ht="18" customHeight="1">
      <c r="A35" s="1148"/>
      <c r="B35" s="1146"/>
      <c r="C35" s="29"/>
      <c r="D35" s="325"/>
      <c r="E35" s="300" t="s">
        <v>1171</v>
      </c>
      <c r="F35" s="301">
        <f ca="1">INDIRECT("'数据-取费表'!r"&amp;$G$1)</f>
        <v>15570.46</v>
      </c>
      <c r="G35" s="1421"/>
      <c r="H35" s="2632"/>
      <c r="I35" s="1434"/>
      <c r="J35" s="1435"/>
      <c r="K35" s="2636"/>
      <c r="L35" s="2635"/>
      <c r="M35" s="2635"/>
    </row>
    <row r="36" spans="1:18" ht="18" customHeight="1">
      <c r="A36" s="1147" t="s">
        <v>826</v>
      </c>
      <c r="B36" s="300" t="s">
        <v>1173</v>
      </c>
      <c r="C36" s="24">
        <f ca="1">ROUND(C29*F36,1)</f>
        <v>218.7</v>
      </c>
      <c r="D36" s="1385" t="s">
        <v>1206</v>
      </c>
      <c r="E36" s="300" t="s">
        <v>1146</v>
      </c>
      <c r="F36" s="326">
        <f ca="1">INDIRECT("'数据-取费表'!Ak"&amp;$G$1)</f>
        <v>5.0000000000000001E-3</v>
      </c>
      <c r="G36" s="1421"/>
      <c r="H36" s="2635"/>
      <c r="I36" s="1434"/>
      <c r="J36" s="1435"/>
      <c r="K36" s="2493"/>
      <c r="L36" s="2635"/>
      <c r="M36" s="2635"/>
    </row>
    <row r="37" spans="1:18" ht="18" customHeight="1">
      <c r="A37" s="1035" t="s">
        <v>862</v>
      </c>
      <c r="B37" s="300" t="s">
        <v>1177</v>
      </c>
      <c r="C37" s="24">
        <f ca="1">ROUND(C13*F37,1)</f>
        <v>38.1</v>
      </c>
      <c r="D37" s="1385" t="s">
        <v>1178</v>
      </c>
      <c r="E37" s="300" t="s">
        <v>1146</v>
      </c>
      <c r="F37" s="327">
        <f ca="1">INDIRECT("'数据-取费表'!Al"&amp;$G$1)</f>
        <v>1E-3</v>
      </c>
      <c r="G37" s="1421"/>
      <c r="H37" s="2635"/>
      <c r="I37" s="1434"/>
      <c r="J37" s="1435"/>
      <c r="K37" s="2493"/>
      <c r="L37" s="2635"/>
      <c r="M37" s="2635"/>
    </row>
    <row r="38" spans="1:18" ht="18" customHeight="1" thickBot="1">
      <c r="A38" s="1134" t="s">
        <v>1116</v>
      </c>
      <c r="B38" s="1135" t="s">
        <v>1163</v>
      </c>
      <c r="C38" s="1136">
        <f ca="1">ROUND(C5*F38,1)</f>
        <v>39.6</v>
      </c>
      <c r="D38" s="1137" t="s">
        <v>1183</v>
      </c>
      <c r="E38" s="1135" t="s">
        <v>1146</v>
      </c>
      <c r="F38" s="1131">
        <f ca="1">INDIRECT("'数据-取费表'!Am"&amp;$G$1)</f>
        <v>0.02</v>
      </c>
      <c r="G38" s="1421"/>
      <c r="H38" s="2635"/>
      <c r="I38" s="1434"/>
      <c r="J38" s="1435"/>
      <c r="K38" s="2633"/>
      <c r="L38" s="2635"/>
      <c r="M38" s="2635"/>
    </row>
    <row r="39" spans="1:18" ht="24.6" customHeight="1" thickTop="1">
      <c r="A39" s="1124" t="s">
        <v>818</v>
      </c>
      <c r="B39" s="1139" t="s">
        <v>1187</v>
      </c>
      <c r="C39" s="308">
        <f ca="1">C5-C30</f>
        <v>1347</v>
      </c>
      <c r="D39" s="1140" t="s">
        <v>1188</v>
      </c>
      <c r="E39" s="1141"/>
      <c r="F39" s="1142"/>
      <c r="G39" s="1421"/>
      <c r="H39" s="2635"/>
      <c r="I39" s="1434"/>
      <c r="J39" s="1435"/>
      <c r="K39" s="2633"/>
      <c r="L39" s="2635"/>
      <c r="M39" s="2635"/>
    </row>
    <row r="40" spans="1:18" ht="18" customHeight="1">
      <c r="A40" s="297" t="s">
        <v>819</v>
      </c>
      <c r="B40" s="298" t="s">
        <v>1209</v>
      </c>
      <c r="C40" s="299">
        <f ca="1">ROUND(C39*(1-((1+F42)/(1+F40))^F41)/(F40-F42),0)</f>
        <v>34549</v>
      </c>
      <c r="D40" s="322" t="s">
        <v>1193</v>
      </c>
      <c r="E40" s="300" t="s">
        <v>1194</v>
      </c>
      <c r="F40" s="310">
        <f ca="1">INDIRECT("'数据-取费表'!I"&amp;$G$1)</f>
        <v>0.05</v>
      </c>
      <c r="G40" s="1421"/>
      <c r="H40" s="1495"/>
      <c r="I40" s="1434"/>
      <c r="J40" s="1435"/>
      <c r="K40" s="2633"/>
      <c r="L40" s="1495"/>
      <c r="M40" s="1495"/>
    </row>
    <row r="41" spans="1:18" ht="18" customHeight="1">
      <c r="A41" s="302"/>
      <c r="B41" s="303"/>
      <c r="C41" s="304"/>
      <c r="D41" s="329" t="s">
        <v>1210</v>
      </c>
      <c r="E41" s="300" t="s">
        <v>1198</v>
      </c>
      <c r="F41" s="330">
        <f ca="1">IF(INDIRECT("'数据-取费表'!af"&amp;$G$1)=0,INDIRECT("'数据-取费表'!ae"&amp;$G$1),INDIRECT("'数据-取费表'!af"&amp;$G$1))</f>
        <v>37.409999999999997</v>
      </c>
      <c r="G41" s="1421"/>
      <c r="H41" s="126"/>
      <c r="I41" s="1434"/>
      <c r="J41" s="1435"/>
      <c r="K41" s="2493"/>
      <c r="L41" s="126"/>
      <c r="M41" s="126"/>
    </row>
    <row r="42" spans="1:18" ht="18" customHeight="1">
      <c r="A42" s="306"/>
      <c r="B42" s="307"/>
      <c r="C42" s="308"/>
      <c r="D42" s="325"/>
      <c r="E42" s="300" t="s">
        <v>1201</v>
      </c>
      <c r="F42" s="310">
        <f ca="1">INDIRECT("'数据-取费表'!v"&amp;$G$1)</f>
        <v>0.03</v>
      </c>
      <c r="G42" s="1421"/>
      <c r="H42" s="126"/>
      <c r="I42" s="1434"/>
      <c r="J42" s="1435"/>
      <c r="K42" s="2493"/>
      <c r="L42" s="126"/>
      <c r="M42" s="126"/>
    </row>
    <row r="43" spans="1:18" ht="18" customHeight="1" thickBot="1">
      <c r="A43" s="331" t="s">
        <v>820</v>
      </c>
      <c r="B43" s="332" t="s">
        <v>1211</v>
      </c>
      <c r="C43" s="333">
        <f ca="1">ROUND(C40*10000/F43,0)</f>
        <v>5733</v>
      </c>
      <c r="D43" s="334" t="s">
        <v>1212</v>
      </c>
      <c r="E43" s="335" t="s">
        <v>1213</v>
      </c>
      <c r="F43" s="336">
        <f ca="1">INDIRECT("'数据-取费表'!k"&amp;$G$1)</f>
        <v>60266.74</v>
      </c>
      <c r="G43" s="1421"/>
      <c r="H43" s="126"/>
      <c r="I43" s="126"/>
      <c r="J43" s="126"/>
      <c r="K43" s="2493"/>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39" t="s">
        <v>1243</v>
      </c>
      <c r="P45" s="1495"/>
      <c r="Q45" s="1495"/>
      <c r="R45" s="1495"/>
    </row>
    <row r="46" spans="1:18" s="1421" customFormat="1" ht="13.5" thickBot="1">
      <c r="A46" s="1440" t="s">
        <v>1244</v>
      </c>
      <c r="C46" s="1441">
        <f ca="1">C68-C40</f>
        <v>-100581</v>
      </c>
      <c r="D46" s="1442" t="str">
        <f>C2</f>
        <v>万元</v>
      </c>
      <c r="E46" s="1436"/>
      <c r="F46" s="1436"/>
      <c r="I46" s="1443" t="s">
        <v>1245</v>
      </c>
      <c r="J46" s="1444"/>
      <c r="K46" s="1445"/>
      <c r="L46" s="1446">
        <f ca="1">IF(M47="住宅",0,IF(L48&gt;J51,L60,J60))</f>
        <v>1169</v>
      </c>
      <c r="O46" s="1447" t="s">
        <v>1246</v>
      </c>
      <c r="P46" s="1448" t="s">
        <v>1247</v>
      </c>
      <c r="Q46" s="1449" t="s">
        <v>1248</v>
      </c>
      <c r="R46" s="1449" t="s">
        <v>1249</v>
      </c>
    </row>
    <row r="47" spans="1:18" s="1421" customFormat="1" ht="13.5" thickBot="1">
      <c r="A47" s="999" t="s">
        <v>1120</v>
      </c>
      <c r="B47" s="1031" t="s">
        <v>1121</v>
      </c>
      <c r="C47" s="1162" t="s">
        <v>1122</v>
      </c>
      <c r="D47" s="1031" t="s">
        <v>1123</v>
      </c>
      <c r="E47" s="1102" t="s">
        <v>1124</v>
      </c>
      <c r="F47" s="1103"/>
      <c r="G47" s="690"/>
      <c r="I47" s="1450" t="s">
        <v>1250</v>
      </c>
      <c r="J47" s="1451" t="s">
        <v>3755</v>
      </c>
      <c r="K47" s="1452" t="s">
        <v>1251</v>
      </c>
      <c r="L47" s="1453">
        <f ca="1">INDIRECT("'数据-取费表'!d"&amp;$G$1)</f>
        <v>50</v>
      </c>
      <c r="M47" s="1417" t="str">
        <f>IF(ISNUMBER(FIND("住宅",C1)),"住宅","非住宅")</f>
        <v>非住宅</v>
      </c>
      <c r="O47" s="1454" t="s">
        <v>827</v>
      </c>
      <c r="P47" s="1455" t="s">
        <v>1252</v>
      </c>
      <c r="Q47" s="1456">
        <f ca="1">C40+J29</f>
        <v>34549</v>
      </c>
      <c r="R47" s="1456" t="s">
        <v>1253</v>
      </c>
    </row>
    <row r="48" spans="1:18" s="1421" customFormat="1" ht="28.5" thickBot="1">
      <c r="A48" s="1155" t="s">
        <v>863</v>
      </c>
      <c r="B48" s="298" t="s">
        <v>1125</v>
      </c>
      <c r="C48" s="1397">
        <f ca="1">C49+C53+C55</f>
        <v>0</v>
      </c>
      <c r="D48" s="1157"/>
      <c r="E48" s="1158"/>
      <c r="F48" s="1015"/>
      <c r="G48" s="690"/>
      <c r="H48" s="691"/>
      <c r="I48" s="1457" t="s">
        <v>1254</v>
      </c>
      <c r="J48" s="1458" t="s">
        <v>3756</v>
      </c>
      <c r="K48" s="1459" t="s">
        <v>1255</v>
      </c>
      <c r="L48" s="1460">
        <f ca="1">INDIRECT("'数据-取费表'!f"&amp;$G$1)</f>
        <v>37.409999999999997</v>
      </c>
      <c r="O48" s="1454" t="s">
        <v>828</v>
      </c>
      <c r="P48" s="1455" t="s">
        <v>1256</v>
      </c>
      <c r="Q48" s="1456">
        <f ca="1">J60</f>
        <v>1169</v>
      </c>
      <c r="R48" s="1456" t="s">
        <v>1257</v>
      </c>
    </row>
    <row r="49" spans="1:18" s="1421" customFormat="1" ht="13.5" thickBot="1">
      <c r="A49" s="1028" t="s">
        <v>864</v>
      </c>
      <c r="B49" s="1408" t="s">
        <v>1214</v>
      </c>
      <c r="C49" s="1159">
        <f ca="1">ROUND(F49*F51*F50*(1-F52)/10000,0)</f>
        <v>0</v>
      </c>
      <c r="D49" s="1099" t="s">
        <v>2603</v>
      </c>
      <c r="E49" s="1409" t="s">
        <v>1215</v>
      </c>
      <c r="F49" s="1104"/>
      <c r="H49" s="691"/>
      <c r="I49" s="1457" t="s">
        <v>1258</v>
      </c>
      <c r="J49" s="1461">
        <v>2014</v>
      </c>
      <c r="K49" s="1459" t="s">
        <v>1259</v>
      </c>
      <c r="L49" s="1462"/>
      <c r="O49" s="1463" t="s">
        <v>829</v>
      </c>
      <c r="P49" s="1455" t="s">
        <v>1260</v>
      </c>
      <c r="Q49" s="1456">
        <f ca="1">C29</f>
        <v>43741</v>
      </c>
      <c r="R49" s="1456" t="s">
        <v>1253</v>
      </c>
    </row>
    <row r="50" spans="1:18" s="1421" customFormat="1" ht="13.5" thickBot="1">
      <c r="A50" s="1029"/>
      <c r="B50" s="1032"/>
      <c r="C50" s="1163"/>
      <c r="D50" s="1006"/>
      <c r="E50" s="1100" t="s">
        <v>1130</v>
      </c>
      <c r="F50" s="1101">
        <f ca="1">F7</f>
        <v>60266.74</v>
      </c>
      <c r="H50" s="691"/>
      <c r="I50" s="1457" t="s">
        <v>1261</v>
      </c>
      <c r="J50" s="1464">
        <f>SUMPRODUCT((I63:I65=J47)*(J62:L62=J48)*(J63:L65))</f>
        <v>60</v>
      </c>
      <c r="K50" s="1459" t="s">
        <v>1262</v>
      </c>
      <c r="L50" s="1462"/>
      <c r="M50" s="1465"/>
      <c r="O50" s="1463" t="s">
        <v>830</v>
      </c>
      <c r="P50" s="1455" t="s">
        <v>1263</v>
      </c>
      <c r="Q50" s="1466">
        <f ca="1">J58</f>
        <v>0.4</v>
      </c>
      <c r="R50" s="1456"/>
    </row>
    <row r="51" spans="1:18" s="1421" customFormat="1" ht="13.5" thickBot="1">
      <c r="A51" s="1030"/>
      <c r="B51" s="1032"/>
      <c r="C51" s="1033"/>
      <c r="D51" s="1006"/>
      <c r="E51" s="1034" t="s">
        <v>1131</v>
      </c>
      <c r="F51" s="301">
        <f ca="1">F8</f>
        <v>365</v>
      </c>
      <c r="I51" s="1467" t="s">
        <v>1264</v>
      </c>
      <c r="J51" s="1460">
        <f>IF(J49="",J50,J49+J50-YEAR('数据-取费表'!B2))</f>
        <v>52</v>
      </c>
      <c r="K51" s="1468" t="s">
        <v>1265</v>
      </c>
      <c r="L51" s="1469">
        <f ca="1">ROUND(-PV(INDIRECT("'数据-取费表'!h"&amp;$G$1),J51,(C39-C13*C76),0),0)</f>
        <v>-30096</v>
      </c>
      <c r="M51" s="1470"/>
      <c r="O51" s="1463" t="s">
        <v>831</v>
      </c>
      <c r="P51" s="1455" t="s">
        <v>1266</v>
      </c>
      <c r="Q51" s="1466">
        <f>J52</f>
        <v>7.4999999999999997E-2</v>
      </c>
      <c r="R51" s="1456"/>
    </row>
    <row r="52" spans="1:18" s="1421" customFormat="1" ht="13.5" thickBot="1">
      <c r="A52" s="1030"/>
      <c r="B52" s="1032"/>
      <c r="C52" s="1033"/>
      <c r="D52" s="1006"/>
      <c r="E52" s="1034" t="s">
        <v>1132</v>
      </c>
      <c r="F52" s="1098"/>
      <c r="I52" s="1471" t="s">
        <v>1267</v>
      </c>
      <c r="J52" s="1472">
        <v>7.4999999999999997E-2</v>
      </c>
      <c r="K52" s="1471" t="s">
        <v>1268</v>
      </c>
      <c r="L52" s="1472"/>
      <c r="O52" s="1463" t="s">
        <v>832</v>
      </c>
      <c r="P52" s="1455" t="s">
        <v>1269</v>
      </c>
      <c r="Q52" s="1456">
        <f ca="1">J53</f>
        <v>37.409999999999997</v>
      </c>
      <c r="R52" s="1456" t="s">
        <v>1270</v>
      </c>
    </row>
    <row r="53" spans="1:18" s="1421" customFormat="1" ht="24.75" thickBot="1">
      <c r="A53" s="1189" t="s">
        <v>865</v>
      </c>
      <c r="B53" s="1410" t="s">
        <v>1133</v>
      </c>
      <c r="C53" s="314">
        <f ca="1">ROUND(IF(F53="押一",C49/12*F11,IF(F53="押二",C49/12*2*F11,IF(F53="押三",C49/12*3*F11,C54*F11))),0)</f>
        <v>0</v>
      </c>
      <c r="D53" s="155" t="s">
        <v>2611</v>
      </c>
      <c r="E53" s="311" t="s">
        <v>1134</v>
      </c>
      <c r="F53" s="1161"/>
      <c r="I53" s="1473" t="s">
        <v>1271</v>
      </c>
      <c r="J53" s="2163">
        <f ca="1">IF(M47="住宅",IF(D1="——",MAX(J51,L48),MAX(J51,L48-'数据-取费表'!B24)),IF(D1="——",MIN(J51,L48),MIN(J51,L48-'数据-取费表'!B24)))</f>
        <v>37.409999999999997</v>
      </c>
      <c r="K53" s="3387" t="s">
        <v>1272</v>
      </c>
      <c r="L53" s="3388"/>
      <c r="O53" s="1454" t="s">
        <v>833</v>
      </c>
      <c r="P53" s="1455" t="s">
        <v>1273</v>
      </c>
      <c r="Q53" s="1456">
        <f ca="1">Q47+Q48</f>
        <v>35718</v>
      </c>
      <c r="R53" s="1456" t="s">
        <v>834</v>
      </c>
    </row>
    <row r="54" spans="1:18" s="1421" customFormat="1" ht="13.5"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f ca="1">ROUND(IF(J47="钢混",J57/J50,1-(1-2%)*(J50-J57)/J50),3)</f>
        <v>0.24299999999999999</v>
      </c>
      <c r="K55" s="1479" t="s">
        <v>1276</v>
      </c>
      <c r="L55" s="1480" t="s">
        <v>1277</v>
      </c>
      <c r="O55" s="1447" t="s">
        <v>1246</v>
      </c>
      <c r="P55" s="1448" t="s">
        <v>1247</v>
      </c>
      <c r="Q55" s="1449" t="s">
        <v>1248</v>
      </c>
      <c r="R55" s="1449" t="s">
        <v>1249</v>
      </c>
    </row>
    <row r="56" spans="1:18" s="1421" customFormat="1" ht="25.5" thickTop="1" thickBot="1">
      <c r="A56" s="1010">
        <v>2</v>
      </c>
      <c r="B56" s="1011" t="s">
        <v>1138</v>
      </c>
      <c r="C56" s="230">
        <f ca="1">C13</f>
        <v>38055</v>
      </c>
      <c r="D56" s="1481"/>
      <c r="E56" s="1482"/>
      <c r="F56" s="1474"/>
      <c r="I56" s="1483" t="s">
        <v>1278</v>
      </c>
      <c r="J56" s="1484" t="s">
        <v>3730</v>
      </c>
      <c r="K56" s="1457" t="s">
        <v>1279</v>
      </c>
      <c r="L56" s="1460" t="str">
        <f ca="1">IF(L48&lt;J51,"——",L48-J53)</f>
        <v>——</v>
      </c>
      <c r="O56" s="1454" t="s">
        <v>827</v>
      </c>
      <c r="P56" s="1455" t="s">
        <v>1252</v>
      </c>
      <c r="Q56" s="1456">
        <f ca="1">C40+J29</f>
        <v>34549</v>
      </c>
      <c r="R56" s="1456" t="s">
        <v>1253</v>
      </c>
    </row>
    <row r="57" spans="1:18" s="1421" customFormat="1" ht="24.75" thickBot="1">
      <c r="A57" s="1485"/>
      <c r="B57" s="1003" t="s">
        <v>1202</v>
      </c>
      <c r="C57" s="236">
        <f ca="1">C29</f>
        <v>43741</v>
      </c>
      <c r="D57" s="1486"/>
      <c r="E57" s="1487"/>
      <c r="F57" s="1488"/>
      <c r="I57" s="1489" t="s">
        <v>1280</v>
      </c>
      <c r="J57" s="1490">
        <f ca="1">IF(OR(M47="住宅",J51&lt;L48,J56="是"),"——",J51-L48)</f>
        <v>14.590000000000003</v>
      </c>
      <c r="K57" s="1457" t="s">
        <v>1281</v>
      </c>
      <c r="L57" s="1460" t="str">
        <f ca="1">IF(L48&lt;J51,"——",IF(L55="比较法",L49,IF(L55="基准地价",L50,L51)))</f>
        <v>——</v>
      </c>
      <c r="O57" s="1454" t="s">
        <v>828</v>
      </c>
      <c r="P57" s="1455" t="s">
        <v>1282</v>
      </c>
      <c r="Q57" s="1456">
        <f ca="1">L60</f>
        <v>0</v>
      </c>
      <c r="R57" s="1456" t="s">
        <v>1283</v>
      </c>
    </row>
    <row r="58" spans="1:18" s="1421" customFormat="1" ht="24.75" thickBot="1">
      <c r="A58" s="313" t="s">
        <v>817</v>
      </c>
      <c r="B58" s="1011" t="s">
        <v>1148</v>
      </c>
      <c r="C58" s="314">
        <f ca="1">ROUND(C59+C64+C65+C66,0)</f>
        <v>3936</v>
      </c>
      <c r="D58" s="1013" t="s">
        <v>1149</v>
      </c>
      <c r="E58" s="1014"/>
      <c r="F58" s="1015"/>
      <c r="I58" s="1489" t="s">
        <v>1284</v>
      </c>
      <c r="J58" s="1491">
        <f ca="1">IF(J55&lt;0.4,0.4,J55)</f>
        <v>0.4</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4.75" thickBot="1">
      <c r="A59" s="1035" t="s">
        <v>822</v>
      </c>
      <c r="B59" s="1003" t="s">
        <v>1153</v>
      </c>
      <c r="C59" s="2297">
        <f ca="1">ROUND(IF(AND(项目基本情况!B11="自然人",项目基本情况!B10="北京市"),C49*F59/(1+'数据-取费表'!C42),C60+C61+C62),0)</f>
        <v>3679</v>
      </c>
      <c r="D59" s="1016" t="s">
        <v>1154</v>
      </c>
      <c r="E59" s="1017" t="s">
        <v>1155</v>
      </c>
      <c r="F59" s="2296" t="str">
        <f>IF(项目基本情况!B11="企业","——",IF('数据-取费表'!B10="住宅",IF(F49*F50*F51/12/(1+'数据-取费表'!F30)&gt;100000,4%,2.5%),IF(F49*F50*F51/12/(1+'数据-取费表'!F30)&gt;100000,12%,7%)))</f>
        <v>——</v>
      </c>
      <c r="I59" s="1489" t="s">
        <v>1287</v>
      </c>
      <c r="J59" s="1490">
        <f ca="1">IF(OR(M47="住宅",J51&lt;L48,J56="是"),"——",ROUND(C29*J58,0))</f>
        <v>17496</v>
      </c>
      <c r="K59" s="14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5" thickBot="1">
      <c r="A60" s="1035" t="s">
        <v>821</v>
      </c>
      <c r="B60" s="1003" t="s">
        <v>1157</v>
      </c>
      <c r="C60" s="24">
        <f ca="1">IF(项目基本情况!B11="自然人","——",ROUND(C48*F60/(1+'数据-取费表'!C42),2))</f>
        <v>0</v>
      </c>
      <c r="D60" s="1017" t="s">
        <v>1158</v>
      </c>
      <c r="E60" s="1003" t="s">
        <v>1146</v>
      </c>
      <c r="F60" s="328">
        <f t="shared" ref="F60:F66" si="0">F32</f>
        <v>5.6000000000000001E-2</v>
      </c>
      <c r="I60" s="1492" t="s">
        <v>1289</v>
      </c>
      <c r="J60" s="1493">
        <f ca="1">IF(OR(M47="住宅",J51&lt;L48,J56="是"),"0",ROUND(J59/(1+J52)^J53,0))</f>
        <v>1169</v>
      </c>
      <c r="K60" s="1494" t="s">
        <v>1290</v>
      </c>
      <c r="L60" s="1493">
        <f ca="1">IF(OR(M47="住宅",L48&lt;J51),0,ROUND(L57*(L58/L59-1),0))</f>
        <v>0</v>
      </c>
      <c r="O60" s="1463" t="s">
        <v>831</v>
      </c>
      <c r="P60" s="1455" t="s">
        <v>1291</v>
      </c>
      <c r="Q60" s="1456" t="e">
        <f ca="1">L58</f>
        <v>#DIV/0!</v>
      </c>
      <c r="R60" s="1456" t="s">
        <v>1292</v>
      </c>
    </row>
    <row r="61" spans="1:18" s="1421" customFormat="1" ht="13.5" thickBot="1">
      <c r="A61" s="1035" t="s">
        <v>1216</v>
      </c>
      <c r="B61" s="1003" t="s">
        <v>1161</v>
      </c>
      <c r="C61" s="24">
        <f ca="1">IF(项目基本情况!B11="自然人","——",IF(D61="按租金收入计税",ROUND(C49*F61/(1+'数据-取费表'!C42),2),IF(D61="按房产原值计税",ROUND(C57*F61*0.7,2),INDIRECT("'数据-取费表'!Aj"&amp;$G$1))))</f>
        <v>3674.24</v>
      </c>
      <c r="D61" s="1407" t="s">
        <v>1162</v>
      </c>
      <c r="E61" s="1003" t="s">
        <v>1146</v>
      </c>
      <c r="F61" s="320">
        <f t="shared" si="0"/>
        <v>0.12</v>
      </c>
      <c r="I61" s="1495"/>
      <c r="J61" s="1495"/>
      <c r="K61" s="1495"/>
      <c r="L61" s="1495"/>
      <c r="O61" s="1463" t="s">
        <v>832</v>
      </c>
      <c r="P61" s="1455" t="str">
        <f>K59</f>
        <v>建筑物剩余耐用年限下的土地年期修正系数Kn</v>
      </c>
      <c r="Q61" s="1456" t="e">
        <f ca="1">L59</f>
        <v>#DIV/0!</v>
      </c>
      <c r="R61" s="1456" t="s">
        <v>1293</v>
      </c>
    </row>
    <row r="62" spans="1:18" s="1421" customFormat="1" ht="13.5" thickBot="1">
      <c r="A62" s="1035" t="s">
        <v>1219</v>
      </c>
      <c r="B62" s="1002" t="s">
        <v>1165</v>
      </c>
      <c r="C62" s="25">
        <f ca="1">IF(项目基本情况!B11="自然人","——",ROUND(F62*F63/10000,2))</f>
        <v>4.67</v>
      </c>
      <c r="D62" s="1018" t="s">
        <v>1166</v>
      </c>
      <c r="E62" s="1003" t="s">
        <v>1167</v>
      </c>
      <c r="F62" s="323">
        <f t="shared" si="0"/>
        <v>3</v>
      </c>
      <c r="I62" s="1496" t="s">
        <v>1294</v>
      </c>
      <c r="J62" s="618" t="s">
        <v>1295</v>
      </c>
      <c r="K62" s="618" t="s">
        <v>1296</v>
      </c>
      <c r="L62" s="618" t="s">
        <v>1297</v>
      </c>
      <c r="M62" s="1497" t="s">
        <v>1298</v>
      </c>
      <c r="O62" s="1454" t="s">
        <v>833</v>
      </c>
      <c r="P62" s="1455" t="s">
        <v>1273</v>
      </c>
      <c r="Q62" s="1456">
        <f ca="1">Q56+Q57</f>
        <v>34549</v>
      </c>
      <c r="R62" s="1456" t="s">
        <v>834</v>
      </c>
    </row>
    <row r="63" spans="1:18" s="1421" customFormat="1" ht="13.5" thickBot="1">
      <c r="A63" s="324"/>
      <c r="B63" s="1009"/>
      <c r="C63" s="29"/>
      <c r="D63" s="1019"/>
      <c r="E63" s="1003" t="s">
        <v>1171</v>
      </c>
      <c r="F63" s="301">
        <f t="shared" ca="1" si="0"/>
        <v>15570.46</v>
      </c>
      <c r="I63" s="1496" t="s">
        <v>1300</v>
      </c>
      <c r="J63" s="618">
        <v>70</v>
      </c>
      <c r="K63" s="618">
        <v>50</v>
      </c>
      <c r="L63" s="618">
        <v>80</v>
      </c>
      <c r="M63" s="1498">
        <v>0.02</v>
      </c>
      <c r="O63" s="1439" t="s">
        <v>1301</v>
      </c>
      <c r="P63" s="1418"/>
      <c r="Q63" s="1418"/>
      <c r="R63" s="1418"/>
    </row>
    <row r="64" spans="1:18" s="1421" customFormat="1" ht="13.5" thickBot="1">
      <c r="A64" s="1035" t="s">
        <v>826</v>
      </c>
      <c r="B64" s="1003" t="s">
        <v>1173</v>
      </c>
      <c r="C64" s="24">
        <f ca="1">ROUND(C57*F64,1)</f>
        <v>218.7</v>
      </c>
      <c r="D64" s="1017" t="s">
        <v>1206</v>
      </c>
      <c r="E64" s="1003" t="s">
        <v>1146</v>
      </c>
      <c r="F64" s="326">
        <f t="shared" ca="1" si="0"/>
        <v>5.0000000000000001E-3</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ROUND(C56*F65,1)</f>
        <v>38.1</v>
      </c>
      <c r="D65" s="1017" t="s">
        <v>1178</v>
      </c>
      <c r="E65" s="1003" t="s">
        <v>1146</v>
      </c>
      <c r="F65" s="327">
        <f t="shared" ca="1" si="0"/>
        <v>1E-3</v>
      </c>
      <c r="I65" s="1496" t="s">
        <v>1303</v>
      </c>
      <c r="J65" s="618">
        <v>40</v>
      </c>
      <c r="K65" s="618">
        <v>30</v>
      </c>
      <c r="L65" s="618">
        <v>50</v>
      </c>
      <c r="M65" s="1498">
        <v>0.02</v>
      </c>
      <c r="O65" s="1454" t="s">
        <v>827</v>
      </c>
      <c r="P65" s="1455" t="s">
        <v>1252</v>
      </c>
      <c r="Q65" s="1456">
        <f ca="1">C40+J29</f>
        <v>34549</v>
      </c>
      <c r="R65" s="1456" t="s">
        <v>1253</v>
      </c>
    </row>
    <row r="66" spans="1:18" s="1421" customFormat="1" ht="16.5" thickBot="1">
      <c r="A66" s="1035" t="s">
        <v>1228</v>
      </c>
      <c r="B66" s="1003" t="s">
        <v>1163</v>
      </c>
      <c r="C66" s="24">
        <f ca="1">ROUND(C48*F66,1)</f>
        <v>0</v>
      </c>
      <c r="D66" s="1017" t="s">
        <v>1183</v>
      </c>
      <c r="E66" s="1003" t="s">
        <v>1146</v>
      </c>
      <c r="F66" s="310">
        <f t="shared" ca="1" si="0"/>
        <v>0.02</v>
      </c>
      <c r="O66" s="1454" t="s">
        <v>828</v>
      </c>
      <c r="P66" s="1455" t="s">
        <v>1282</v>
      </c>
      <c r="Q66" s="1456">
        <f ca="1">L60</f>
        <v>0</v>
      </c>
      <c r="R66" s="1456" t="s">
        <v>1305</v>
      </c>
    </row>
    <row r="67" spans="1:18" s="1421" customFormat="1" ht="16.5" thickBot="1">
      <c r="A67" s="1010" t="s">
        <v>818</v>
      </c>
      <c r="B67" s="1020" t="s">
        <v>1187</v>
      </c>
      <c r="C67" s="314">
        <f ca="1">C48-C58</f>
        <v>-3936</v>
      </c>
      <c r="D67" s="1016" t="s">
        <v>1188</v>
      </c>
      <c r="E67" s="1021"/>
      <c r="F67" s="1022"/>
      <c r="O67" s="1463" t="s">
        <v>829</v>
      </c>
      <c r="P67" s="1455" t="s">
        <v>1286</v>
      </c>
      <c r="Q67" s="1499">
        <f ca="1">L51</f>
        <v>-30096</v>
      </c>
      <c r="R67" s="1456" t="s">
        <v>1306</v>
      </c>
    </row>
    <row r="68" spans="1:18" s="1421" customFormat="1" ht="16.5" thickBot="1">
      <c r="A68" s="1000" t="s">
        <v>819</v>
      </c>
      <c r="B68" s="1001" t="s">
        <v>1209</v>
      </c>
      <c r="C68" s="299">
        <f ca="1">ROUND(C67*(1-((1+F70)/(1+F68))^F69)/(F68-F70),0)</f>
        <v>-66032</v>
      </c>
      <c r="D68" s="1018" t="s">
        <v>1193</v>
      </c>
      <c r="E68" s="1003" t="s">
        <v>1194</v>
      </c>
      <c r="F68" s="310">
        <f ca="1">F40</f>
        <v>0.05</v>
      </c>
      <c r="O68" s="1463" t="s">
        <v>830</v>
      </c>
      <c r="P68" s="1500" t="s">
        <v>1307</v>
      </c>
      <c r="Q68" s="1456">
        <f ca="1">ROUND(Q69-Q70*Q71,0)</f>
        <v>-1507</v>
      </c>
      <c r="R68" s="1456" t="s">
        <v>838</v>
      </c>
    </row>
    <row r="69" spans="1:18" s="1421" customFormat="1" ht="13.5" thickBot="1">
      <c r="A69" s="1004"/>
      <c r="B69" s="1005"/>
      <c r="C69" s="304"/>
      <c r="D69" s="1023" t="s">
        <v>1197</v>
      </c>
      <c r="E69" s="1003" t="s">
        <v>1198</v>
      </c>
      <c r="F69" s="330">
        <f ca="1">F41</f>
        <v>37.409999999999997</v>
      </c>
      <c r="O69" s="1463" t="s">
        <v>835</v>
      </c>
      <c r="P69" s="1500" t="s">
        <v>1308</v>
      </c>
      <c r="Q69" s="1456">
        <f ca="1">C39</f>
        <v>1347</v>
      </c>
      <c r="R69" s="1456" t="s">
        <v>1253</v>
      </c>
    </row>
    <row r="70" spans="1:18" s="1421" customFormat="1" ht="13.5" thickBot="1">
      <c r="A70" s="1007"/>
      <c r="B70" s="1008"/>
      <c r="C70" s="308"/>
      <c r="D70" s="1019"/>
      <c r="E70" s="1003" t="s">
        <v>1201</v>
      </c>
      <c r="F70" s="1098"/>
      <c r="O70" s="1463" t="s">
        <v>836</v>
      </c>
      <c r="P70" s="1500" t="s">
        <v>1309</v>
      </c>
      <c r="Q70" s="1456">
        <f ca="1">C13</f>
        <v>38055</v>
      </c>
      <c r="R70" s="1456" t="s">
        <v>1253</v>
      </c>
    </row>
    <row r="71" spans="1:18" s="1421" customFormat="1" ht="13.5" thickBot="1">
      <c r="A71" s="1024" t="s">
        <v>820</v>
      </c>
      <c r="B71" s="1025" t="s">
        <v>1211</v>
      </c>
      <c r="C71" s="333">
        <f ca="1">ROUND(C68*10000/F71,0)</f>
        <v>-10957</v>
      </c>
      <c r="D71" s="1026" t="s">
        <v>1212</v>
      </c>
      <c r="E71" s="1027" t="s">
        <v>1213</v>
      </c>
      <c r="F71" s="336">
        <f ca="1">F43</f>
        <v>60266.74</v>
      </c>
      <c r="O71" s="1463" t="s">
        <v>837</v>
      </c>
      <c r="P71" s="1500" t="s">
        <v>1310</v>
      </c>
      <c r="Q71" s="1466">
        <f ca="1">C76</f>
        <v>7.4999999999999997E-2</v>
      </c>
      <c r="R71" s="1456"/>
    </row>
    <row r="72" spans="1:18" s="1421" customFormat="1" ht="13.5" thickBot="1">
      <c r="B72" s="694"/>
      <c r="C72" s="694"/>
      <c r="O72" s="1463" t="s">
        <v>831</v>
      </c>
      <c r="P72" s="1455" t="s">
        <v>1288</v>
      </c>
      <c r="Q72" s="1466">
        <f>L52</f>
        <v>0</v>
      </c>
      <c r="R72" s="1456"/>
    </row>
    <row r="73" spans="1:18" ht="16.5"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建筑物剩余耐用年限下的土地年期修正系数Kn</v>
      </c>
      <c r="Q74" s="1456" t="e">
        <f ca="1">L59</f>
        <v>#DIV/0!</v>
      </c>
      <c r="R74" s="1456" t="s">
        <v>1293</v>
      </c>
    </row>
    <row r="75" spans="1:18" ht="13.5" thickBot="1">
      <c r="A75" s="1421"/>
      <c r="B75" s="337" t="s">
        <v>1230</v>
      </c>
      <c r="C75" s="338">
        <f ca="1">ROUND(C13*C76,0)</f>
        <v>2854</v>
      </c>
      <c r="D75" s="1421"/>
      <c r="E75" s="1421"/>
      <c r="F75" s="1421"/>
      <c r="K75" s="1438"/>
      <c r="L75" s="1421"/>
      <c r="O75" s="1454" t="s">
        <v>833</v>
      </c>
      <c r="P75" s="1455" t="s">
        <v>1273</v>
      </c>
      <c r="Q75" s="1456">
        <f ca="1">Q65+Q66</f>
        <v>34549</v>
      </c>
      <c r="R75" s="1456" t="s">
        <v>834</v>
      </c>
    </row>
    <row r="76" spans="1:18">
      <c r="B76" s="339" t="s">
        <v>1231</v>
      </c>
      <c r="C76" s="340">
        <f ca="1">INDIRECT("'数据-取费表'!j"&amp;$G$1)</f>
        <v>7.4999999999999997E-2</v>
      </c>
      <c r="I76" s="1421"/>
      <c r="J76" s="1421"/>
      <c r="K76" s="1438"/>
      <c r="L76" s="1421"/>
    </row>
    <row r="77" spans="1:18">
      <c r="B77" s="341" t="s">
        <v>1232</v>
      </c>
      <c r="C77" s="342"/>
      <c r="I77" s="1421"/>
      <c r="J77" s="1421"/>
      <c r="K77" s="1438"/>
      <c r="L77" s="1421"/>
    </row>
    <row r="78" spans="1:18">
      <c r="B78" s="268" t="s">
        <v>1233</v>
      </c>
      <c r="C78" s="343"/>
    </row>
    <row r="79" spans="1:18">
      <c r="B79" s="337" t="s">
        <v>1234</v>
      </c>
      <c r="C79" s="272">
        <f ca="1">1-C80</f>
        <v>-1.1190000000000002</v>
      </c>
    </row>
    <row r="80" spans="1:18">
      <c r="B80" s="337" t="s">
        <v>1235</v>
      </c>
      <c r="C80" s="272">
        <f ca="1">ROUND(C75/C39,3)</f>
        <v>2.1190000000000002</v>
      </c>
    </row>
    <row r="81" spans="2:3">
      <c r="B81" s="268" t="s">
        <v>1236</v>
      </c>
      <c r="C81" s="236"/>
    </row>
    <row r="82" spans="2:3">
      <c r="B82" s="271" t="s">
        <v>1237</v>
      </c>
      <c r="C82" s="273">
        <f ca="1">1-C83</f>
        <v>-0.10099999999999998</v>
      </c>
    </row>
    <row r="83" spans="2:3">
      <c r="B83" s="271" t="s">
        <v>1238</v>
      </c>
      <c r="C83" s="272">
        <f ca="1">ROUND(C13/C40,3)</f>
        <v>1.101</v>
      </c>
    </row>
  </sheetData>
  <sheetProtection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E11" sqref="E11"/>
    </sheetView>
  </sheetViews>
  <sheetFormatPr defaultRowHeight="13.5"/>
  <cols>
    <col min="2" max="2" width="21" customWidth="1"/>
    <col min="3" max="3" width="19.5" customWidth="1"/>
    <col min="4" max="4" width="16.625" customWidth="1"/>
    <col min="5" max="5" width="19.375" customWidth="1"/>
    <col min="6" max="6" width="29.75" customWidth="1"/>
  </cols>
  <sheetData>
    <row r="1" spans="1:6">
      <c r="A1" s="3117" t="s">
        <v>3168</v>
      </c>
      <c r="B1" s="3117" t="s">
        <v>3788</v>
      </c>
      <c r="C1" s="3117" t="s">
        <v>3789</v>
      </c>
      <c r="D1" s="3125" t="s">
        <v>4218</v>
      </c>
      <c r="E1" s="3125" t="s">
        <v>4209</v>
      </c>
      <c r="F1" s="3126" t="s">
        <v>4210</v>
      </c>
    </row>
    <row r="2" spans="1:6">
      <c r="A2" s="3117">
        <v>1</v>
      </c>
      <c r="B2" s="3125" t="s">
        <v>4191</v>
      </c>
      <c r="C2" s="3125" t="s">
        <v>4192</v>
      </c>
      <c r="D2" s="3125"/>
      <c r="E2" s="3125" t="s">
        <v>4193</v>
      </c>
      <c r="F2" s="3117">
        <v>5.5</v>
      </c>
    </row>
    <row r="3" spans="1:6">
      <c r="A3" s="3117">
        <v>2</v>
      </c>
      <c r="B3" s="3117" t="s">
        <v>3790</v>
      </c>
      <c r="C3" s="3125" t="s">
        <v>4196</v>
      </c>
      <c r="D3" s="3125" t="s">
        <v>4219</v>
      </c>
      <c r="E3" s="3125" t="s">
        <v>4197</v>
      </c>
      <c r="F3" s="3117" t="s">
        <v>3791</v>
      </c>
    </row>
    <row r="4" spans="1:6">
      <c r="A4" s="3117">
        <v>3</v>
      </c>
      <c r="B4" s="3117" t="s">
        <v>3792</v>
      </c>
      <c r="C4" s="3125" t="s">
        <v>4198</v>
      </c>
      <c r="D4" s="3125">
        <v>40000</v>
      </c>
      <c r="E4" s="3125" t="s">
        <v>4199</v>
      </c>
      <c r="F4" s="3117">
        <v>4.8</v>
      </c>
    </row>
    <row r="5" spans="1:6">
      <c r="A5" s="3117">
        <v>4</v>
      </c>
      <c r="B5" s="3125" t="s">
        <v>4221</v>
      </c>
      <c r="C5" s="3125" t="s">
        <v>4194</v>
      </c>
      <c r="D5" s="3125" t="s">
        <v>4222</v>
      </c>
      <c r="E5" s="3125" t="s">
        <v>4195</v>
      </c>
      <c r="F5" s="3117" t="s">
        <v>3793</v>
      </c>
    </row>
    <row r="6" spans="1:6">
      <c r="A6" s="3117">
        <v>5</v>
      </c>
      <c r="B6" s="3125" t="s">
        <v>4204</v>
      </c>
      <c r="C6" s="3125" t="s">
        <v>4205</v>
      </c>
      <c r="D6" s="3125" t="s">
        <v>4220</v>
      </c>
      <c r="E6" s="3125" t="s">
        <v>4206</v>
      </c>
      <c r="F6" s="3117" t="s">
        <v>3794</v>
      </c>
    </row>
    <row r="7" spans="1:6">
      <c r="A7" s="3117">
        <v>6</v>
      </c>
      <c r="B7" s="3125" t="s">
        <v>4200</v>
      </c>
      <c r="C7" s="3125" t="s">
        <v>4202</v>
      </c>
      <c r="D7" s="3125"/>
      <c r="E7" s="3125" t="s">
        <v>4203</v>
      </c>
      <c r="F7" s="3125" t="s">
        <v>4201</v>
      </c>
    </row>
    <row r="8" spans="1:6">
      <c r="A8" s="3117">
        <v>7</v>
      </c>
      <c r="B8" s="3125" t="s">
        <v>4207</v>
      </c>
      <c r="C8" s="3125" t="s">
        <v>4208</v>
      </c>
      <c r="D8" s="3125"/>
      <c r="E8" s="3125">
        <v>4.3</v>
      </c>
      <c r="F8" s="3125">
        <v>4.8</v>
      </c>
    </row>
    <row r="9" spans="1:6">
      <c r="A9" s="757"/>
      <c r="B9" s="1578"/>
      <c r="C9" s="1578"/>
      <c r="D9" s="1578"/>
      <c r="E9" s="1578"/>
      <c r="F9" s="1578"/>
    </row>
    <row r="10" spans="1:6">
      <c r="A10" s="757"/>
      <c r="B10" s="1578"/>
      <c r="C10" s="1578"/>
      <c r="D10" s="1578"/>
      <c r="E10" s="1578"/>
      <c r="F10" s="1578"/>
    </row>
  </sheetData>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6" workbookViewId="0">
      <selection activeCell="A140" sqref="A140"/>
    </sheetView>
  </sheetViews>
  <sheetFormatPr defaultRowHeight="13.5"/>
  <sheetData/>
  <phoneticPr fontId="14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14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77" workbookViewId="0">
      <selection activeCell="A283" sqref="A283"/>
    </sheetView>
  </sheetViews>
  <sheetFormatPr defaultRowHeight="13.5"/>
  <sheetData/>
  <phoneticPr fontId="14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2104</v>
      </c>
      <c r="B1" s="1864" t="s">
        <v>2105</v>
      </c>
      <c r="C1" s="1270" t="s">
        <v>2106</v>
      </c>
      <c r="D1" s="1257"/>
      <c r="E1" s="2307"/>
      <c r="F1" s="1865" t="s">
        <v>2107</v>
      </c>
      <c r="G1" s="1267" t="s">
        <v>2108</v>
      </c>
      <c r="H1" s="1266"/>
      <c r="I1" s="1266"/>
      <c r="J1" s="1266"/>
      <c r="K1" s="1268"/>
      <c r="L1" s="1269"/>
      <c r="M1" s="1270"/>
      <c r="N1" s="1270"/>
      <c r="O1" s="1270"/>
      <c r="P1" s="1866"/>
      <c r="Q1" s="1256"/>
      <c r="R1" s="1256"/>
      <c r="S1" s="1256"/>
      <c r="T1" s="1256"/>
      <c r="U1" s="1256"/>
      <c r="V1" s="1256"/>
      <c r="W1" s="1256"/>
      <c r="X1" s="1256"/>
      <c r="Y1" s="1256"/>
      <c r="Z1" s="1256"/>
      <c r="AA1" s="1256"/>
      <c r="AB1" s="1256"/>
      <c r="AC1" s="1264"/>
    </row>
    <row r="2" spans="1:29" s="344" customFormat="1" ht="28.5" customHeight="1" thickTop="1">
      <c r="A2" s="1253" t="s">
        <v>1118</v>
      </c>
      <c r="B2" s="1195" t="e">
        <f ca="1">IF(C2="——",ROUND(C49*D3/10000,0),ROUND(C49*D3/10000,0)-D2)</f>
        <v>#DIV/0!</v>
      </c>
      <c r="C2" s="1867"/>
      <c r="D2" s="1160" t="e">
        <f ca="1">SUMIF(INDIRECT("'"&amp;F2&amp;"'"&amp;"!A:A"),"承租人权益价值",INDIRECT("'"&amp;F2&amp;"'"&amp;"!c:c"))</f>
        <v>#REF!</v>
      </c>
      <c r="E2" s="1868" t="s">
        <v>2109</v>
      </c>
      <c r="F2" s="1869"/>
      <c r="G2" s="961"/>
      <c r="H2" s="961"/>
      <c r="I2" s="961"/>
      <c r="J2" s="961"/>
      <c r="K2" s="1870"/>
      <c r="L2" s="2646"/>
      <c r="M2" s="2647"/>
      <c r="N2" s="2647"/>
      <c r="O2" s="2647"/>
      <c r="P2" s="1871"/>
      <c r="Q2" s="1872"/>
      <c r="R2" s="1872"/>
      <c r="S2" s="1872"/>
      <c r="T2" s="1872"/>
      <c r="U2" s="1872"/>
      <c r="V2" s="1872"/>
      <c r="W2" s="1872"/>
      <c r="X2" s="1872"/>
      <c r="Y2" s="1872"/>
      <c r="Z2" s="1872"/>
      <c r="AA2" s="1872"/>
      <c r="AB2" s="1872"/>
      <c r="AC2" s="1105"/>
    </row>
    <row r="3" spans="1:29" s="344" customFormat="1" ht="28.5" customHeight="1" thickBot="1">
      <c r="A3" s="201" t="s">
        <v>1119</v>
      </c>
      <c r="B3" s="349" t="e">
        <f ca="1">IF(C2="——",C49,ROUND(B2*10000/D3,0))</f>
        <v>#DIV/0!</v>
      </c>
      <c r="C3" s="350" t="s">
        <v>2110</v>
      </c>
      <c r="D3" s="349">
        <f>IF(D1="",'数据-汇总表'!E3,SUMIF('数据-汇总表'!$C19:$C33,D1,'数据-汇总表'!$E19:$E33))</f>
        <v>176954.78</v>
      </c>
      <c r="E3" s="961"/>
      <c r="F3" s="1873"/>
      <c r="G3" s="961"/>
      <c r="H3" s="961"/>
      <c r="I3" s="961"/>
      <c r="J3" s="961"/>
      <c r="K3" s="1870"/>
      <c r="L3" s="2646"/>
      <c r="M3" s="2647"/>
      <c r="N3" s="2647"/>
      <c r="O3" s="2647"/>
      <c r="P3" s="1871"/>
      <c r="Q3" s="1872"/>
      <c r="R3" s="1872"/>
      <c r="S3" s="1872"/>
      <c r="T3" s="1872"/>
      <c r="U3" s="1872"/>
      <c r="V3" s="1872"/>
      <c r="W3" s="1872"/>
      <c r="X3" s="1872"/>
      <c r="Y3" s="1872"/>
      <c r="Z3" s="1872"/>
      <c r="AA3" s="1872"/>
      <c r="AB3" s="1872"/>
      <c r="AC3" s="1105"/>
    </row>
    <row r="4" spans="1:29" ht="15">
      <c r="A4" s="351" t="s">
        <v>2111</v>
      </c>
      <c r="B4" s="352"/>
      <c r="C4" s="3361" t="s">
        <v>2112</v>
      </c>
      <c r="D4" s="3362"/>
      <c r="E4" s="3363" t="s">
        <v>2113</v>
      </c>
      <c r="F4" s="3364"/>
      <c r="G4" s="3361" t="s">
        <v>2114</v>
      </c>
      <c r="H4" s="3362"/>
      <c r="I4" s="3361" t="s">
        <v>2115</v>
      </c>
      <c r="J4" s="3362"/>
      <c r="K4" s="1874" t="s">
        <v>2116</v>
      </c>
      <c r="L4" s="2648"/>
      <c r="M4" s="2649"/>
      <c r="N4" s="2649"/>
      <c r="O4" s="2649"/>
      <c r="P4" s="3365" t="s">
        <v>2117</v>
      </c>
      <c r="Q4" s="3366"/>
      <c r="R4" s="3348" t="s">
        <v>2113</v>
      </c>
      <c r="S4" s="3349"/>
      <c r="T4" s="3348" t="s">
        <v>2114</v>
      </c>
      <c r="U4" s="3349"/>
      <c r="V4" s="3373" t="s">
        <v>2115</v>
      </c>
      <c r="W4" s="3373"/>
      <c r="X4" s="1394"/>
      <c r="Y4" s="3348" t="s">
        <v>2117</v>
      </c>
      <c r="Z4" s="3349"/>
      <c r="AA4" s="3343" t="s">
        <v>2113</v>
      </c>
      <c r="AB4" s="3343" t="s">
        <v>2114</v>
      </c>
      <c r="AC4" s="3343" t="s">
        <v>2115</v>
      </c>
    </row>
    <row r="5" spans="1:29" ht="15">
      <c r="A5" s="354"/>
      <c r="B5" s="355"/>
      <c r="C5" s="3354" t="s">
        <v>2118</v>
      </c>
      <c r="D5" s="3355"/>
      <c r="E5" s="3352" t="s">
        <v>2119</v>
      </c>
      <c r="F5" s="3353"/>
      <c r="G5" s="3354" t="s">
        <v>2120</v>
      </c>
      <c r="H5" s="3355"/>
      <c r="I5" s="3354" t="s">
        <v>2121</v>
      </c>
      <c r="J5" s="3355"/>
      <c r="K5" s="1875"/>
      <c r="L5" s="2648"/>
      <c r="M5" s="2649"/>
      <c r="N5" s="2649"/>
      <c r="O5" s="2649"/>
      <c r="P5" s="3367"/>
      <c r="Q5" s="3368"/>
      <c r="R5" s="3350"/>
      <c r="S5" s="3351"/>
      <c r="T5" s="3350"/>
      <c r="U5" s="3351"/>
      <c r="V5" s="3373"/>
      <c r="W5" s="3373"/>
      <c r="X5" s="1394"/>
      <c r="Y5" s="3350"/>
      <c r="Z5" s="3351"/>
      <c r="AA5" s="3344"/>
      <c r="AB5" s="3344"/>
      <c r="AC5" s="3344"/>
    </row>
    <row r="6" spans="1:29" ht="15.75" thickBot="1">
      <c r="A6" s="356"/>
      <c r="B6" s="357"/>
      <c r="C6" s="3356" t="s">
        <v>2122</v>
      </c>
      <c r="D6" s="3357"/>
      <c r="E6" s="3358" t="s">
        <v>2122</v>
      </c>
      <c r="F6" s="3359"/>
      <c r="G6" s="3356" t="s">
        <v>2122</v>
      </c>
      <c r="H6" s="3357"/>
      <c r="I6" s="3356" t="s">
        <v>2122</v>
      </c>
      <c r="J6" s="3357"/>
      <c r="K6" s="1875" t="s">
        <v>2123</v>
      </c>
      <c r="L6" s="2648"/>
      <c r="M6" s="2649"/>
      <c r="N6" s="2649"/>
      <c r="O6" s="2649"/>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c r="F7" s="363">
        <f>SUMIF(58:58,YEAR(E7)&amp;"-"&amp;MONTH(E7),59:59)</f>
        <v>0</v>
      </c>
      <c r="G7" s="362"/>
      <c r="H7" s="361">
        <f>SUMIF(58:58,YEAR(G7)&amp;"-"&amp;MONTH(G7),59:59)</f>
        <v>0</v>
      </c>
      <c r="I7" s="362"/>
      <c r="J7" s="361">
        <f>SUMIF(58:58,YEAR(I7)&amp;"-"&amp;MONTH(I7),59:59)</f>
        <v>0</v>
      </c>
      <c r="K7" s="1876"/>
      <c r="L7" s="2650"/>
      <c r="M7" s="2603"/>
      <c r="N7" s="2603"/>
      <c r="O7" s="2603"/>
      <c r="P7" s="3346" t="s">
        <v>2125</v>
      </c>
      <c r="Q7" s="3374"/>
      <c r="R7" s="673" t="s">
        <v>23</v>
      </c>
      <c r="S7" s="674">
        <f t="shared" ref="S7:S15" si="0">F7</f>
        <v>0</v>
      </c>
      <c r="T7" s="673" t="s">
        <v>23</v>
      </c>
      <c r="U7" s="674">
        <f t="shared" ref="U7:U15" si="1">H7</f>
        <v>0</v>
      </c>
      <c r="V7" s="673" t="s">
        <v>23</v>
      </c>
      <c r="W7" s="674">
        <f t="shared" ref="W7:W15" si="2">J7</f>
        <v>0</v>
      </c>
      <c r="X7" s="675"/>
      <c r="Y7" s="3346" t="s">
        <v>2125</v>
      </c>
      <c r="Z7" s="3347"/>
      <c r="AA7" s="53" t="e">
        <f>D7/F7</f>
        <v>#DIV/0!</v>
      </c>
      <c r="AB7" s="53" t="e">
        <f>D7/H7</f>
        <v>#DIV/0!</v>
      </c>
      <c r="AC7" s="53" t="e">
        <f>D7/J7</f>
        <v>#DIV/0!</v>
      </c>
    </row>
    <row r="8" spans="1:29" s="107" customFormat="1" ht="15.75" thickBot="1">
      <c r="A8" s="358" t="s">
        <v>2126</v>
      </c>
      <c r="B8" s="359"/>
      <c r="C8" s="364" t="s">
        <v>2127</v>
      </c>
      <c r="D8" s="361">
        <v>100</v>
      </c>
      <c r="E8" s="1877"/>
      <c r="F8" s="363">
        <f>SUMIF(61:61,E8,62:62)-SUMIF(61:61,C8,62:62)+100</f>
        <v>0</v>
      </c>
      <c r="G8" s="364"/>
      <c r="H8" s="361">
        <f>SUMIF(61:61,G8,62:62)-SUMIF(61:61,C8,62:62)+100</f>
        <v>0</v>
      </c>
      <c r="I8" s="1877"/>
      <c r="J8" s="361">
        <f>SUMIF(61:61,I8,62:62)-SUMIF(61:61,C8,62:62)+100</f>
        <v>0</v>
      </c>
      <c r="K8" s="1876"/>
      <c r="L8" s="2650"/>
      <c r="M8" s="2603"/>
      <c r="N8" s="2603"/>
      <c r="O8" s="2603"/>
      <c r="P8" s="3346" t="s">
        <v>2128</v>
      </c>
      <c r="Q8" s="3347"/>
      <c r="R8" s="673" t="s">
        <v>23</v>
      </c>
      <c r="S8" s="674">
        <f t="shared" si="0"/>
        <v>0</v>
      </c>
      <c r="T8" s="673" t="s">
        <v>23</v>
      </c>
      <c r="U8" s="674">
        <f t="shared" si="1"/>
        <v>0</v>
      </c>
      <c r="V8" s="673" t="s">
        <v>23</v>
      </c>
      <c r="W8" s="674">
        <f t="shared" si="2"/>
        <v>0</v>
      </c>
      <c r="X8" s="675"/>
      <c r="Y8" s="3346" t="s">
        <v>2128</v>
      </c>
      <c r="Z8" s="3347"/>
      <c r="AA8" s="53" t="e">
        <f t="shared" ref="AA8:AA19" si="3">D8/F8</f>
        <v>#DIV/0!</v>
      </c>
      <c r="AB8" s="53" t="e">
        <f t="shared" ref="AB8:AB19" si="4">D8/H8</f>
        <v>#DIV/0!</v>
      </c>
      <c r="AC8" s="53" t="e">
        <f t="shared" ref="AC8:AC19" si="5">D8/J8</f>
        <v>#DIV/0!</v>
      </c>
    </row>
    <row r="9" spans="1:29" s="107" customFormat="1">
      <c r="A9" s="365" t="s">
        <v>2129</v>
      </c>
      <c r="B9" s="64" t="s">
        <v>2130</v>
      </c>
      <c r="C9" s="366"/>
      <c r="D9" s="63">
        <v>100</v>
      </c>
      <c r="E9" s="367"/>
      <c r="F9" s="64">
        <f>SUMIF(63:63,E9,64:64)-SUMIF(63:63,C9,64:64)+100</f>
        <v>100</v>
      </c>
      <c r="G9" s="368"/>
      <c r="H9" s="63">
        <f>SUMIF(63:63,G9,64:64)-SUMIF(63:63,C9,64:64)+100</f>
        <v>100</v>
      </c>
      <c r="I9" s="368"/>
      <c r="J9" s="63">
        <f>SUMIF(63:63,I9,64:64)-SUMIF(63:63,C9,64:64)+100</f>
        <v>100</v>
      </c>
      <c r="K9" s="1876"/>
      <c r="L9" s="2650"/>
      <c r="M9" s="2603"/>
      <c r="N9" s="2603"/>
      <c r="O9" s="2603"/>
      <c r="P9" s="3384" t="s">
        <v>2131</v>
      </c>
      <c r="Q9" s="538" t="str">
        <f t="shared" ref="Q9:Q15" si="6">B9</f>
        <v>用途</v>
      </c>
      <c r="R9" s="673" t="s">
        <v>17</v>
      </c>
      <c r="S9" s="674">
        <f t="shared" si="0"/>
        <v>100</v>
      </c>
      <c r="T9" s="673" t="s">
        <v>17</v>
      </c>
      <c r="U9" s="674">
        <f t="shared" si="1"/>
        <v>100</v>
      </c>
      <c r="V9" s="673" t="s">
        <v>17</v>
      </c>
      <c r="W9" s="674">
        <f t="shared" si="2"/>
        <v>100</v>
      </c>
      <c r="X9" s="675"/>
      <c r="Y9" s="3316" t="s">
        <v>2132</v>
      </c>
      <c r="Z9" s="53" t="str">
        <f t="shared" ref="Z9:Z15" si="7">Q9</f>
        <v>用途</v>
      </c>
      <c r="AA9" s="53">
        <f t="shared" si="3"/>
        <v>1</v>
      </c>
      <c r="AB9" s="53">
        <f t="shared" si="4"/>
        <v>1</v>
      </c>
      <c r="AC9" s="53">
        <f t="shared" si="5"/>
        <v>1</v>
      </c>
    </row>
    <row r="10" spans="1:29" s="374" customFormat="1" ht="27">
      <c r="A10" s="369"/>
      <c r="B10" s="370" t="s">
        <v>2133</v>
      </c>
      <c r="C10" s="371"/>
      <c r="D10" s="124">
        <v>100</v>
      </c>
      <c r="E10" s="372"/>
      <c r="F10" s="370">
        <f>SUMIF(65:65,E10,66:66)-SUMIF(65:65,C10,66:66)+100</f>
        <v>100</v>
      </c>
      <c r="G10" s="371"/>
      <c r="H10" s="124">
        <f>SUMIF(65:65,G10,66:66)-SUMIF(65:65,C10,66:66)+100</f>
        <v>100</v>
      </c>
      <c r="I10" s="371"/>
      <c r="J10" s="124">
        <f>SUMIF(65:65,I10,66:66)-SUMIF(65:65,C10,66:66)+100</f>
        <v>100</v>
      </c>
      <c r="K10" s="373"/>
      <c r="L10" s="2651"/>
      <c r="M10" s="2652"/>
      <c r="N10" s="2652"/>
      <c r="O10" s="2652"/>
      <c r="P10" s="3384"/>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53">
        <f t="shared" si="5"/>
        <v>1</v>
      </c>
    </row>
    <row r="11" spans="1:29" ht="15">
      <c r="A11" s="375"/>
      <c r="B11" s="370" t="s">
        <v>2134</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3"/>
      <c r="M11" s="2649"/>
      <c r="N11" s="2649"/>
      <c r="O11" s="2649"/>
      <c r="P11" s="3384"/>
      <c r="Q11" s="538" t="str">
        <f t="shared" si="6"/>
        <v>容积率</v>
      </c>
      <c r="R11" s="673" t="s">
        <v>21</v>
      </c>
      <c r="S11" s="674" t="e">
        <f t="shared" si="0"/>
        <v>#N/A</v>
      </c>
      <c r="T11" s="673" t="s">
        <v>21</v>
      </c>
      <c r="U11" s="674" t="e">
        <f t="shared" si="1"/>
        <v>#N/A</v>
      </c>
      <c r="V11" s="673" t="s">
        <v>21</v>
      </c>
      <c r="W11" s="674" t="e">
        <f t="shared" si="2"/>
        <v>#N/A</v>
      </c>
      <c r="X11" s="675"/>
      <c r="Y11" s="3316"/>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8"/>
      <c r="L12" s="2650"/>
      <c r="M12" s="2603"/>
      <c r="N12" s="2603"/>
      <c r="O12" s="2603"/>
      <c r="P12" s="3384"/>
      <c r="Q12" s="538">
        <f t="shared" si="6"/>
        <v>111</v>
      </c>
      <c r="R12" s="673" t="s">
        <v>21</v>
      </c>
      <c r="S12" s="674">
        <f t="shared" si="0"/>
        <v>100</v>
      </c>
      <c r="T12" s="673" t="s">
        <v>21</v>
      </c>
      <c r="U12" s="674">
        <f t="shared" si="1"/>
        <v>100</v>
      </c>
      <c r="V12" s="673" t="s">
        <v>21</v>
      </c>
      <c r="W12" s="674">
        <f t="shared" si="2"/>
        <v>100</v>
      </c>
      <c r="X12" s="675"/>
      <c r="Y12" s="3316"/>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8"/>
      <c r="L13" s="2654"/>
      <c r="M13" s="2649"/>
      <c r="N13" s="2649"/>
      <c r="O13" s="2649"/>
      <c r="P13" s="3384"/>
      <c r="Q13" s="538">
        <f t="shared" si="6"/>
        <v>111</v>
      </c>
      <c r="R13" s="673" t="s">
        <v>21</v>
      </c>
      <c r="S13" s="674">
        <f t="shared" si="0"/>
        <v>100</v>
      </c>
      <c r="T13" s="673" t="s">
        <v>21</v>
      </c>
      <c r="U13" s="674">
        <f t="shared" si="1"/>
        <v>100</v>
      </c>
      <c r="V13" s="673" t="s">
        <v>21</v>
      </c>
      <c r="W13" s="674">
        <f t="shared" si="2"/>
        <v>100</v>
      </c>
      <c r="X13" s="675"/>
      <c r="Y13" s="3316"/>
      <c r="Z13" s="53">
        <f t="shared" si="7"/>
        <v>111</v>
      </c>
      <c r="AA13" s="53">
        <f t="shared" si="3"/>
        <v>1</v>
      </c>
      <c r="AB13" s="53">
        <f t="shared" si="4"/>
        <v>1</v>
      </c>
      <c r="AC13" s="53">
        <f t="shared" si="5"/>
        <v>1</v>
      </c>
    </row>
    <row r="14" spans="1:29" ht="15.75" thickBot="1">
      <c r="A14" s="383"/>
      <c r="B14" s="1879">
        <v>111</v>
      </c>
      <c r="C14" s="384"/>
      <c r="D14" s="385">
        <v>100</v>
      </c>
      <c r="E14" s="384"/>
      <c r="F14" s="386">
        <f>SUMIF(74:74,E14,75:75)-SUMIF(74:74,C14,75:75)+100</f>
        <v>100</v>
      </c>
      <c r="G14" s="384"/>
      <c r="H14" s="385">
        <f>SUMIF(74:74,G14,75:75)-SUMIF(74:74,C14,75:75)+100</f>
        <v>100</v>
      </c>
      <c r="I14" s="384"/>
      <c r="J14" s="385">
        <f>SUMIF(74:74,I14,75:75)-SUMIF(74:74,C14,75:75)+100</f>
        <v>100</v>
      </c>
      <c r="K14" s="1878"/>
      <c r="L14" s="2654"/>
      <c r="M14" s="2649"/>
      <c r="N14" s="2649"/>
      <c r="O14" s="2649"/>
      <c r="P14" s="3384"/>
      <c r="Q14" s="538">
        <f t="shared" si="6"/>
        <v>111</v>
      </c>
      <c r="R14" s="673" t="s">
        <v>21</v>
      </c>
      <c r="S14" s="674">
        <f t="shared" si="0"/>
        <v>100</v>
      </c>
      <c r="T14" s="673" t="s">
        <v>21</v>
      </c>
      <c r="U14" s="674">
        <f t="shared" si="1"/>
        <v>100</v>
      </c>
      <c r="V14" s="673" t="s">
        <v>21</v>
      </c>
      <c r="W14" s="674">
        <f t="shared" si="2"/>
        <v>100</v>
      </c>
      <c r="X14" s="675"/>
      <c r="Y14" s="3316"/>
      <c r="Z14" s="53">
        <f t="shared" si="7"/>
        <v>111</v>
      </c>
      <c r="AA14" s="53">
        <f t="shared" si="3"/>
        <v>1</v>
      </c>
      <c r="AB14" s="53">
        <f t="shared" si="4"/>
        <v>1</v>
      </c>
      <c r="AC14" s="53">
        <f t="shared" si="5"/>
        <v>1</v>
      </c>
    </row>
    <row r="15" spans="1:29" ht="99.75">
      <c r="A15" s="387" t="s">
        <v>2135</v>
      </c>
      <c r="B15" s="62" t="s">
        <v>1702</v>
      </c>
      <c r="C15" s="1880"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54"/>
      <c r="M15" s="2649"/>
      <c r="N15" s="2649"/>
      <c r="O15" s="2649"/>
      <c r="P15" s="3416" t="s">
        <v>2136</v>
      </c>
      <c r="Q15" s="1392" t="str">
        <f t="shared" si="6"/>
        <v>居住社区成熟度</v>
      </c>
      <c r="R15" s="676" t="s">
        <v>21</v>
      </c>
      <c r="S15" s="677">
        <f t="shared" si="0"/>
        <v>100</v>
      </c>
      <c r="T15" s="676" t="s">
        <v>21</v>
      </c>
      <c r="U15" s="677">
        <f t="shared" si="1"/>
        <v>100</v>
      </c>
      <c r="V15" s="676" t="s">
        <v>21</v>
      </c>
      <c r="W15" s="677">
        <f t="shared" si="2"/>
        <v>100</v>
      </c>
      <c r="X15" s="1394"/>
      <c r="Y15" s="3375" t="s">
        <v>2136</v>
      </c>
      <c r="Z15" s="1393" t="str">
        <f t="shared" si="7"/>
        <v>居住社区成熟度</v>
      </c>
      <c r="AA15" s="1393">
        <f t="shared" si="3"/>
        <v>1</v>
      </c>
      <c r="AB15" s="1393">
        <f t="shared" si="4"/>
        <v>1</v>
      </c>
      <c r="AC15" s="1393">
        <f t="shared" si="5"/>
        <v>1</v>
      </c>
    </row>
    <row r="16" spans="1:29" ht="15">
      <c r="A16" s="375"/>
      <c r="B16" s="393"/>
      <c r="C16" s="394"/>
      <c r="D16" s="395"/>
      <c r="E16" s="1881"/>
      <c r="F16" s="395"/>
      <c r="G16" s="1882"/>
      <c r="H16" s="397"/>
      <c r="I16" s="1882"/>
      <c r="J16" s="395"/>
      <c r="K16" s="1883"/>
      <c r="L16" s="2654"/>
      <c r="M16" s="2649"/>
      <c r="N16" s="2649"/>
      <c r="O16" s="2649"/>
      <c r="P16" s="3417"/>
      <c r="Q16" s="1392"/>
      <c r="R16" s="676"/>
      <c r="S16" s="677"/>
      <c r="T16" s="676"/>
      <c r="U16" s="677"/>
      <c r="V16" s="676"/>
      <c r="W16" s="677"/>
      <c r="X16" s="1394"/>
      <c r="Y16" s="3376"/>
      <c r="Z16" s="1393"/>
      <c r="AA16" s="1393">
        <v>1</v>
      </c>
      <c r="AB16" s="1393">
        <v>1</v>
      </c>
      <c r="AC16" s="1393">
        <v>1</v>
      </c>
    </row>
    <row r="17" spans="1:29" ht="85.5">
      <c r="A17" s="375"/>
      <c r="B17" s="398" t="s">
        <v>1704</v>
      </c>
      <c r="C17" s="1884"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4"/>
      <c r="M17" s="2649"/>
      <c r="N17" s="2649"/>
      <c r="O17" s="2649"/>
      <c r="P17" s="3417"/>
      <c r="Q17" s="1392" t="str">
        <f>B17</f>
        <v>交通便捷度</v>
      </c>
      <c r="R17" s="676" t="s">
        <v>21</v>
      </c>
      <c r="S17" s="677">
        <f>F17</f>
        <v>100</v>
      </c>
      <c r="T17" s="676" t="s">
        <v>21</v>
      </c>
      <c r="U17" s="677">
        <f>H17</f>
        <v>100</v>
      </c>
      <c r="V17" s="676" t="s">
        <v>21</v>
      </c>
      <c r="W17" s="677">
        <f>J17</f>
        <v>100</v>
      </c>
      <c r="X17" s="1394"/>
      <c r="Y17" s="3376"/>
      <c r="Z17" s="1393" t="str">
        <f>Q17</f>
        <v>交通便捷度</v>
      </c>
      <c r="AA17" s="1393">
        <f t="shared" si="3"/>
        <v>1</v>
      </c>
      <c r="AB17" s="1393">
        <f t="shared" si="4"/>
        <v>1</v>
      </c>
      <c r="AC17" s="1393">
        <f t="shared" si="5"/>
        <v>1</v>
      </c>
    </row>
    <row r="18" spans="1:29" ht="15">
      <c r="A18" s="375"/>
      <c r="B18" s="403"/>
      <c r="C18" s="1885"/>
      <c r="D18" s="397"/>
      <c r="E18" s="1886"/>
      <c r="F18" s="397"/>
      <c r="G18" s="1887"/>
      <c r="H18" s="395"/>
      <c r="I18" s="1887"/>
      <c r="J18" s="395"/>
      <c r="K18" s="1883"/>
      <c r="L18" s="2654"/>
      <c r="M18" s="2649"/>
      <c r="N18" s="2649"/>
      <c r="O18" s="2649"/>
      <c r="P18" s="3417"/>
      <c r="Q18" s="1392"/>
      <c r="R18" s="676"/>
      <c r="S18" s="677"/>
      <c r="T18" s="676"/>
      <c r="U18" s="677"/>
      <c r="V18" s="676"/>
      <c r="W18" s="677"/>
      <c r="X18" s="1394"/>
      <c r="Y18" s="3376"/>
      <c r="Z18" s="1393"/>
      <c r="AA18" s="1393">
        <v>1</v>
      </c>
      <c r="AB18" s="1393">
        <v>1</v>
      </c>
      <c r="AC18" s="1393">
        <v>1</v>
      </c>
    </row>
    <row r="19" spans="1:29" ht="42.75">
      <c r="A19" s="375"/>
      <c r="B19" s="398" t="s">
        <v>1703</v>
      </c>
      <c r="C19" s="1884"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54"/>
      <c r="M19" s="2649"/>
      <c r="N19" s="2649"/>
      <c r="O19" s="2649"/>
      <c r="P19" s="3417"/>
      <c r="Q19" s="1392" t="str">
        <f>B19</f>
        <v>公共配套设施</v>
      </c>
      <c r="R19" s="676" t="s">
        <v>21</v>
      </c>
      <c r="S19" s="677">
        <f>F19</f>
        <v>100</v>
      </c>
      <c r="T19" s="676" t="s">
        <v>21</v>
      </c>
      <c r="U19" s="677">
        <f>H19</f>
        <v>100</v>
      </c>
      <c r="V19" s="676" t="s">
        <v>21</v>
      </c>
      <c r="W19" s="677">
        <f>J19</f>
        <v>100</v>
      </c>
      <c r="X19" s="1394"/>
      <c r="Y19" s="3376"/>
      <c r="Z19" s="1393" t="str">
        <f>Q19</f>
        <v>公共配套设施</v>
      </c>
      <c r="AA19" s="1393">
        <f t="shared" si="3"/>
        <v>1</v>
      </c>
      <c r="AB19" s="1393">
        <f t="shared" si="4"/>
        <v>1</v>
      </c>
      <c r="AC19" s="1393">
        <f t="shared" si="5"/>
        <v>1</v>
      </c>
    </row>
    <row r="20" spans="1:29" ht="15">
      <c r="A20" s="375"/>
      <c r="B20" s="403"/>
      <c r="C20" s="394"/>
      <c r="D20" s="395"/>
      <c r="E20" s="1881"/>
      <c r="F20" s="395"/>
      <c r="G20" s="1882"/>
      <c r="H20" s="395"/>
      <c r="I20" s="1882"/>
      <c r="J20" s="395"/>
      <c r="K20" s="1883"/>
      <c r="L20" s="2654"/>
      <c r="M20" s="2649"/>
      <c r="N20" s="2649"/>
      <c r="O20" s="2649"/>
      <c r="P20" s="3417"/>
      <c r="Q20" s="1392"/>
      <c r="R20" s="676"/>
      <c r="S20" s="677"/>
      <c r="T20" s="676"/>
      <c r="U20" s="677"/>
      <c r="V20" s="676"/>
      <c r="W20" s="677"/>
      <c r="X20" s="1394"/>
      <c r="Y20" s="3376"/>
      <c r="Z20" s="1393"/>
      <c r="AA20" s="1393">
        <v>1</v>
      </c>
      <c r="AB20" s="1393">
        <v>1</v>
      </c>
      <c r="AC20" s="1393">
        <v>1</v>
      </c>
    </row>
    <row r="21" spans="1:29" ht="28.5">
      <c r="A21" s="375"/>
      <c r="B21" s="594" t="s">
        <v>1705</v>
      </c>
      <c r="C21" s="1884"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54"/>
      <c r="M21" s="2649"/>
      <c r="N21" s="2649"/>
      <c r="O21" s="2649"/>
      <c r="P21" s="3417"/>
      <c r="Q21" s="1392" t="str">
        <f>B21</f>
        <v>基础设施水平</v>
      </c>
      <c r="R21" s="676" t="s">
        <v>17</v>
      </c>
      <c r="S21" s="677">
        <f>F21</f>
        <v>100</v>
      </c>
      <c r="T21" s="676" t="s">
        <v>17</v>
      </c>
      <c r="U21" s="677">
        <f>H21</f>
        <v>100</v>
      </c>
      <c r="V21" s="676" t="s">
        <v>17</v>
      </c>
      <c r="W21" s="677">
        <f>J21</f>
        <v>100</v>
      </c>
      <c r="X21" s="1394"/>
      <c r="Y21" s="3376"/>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5"/>
      <c r="G22" s="1888"/>
      <c r="H22" s="395"/>
      <c r="I22" s="394"/>
      <c r="J22" s="395"/>
      <c r="K22" s="1889"/>
      <c r="L22" s="2654"/>
      <c r="M22" s="2649"/>
      <c r="N22" s="2649"/>
      <c r="O22" s="2649"/>
      <c r="P22" s="3417"/>
      <c r="Q22" s="1392"/>
      <c r="R22" s="676"/>
      <c r="S22" s="677"/>
      <c r="T22" s="676"/>
      <c r="U22" s="677"/>
      <c r="V22" s="676"/>
      <c r="W22" s="677"/>
      <c r="X22" s="1394"/>
      <c r="Y22" s="3376"/>
      <c r="Z22" s="1393"/>
      <c r="AA22" s="1393">
        <v>1</v>
      </c>
      <c r="AB22" s="1393">
        <v>1</v>
      </c>
      <c r="AC22" s="1393">
        <v>1</v>
      </c>
    </row>
    <row r="23" spans="1:29" ht="57">
      <c r="A23" s="375"/>
      <c r="B23" s="398" t="s">
        <v>1706</v>
      </c>
      <c r="C23" s="1884"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54"/>
      <c r="M23" s="2649"/>
      <c r="N23" s="2649"/>
      <c r="O23" s="2649"/>
      <c r="P23" s="3417"/>
      <c r="Q23" s="1392" t="str">
        <f>B23</f>
        <v>自然及人文环境</v>
      </c>
      <c r="R23" s="676" t="s">
        <v>21</v>
      </c>
      <c r="S23" s="677">
        <f>F23</f>
        <v>100</v>
      </c>
      <c r="T23" s="676" t="s">
        <v>21</v>
      </c>
      <c r="U23" s="677">
        <f>H23</f>
        <v>100</v>
      </c>
      <c r="V23" s="676" t="s">
        <v>21</v>
      </c>
      <c r="W23" s="677">
        <f>J23</f>
        <v>100</v>
      </c>
      <c r="X23" s="1394"/>
      <c r="Y23" s="3376"/>
      <c r="Z23" s="1393" t="str">
        <f>Q23</f>
        <v>自然及人文环境</v>
      </c>
      <c r="AA23" s="1393">
        <f>D23/F23</f>
        <v>1</v>
      </c>
      <c r="AB23" s="1393">
        <f>D23/H23</f>
        <v>1</v>
      </c>
      <c r="AC23" s="1393">
        <f>D23/J23</f>
        <v>1</v>
      </c>
    </row>
    <row r="24" spans="1:29" ht="15">
      <c r="A24" s="375"/>
      <c r="B24" s="403"/>
      <c r="C24" s="394"/>
      <c r="D24" s="395"/>
      <c r="E24" s="1881"/>
      <c r="F24" s="395"/>
      <c r="G24" s="1882"/>
      <c r="H24" s="395"/>
      <c r="I24" s="1882"/>
      <c r="J24" s="395"/>
      <c r="K24" s="1883"/>
      <c r="L24" s="2654"/>
      <c r="M24" s="2649"/>
      <c r="N24" s="2649"/>
      <c r="O24" s="2649"/>
      <c r="P24" s="3417"/>
      <c r="Q24" s="1392"/>
      <c r="R24" s="676"/>
      <c r="S24" s="677"/>
      <c r="T24" s="676"/>
      <c r="U24" s="677"/>
      <c r="V24" s="676"/>
      <c r="W24" s="677"/>
      <c r="X24" s="1394"/>
      <c r="Y24" s="3376"/>
      <c r="Z24" s="1393"/>
      <c r="AA24" s="1393">
        <v>1</v>
      </c>
      <c r="AB24" s="1393">
        <v>1</v>
      </c>
      <c r="AC24" s="1393">
        <v>1</v>
      </c>
    </row>
    <row r="25" spans="1:29" ht="15">
      <c r="A25" s="375"/>
      <c r="B25" s="370" t="s">
        <v>2137</v>
      </c>
      <c r="C25" s="407"/>
      <c r="D25" s="382">
        <v>100</v>
      </c>
      <c r="E25" s="1890"/>
      <c r="F25" s="382">
        <f>SUMIF(86:86,E25,87:87)-SUMIF(86:86,C25,87:87)+100</f>
        <v>100</v>
      </c>
      <c r="G25" s="1891"/>
      <c r="H25" s="382">
        <f>SUMIF(86:86,G25,87:87)-SUMIF(86:86,C25,87:87)+100</f>
        <v>100</v>
      </c>
      <c r="I25" s="1891"/>
      <c r="J25" s="382">
        <f>SUMIF(86:86,I25,87:87)-SUMIF(86:86,C25,87:87)+100</f>
        <v>100</v>
      </c>
      <c r="K25" s="373"/>
      <c r="L25" s="2654"/>
      <c r="M25" s="2649"/>
      <c r="N25" s="2649"/>
      <c r="O25" s="2649"/>
      <c r="P25" s="3417"/>
      <c r="Q25" s="1392" t="str">
        <f t="shared" ref="Q25:Q46" si="11">B25</f>
        <v>楼层-1</v>
      </c>
      <c r="R25" s="676" t="s">
        <v>21</v>
      </c>
      <c r="S25" s="677">
        <f t="shared" ref="S25:S46" si="12">F25</f>
        <v>100</v>
      </c>
      <c r="T25" s="676" t="s">
        <v>21</v>
      </c>
      <c r="U25" s="677">
        <f t="shared" ref="U25:U46" si="13">H25</f>
        <v>100</v>
      </c>
      <c r="V25" s="676" t="s">
        <v>21</v>
      </c>
      <c r="W25" s="677">
        <f t="shared" ref="W25:W46" si="14">J25</f>
        <v>100</v>
      </c>
      <c r="X25" s="1394"/>
      <c r="Y25" s="3376"/>
      <c r="Z25" s="1393" t="str">
        <f>Q25</f>
        <v>楼层-1</v>
      </c>
      <c r="AA25" s="1393">
        <f t="shared" ref="AA25:AA46" si="15">D25/F25</f>
        <v>1</v>
      </c>
      <c r="AB25" s="1393">
        <f t="shared" ref="AB25:AB46" si="16">D25/H25</f>
        <v>1</v>
      </c>
      <c r="AC25" s="1393">
        <f t="shared" ref="AC25:AC46" si="17">D25/J25</f>
        <v>1</v>
      </c>
    </row>
    <row r="26" spans="1:29" ht="15">
      <c r="A26" s="375"/>
      <c r="B26" s="370" t="s">
        <v>2138</v>
      </c>
      <c r="C26" s="407"/>
      <c r="D26" s="382">
        <v>100</v>
      </c>
      <c r="E26" s="1890"/>
      <c r="F26" s="382">
        <f>SUMIF(88:88,E26,89:89)-SUMIF(88:88,C26,89:89)+100</f>
        <v>100</v>
      </c>
      <c r="G26" s="1891"/>
      <c r="H26" s="382">
        <f>SUMIF(88:88,G26,89:89)-SUMIF(88:88,C26,89:89)+100</f>
        <v>100</v>
      </c>
      <c r="I26" s="1891"/>
      <c r="J26" s="382">
        <f>SUMIF(88:88,I26,89:89)-SUMIF(88:88,C26,89:89)+100</f>
        <v>100</v>
      </c>
      <c r="K26" s="373"/>
      <c r="L26" s="2654"/>
      <c r="M26" s="2649"/>
      <c r="N26" s="2649"/>
      <c r="O26" s="2649"/>
      <c r="P26" s="3417"/>
      <c r="Q26" s="1392" t="str">
        <f t="shared" si="11"/>
        <v>朝向</v>
      </c>
      <c r="R26" s="676" t="s">
        <v>21</v>
      </c>
      <c r="S26" s="677">
        <f t="shared" si="12"/>
        <v>100</v>
      </c>
      <c r="T26" s="676" t="s">
        <v>21</v>
      </c>
      <c r="U26" s="677">
        <f t="shared" si="13"/>
        <v>100</v>
      </c>
      <c r="V26" s="676" t="s">
        <v>21</v>
      </c>
      <c r="W26" s="677">
        <f t="shared" si="14"/>
        <v>100</v>
      </c>
      <c r="X26" s="1394"/>
      <c r="Y26" s="3376"/>
      <c r="Z26" s="1393" t="str">
        <f>Q26</f>
        <v>朝向</v>
      </c>
      <c r="AA26" s="1393">
        <f t="shared" si="15"/>
        <v>1</v>
      </c>
      <c r="AB26" s="1393">
        <f t="shared" si="16"/>
        <v>1</v>
      </c>
      <c r="AC26" s="1393">
        <f t="shared" si="17"/>
        <v>1</v>
      </c>
    </row>
    <row r="27" spans="1:29" s="107" customFormat="1" ht="1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8"/>
      <c r="L27" s="2650"/>
      <c r="M27" s="2603"/>
      <c r="N27" s="2603"/>
      <c r="O27" s="2603"/>
      <c r="P27" s="3417"/>
      <c r="Q27" s="538">
        <f t="shared" si="11"/>
        <v>111</v>
      </c>
      <c r="R27" s="673" t="s">
        <v>21</v>
      </c>
      <c r="S27" s="674">
        <f t="shared" si="12"/>
        <v>100</v>
      </c>
      <c r="T27" s="673" t="s">
        <v>21</v>
      </c>
      <c r="U27" s="674">
        <f t="shared" si="13"/>
        <v>100</v>
      </c>
      <c r="V27" s="673" t="s">
        <v>21</v>
      </c>
      <c r="W27" s="674">
        <f t="shared" si="14"/>
        <v>100</v>
      </c>
      <c r="X27" s="675"/>
      <c r="Y27" s="3376"/>
      <c r="Z27" s="53">
        <f>Q27</f>
        <v>111</v>
      </c>
      <c r="AA27" s="1393">
        <f t="shared" si="15"/>
        <v>1</v>
      </c>
      <c r="AB27" s="1393">
        <f t="shared" si="16"/>
        <v>1</v>
      </c>
      <c r="AC27" s="1393">
        <f t="shared" si="17"/>
        <v>1</v>
      </c>
    </row>
    <row r="28" spans="1:29" ht="15">
      <c r="A28" s="375"/>
      <c r="B28" s="1176">
        <v>111</v>
      </c>
      <c r="C28" s="381"/>
      <c r="D28" s="382">
        <v>100</v>
      </c>
      <c r="E28" s="381"/>
      <c r="F28" s="382">
        <f>SUMIF(92:92,E28,93:93)-SUMIF(92:92,C28,93:93)+100</f>
        <v>100</v>
      </c>
      <c r="G28" s="1892"/>
      <c r="H28" s="382">
        <f>SUMIF(92:92,G28,93:93)-SUMIF(92:92,C28,93:93)+100</f>
        <v>100</v>
      </c>
      <c r="I28" s="381"/>
      <c r="J28" s="382">
        <f>SUMIF(92:92,I28,93:93)-SUMIF(92:92,C28,93:93)+100</f>
        <v>100</v>
      </c>
      <c r="K28" s="1878"/>
      <c r="L28" s="2654"/>
      <c r="M28" s="2649"/>
      <c r="N28" s="2649"/>
      <c r="O28" s="2649"/>
      <c r="P28" s="3417"/>
      <c r="Q28" s="1392">
        <f t="shared" si="11"/>
        <v>111</v>
      </c>
      <c r="R28" s="676" t="s">
        <v>21</v>
      </c>
      <c r="S28" s="677">
        <f t="shared" si="12"/>
        <v>100</v>
      </c>
      <c r="T28" s="676" t="s">
        <v>21</v>
      </c>
      <c r="U28" s="677">
        <f t="shared" si="13"/>
        <v>100</v>
      </c>
      <c r="V28" s="676" t="s">
        <v>21</v>
      </c>
      <c r="W28" s="677">
        <f t="shared" si="14"/>
        <v>100</v>
      </c>
      <c r="X28" s="1394"/>
      <c r="Y28" s="3376"/>
      <c r="Z28" s="1393">
        <f t="shared" ref="Z28:Z46" si="18">Q28</f>
        <v>111</v>
      </c>
      <c r="AA28" s="1393">
        <f t="shared" si="15"/>
        <v>1</v>
      </c>
      <c r="AB28" s="1393">
        <f t="shared" si="16"/>
        <v>1</v>
      </c>
      <c r="AC28" s="1393">
        <f t="shared" si="17"/>
        <v>1</v>
      </c>
    </row>
    <row r="29" spans="1:29" ht="15">
      <c r="A29" s="375"/>
      <c r="B29" s="1176">
        <v>111</v>
      </c>
      <c r="C29" s="381"/>
      <c r="D29" s="382">
        <v>100</v>
      </c>
      <c r="E29" s="381"/>
      <c r="F29" s="382">
        <f>SUMIF(94:94,E29,95:95)-SUMIF(94:94,C29,95:95)+100</f>
        <v>100</v>
      </c>
      <c r="G29" s="1892"/>
      <c r="H29" s="382">
        <f>SUMIF(94:94,G29,95:95)-SUMIF(94:94,C29,95:95)+100</f>
        <v>100</v>
      </c>
      <c r="I29" s="381"/>
      <c r="J29" s="382">
        <f>SUMIF(94:94,I29,95:95)-SUMIF(94:94,C29,95:95)+100</f>
        <v>100</v>
      </c>
      <c r="K29" s="1878"/>
      <c r="L29" s="2654"/>
      <c r="M29" s="2649"/>
      <c r="N29" s="2649"/>
      <c r="O29" s="2649"/>
      <c r="P29" s="3417"/>
      <c r="Q29" s="1392">
        <f t="shared" si="11"/>
        <v>111</v>
      </c>
      <c r="R29" s="676" t="s">
        <v>21</v>
      </c>
      <c r="S29" s="677">
        <f t="shared" si="12"/>
        <v>100</v>
      </c>
      <c r="T29" s="676" t="s">
        <v>21</v>
      </c>
      <c r="U29" s="677">
        <f t="shared" si="13"/>
        <v>100</v>
      </c>
      <c r="V29" s="676" t="s">
        <v>21</v>
      </c>
      <c r="W29" s="677">
        <f t="shared" si="14"/>
        <v>100</v>
      </c>
      <c r="X29" s="1394"/>
      <c r="Y29" s="3376"/>
      <c r="Z29" s="1393">
        <f t="shared" si="18"/>
        <v>111</v>
      </c>
      <c r="AA29" s="1393">
        <f t="shared" si="15"/>
        <v>1</v>
      </c>
      <c r="AB29" s="1393">
        <f t="shared" si="16"/>
        <v>1</v>
      </c>
      <c r="AC29" s="1393">
        <f t="shared" si="17"/>
        <v>1</v>
      </c>
    </row>
    <row r="30" spans="1:29" ht="15">
      <c r="A30" s="375"/>
      <c r="B30" s="1176">
        <v>111</v>
      </c>
      <c r="C30" s="381"/>
      <c r="D30" s="382">
        <v>100</v>
      </c>
      <c r="E30" s="381"/>
      <c r="F30" s="382">
        <f>SUMIF(96:96,E30,97:97)-SUMIF(96:96,C30,97:97)+100</f>
        <v>100</v>
      </c>
      <c r="G30" s="1892"/>
      <c r="H30" s="382">
        <f>SUMIF(96:96,G30,97:97)-SUMIF(96:96,C30,97:97)+100</f>
        <v>100</v>
      </c>
      <c r="I30" s="381"/>
      <c r="J30" s="382">
        <f>SUMIF(96:96,I30,97:97)-SUMIF(96:96,C30,97:97)+100</f>
        <v>100</v>
      </c>
      <c r="K30" s="1878"/>
      <c r="L30" s="2654"/>
      <c r="M30" s="2649"/>
      <c r="N30" s="2649"/>
      <c r="O30" s="2649"/>
      <c r="P30" s="3417"/>
      <c r="Q30" s="1392">
        <f t="shared" si="11"/>
        <v>111</v>
      </c>
      <c r="R30" s="676" t="s">
        <v>21</v>
      </c>
      <c r="S30" s="677">
        <f t="shared" si="12"/>
        <v>100</v>
      </c>
      <c r="T30" s="676" t="s">
        <v>21</v>
      </c>
      <c r="U30" s="677">
        <f t="shared" si="13"/>
        <v>100</v>
      </c>
      <c r="V30" s="676" t="s">
        <v>21</v>
      </c>
      <c r="W30" s="677">
        <f t="shared" si="14"/>
        <v>100</v>
      </c>
      <c r="X30" s="1394"/>
      <c r="Y30" s="3376"/>
      <c r="Z30" s="1393">
        <f t="shared" si="18"/>
        <v>111</v>
      </c>
      <c r="AA30" s="1393">
        <f t="shared" si="15"/>
        <v>1</v>
      </c>
      <c r="AB30" s="1393">
        <f t="shared" si="16"/>
        <v>1</v>
      </c>
      <c r="AC30" s="1393">
        <f t="shared" si="17"/>
        <v>1</v>
      </c>
    </row>
    <row r="31" spans="1:29" ht="15.75" thickBot="1">
      <c r="A31" s="383"/>
      <c r="B31" s="1176">
        <v>111</v>
      </c>
      <c r="C31" s="384"/>
      <c r="D31" s="385">
        <v>100</v>
      </c>
      <c r="E31" s="384"/>
      <c r="F31" s="385">
        <f>SUMIF(98:98,E31,99:99)-SUMIF(98:98,C31,99:99)+100</f>
        <v>100</v>
      </c>
      <c r="G31" s="1893"/>
      <c r="H31" s="385">
        <f>SUMIF(98:98,G31,99:99)-SUMIF(98:98,C31,99:99)+100</f>
        <v>100</v>
      </c>
      <c r="I31" s="384"/>
      <c r="J31" s="385">
        <f>SUMIF(98:98,I31,99:99)-SUMIF(98:98,C31,99:99)+100</f>
        <v>100</v>
      </c>
      <c r="K31" s="1878"/>
      <c r="L31" s="2654"/>
      <c r="M31" s="2649"/>
      <c r="N31" s="2649"/>
      <c r="O31" s="2649"/>
      <c r="P31" s="3417"/>
      <c r="Q31" s="1392">
        <f t="shared" si="11"/>
        <v>111</v>
      </c>
      <c r="R31" s="676" t="s">
        <v>21</v>
      </c>
      <c r="S31" s="677">
        <f t="shared" si="12"/>
        <v>100</v>
      </c>
      <c r="T31" s="676" t="s">
        <v>21</v>
      </c>
      <c r="U31" s="677">
        <f t="shared" si="13"/>
        <v>100</v>
      </c>
      <c r="V31" s="676" t="s">
        <v>21</v>
      </c>
      <c r="W31" s="677">
        <f t="shared" si="14"/>
        <v>100</v>
      </c>
      <c r="X31" s="1394"/>
      <c r="Y31" s="3376"/>
      <c r="Z31" s="1393">
        <f t="shared" si="18"/>
        <v>111</v>
      </c>
      <c r="AA31" s="1393">
        <f t="shared" si="15"/>
        <v>1</v>
      </c>
      <c r="AB31" s="1393">
        <f t="shared" si="16"/>
        <v>1</v>
      </c>
      <c r="AC31" s="1393">
        <f t="shared" si="17"/>
        <v>1</v>
      </c>
    </row>
    <row r="32" spans="1:29" ht="15">
      <c r="A32" s="387" t="s">
        <v>2139</v>
      </c>
      <c r="B32" s="64" t="s">
        <v>2140</v>
      </c>
      <c r="C32" s="1894"/>
      <c r="D32" s="413">
        <v>100</v>
      </c>
      <c r="E32" s="1895"/>
      <c r="F32" s="408">
        <f>SUMIF(100:100,E32,101:101)-SUMIF(100:100,C32,101:101)+100</f>
        <v>100</v>
      </c>
      <c r="G32" s="1894"/>
      <c r="H32" s="413">
        <f>SUMIF(100:100,G32,101:101)-SUMIF(100:100,C32,101:101)+100</f>
        <v>100</v>
      </c>
      <c r="I32" s="1895"/>
      <c r="J32" s="382">
        <f>SUMIF(100:100,I32,101:101)-SUMIF(100:100,C32,101:101)+100</f>
        <v>100</v>
      </c>
      <c r="K32" s="373"/>
      <c r="L32" s="2654"/>
      <c r="M32" s="2649"/>
      <c r="N32" s="2649"/>
      <c r="O32" s="2649"/>
      <c r="P32" s="3412" t="s">
        <v>2141</v>
      </c>
      <c r="Q32" s="1392" t="str">
        <f t="shared" si="11"/>
        <v>建筑类型</v>
      </c>
      <c r="R32" s="676" t="s">
        <v>21</v>
      </c>
      <c r="S32" s="677">
        <f t="shared" si="12"/>
        <v>100</v>
      </c>
      <c r="T32" s="676" t="s">
        <v>21</v>
      </c>
      <c r="U32" s="677">
        <f t="shared" si="13"/>
        <v>100</v>
      </c>
      <c r="V32" s="676" t="s">
        <v>21</v>
      </c>
      <c r="W32" s="677">
        <f t="shared" si="14"/>
        <v>100</v>
      </c>
      <c r="X32" s="1394"/>
      <c r="Y32" s="3378" t="s">
        <v>2141</v>
      </c>
      <c r="Z32" s="1393" t="str">
        <f t="shared" si="18"/>
        <v>建筑类型</v>
      </c>
      <c r="AA32" s="1393">
        <f t="shared" si="15"/>
        <v>1</v>
      </c>
      <c r="AB32" s="1393">
        <f t="shared" si="16"/>
        <v>1</v>
      </c>
      <c r="AC32" s="1393">
        <f t="shared" si="17"/>
        <v>1</v>
      </c>
    </row>
    <row r="33" spans="1:29" s="416" customFormat="1" ht="15">
      <c r="A33" s="414"/>
      <c r="B33" s="370" t="s">
        <v>2142</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8"/>
      <c r="L33" s="2653"/>
      <c r="M33" s="2655"/>
      <c r="N33" s="2655"/>
      <c r="O33" s="2655"/>
      <c r="P33" s="3413"/>
      <c r="Q33" s="539" t="str">
        <f t="shared" si="11"/>
        <v>项目建筑规模</v>
      </c>
      <c r="R33" s="678" t="s">
        <v>21</v>
      </c>
      <c r="S33" s="679" t="e">
        <f t="shared" si="12"/>
        <v>#N/A</v>
      </c>
      <c r="T33" s="678" t="s">
        <v>21</v>
      </c>
      <c r="U33" s="679" t="e">
        <f t="shared" si="13"/>
        <v>#N/A</v>
      </c>
      <c r="V33" s="678" t="s">
        <v>21</v>
      </c>
      <c r="W33" s="679" t="e">
        <f t="shared" si="14"/>
        <v>#N/A</v>
      </c>
      <c r="X33" s="680"/>
      <c r="Y33" s="3378"/>
      <c r="Z33" s="681" t="str">
        <f t="shared" si="18"/>
        <v>项目建筑规模</v>
      </c>
      <c r="AA33" s="1393" t="e">
        <f t="shared" si="15"/>
        <v>#N/A</v>
      </c>
      <c r="AB33" s="1393" t="e">
        <f t="shared" si="16"/>
        <v>#N/A</v>
      </c>
      <c r="AC33" s="1393" t="e">
        <f t="shared" si="17"/>
        <v>#N/A</v>
      </c>
    </row>
    <row r="34" spans="1:29" ht="15">
      <c r="A34" s="417"/>
      <c r="B34" s="370" t="s">
        <v>2143</v>
      </c>
      <c r="C34" s="407"/>
      <c r="D34" s="382">
        <v>100</v>
      </c>
      <c r="E34" s="1896"/>
      <c r="F34" s="408">
        <f>SUMIF(105:105,E34,106:106)-SUMIF(105:105,C34,106:106)+100</f>
        <v>100</v>
      </c>
      <c r="G34" s="407"/>
      <c r="H34" s="382">
        <f>SUMIF(105:105,G34,106:106)-SUMIF(105:105,C34,106:106)+100</f>
        <v>100</v>
      </c>
      <c r="I34" s="1896"/>
      <c r="J34" s="382">
        <f>SUMIF(105:105,I34,106:106)-SUMIF(105:105,C34,106:106)+100</f>
        <v>100</v>
      </c>
      <c r="K34" s="373"/>
      <c r="L34" s="2654"/>
      <c r="M34" s="2649"/>
      <c r="N34" s="2649"/>
      <c r="O34" s="2649"/>
      <c r="P34" s="3413"/>
      <c r="Q34" s="1392" t="str">
        <f t="shared" si="11"/>
        <v>建筑结构</v>
      </c>
      <c r="R34" s="676" t="s">
        <v>21</v>
      </c>
      <c r="S34" s="677">
        <f t="shared" si="12"/>
        <v>100</v>
      </c>
      <c r="T34" s="676" t="s">
        <v>21</v>
      </c>
      <c r="U34" s="677">
        <f t="shared" si="13"/>
        <v>100</v>
      </c>
      <c r="V34" s="676" t="s">
        <v>21</v>
      </c>
      <c r="W34" s="677">
        <f t="shared" si="14"/>
        <v>100</v>
      </c>
      <c r="X34" s="1394"/>
      <c r="Y34" s="3378"/>
      <c r="Z34" s="1393" t="str">
        <f t="shared" si="18"/>
        <v>建筑结构</v>
      </c>
      <c r="AA34" s="1393">
        <f t="shared" si="15"/>
        <v>1</v>
      </c>
      <c r="AB34" s="1393">
        <f t="shared" si="16"/>
        <v>1</v>
      </c>
      <c r="AC34" s="1393">
        <f t="shared" si="17"/>
        <v>1</v>
      </c>
    </row>
    <row r="35" spans="1:29" ht="15">
      <c r="A35" s="417"/>
      <c r="B35" s="370" t="s">
        <v>2144</v>
      </c>
      <c r="C35" s="1890"/>
      <c r="D35" s="382">
        <v>100</v>
      </c>
      <c r="E35" s="1891"/>
      <c r="F35" s="408">
        <f>SUMIF(107:107,E35,108:108)-SUMIF(107:107,C35,108:108)+100</f>
        <v>100</v>
      </c>
      <c r="G35" s="1890"/>
      <c r="H35" s="382">
        <f>SUMIF(107:107,G35,108:108)-SUMIF(107:107,C35,108:108)+100</f>
        <v>100</v>
      </c>
      <c r="I35" s="1891"/>
      <c r="J35" s="382">
        <f>SUMIF(107:107,I35,108:108)-SUMIF(107:107,C35,108:108)+100</f>
        <v>100</v>
      </c>
      <c r="K35" s="373"/>
      <c r="L35" s="2654"/>
      <c r="M35" s="2649"/>
      <c r="N35" s="2649"/>
      <c r="O35" s="2649"/>
      <c r="P35" s="3413"/>
      <c r="Q35" s="1392" t="str">
        <f t="shared" si="11"/>
        <v>建筑品质</v>
      </c>
      <c r="R35" s="676" t="s">
        <v>21</v>
      </c>
      <c r="S35" s="677">
        <f t="shared" si="12"/>
        <v>100</v>
      </c>
      <c r="T35" s="676" t="s">
        <v>21</v>
      </c>
      <c r="U35" s="677">
        <f t="shared" si="13"/>
        <v>100</v>
      </c>
      <c r="V35" s="676" t="s">
        <v>21</v>
      </c>
      <c r="W35" s="677">
        <f t="shared" si="14"/>
        <v>100</v>
      </c>
      <c r="X35" s="1394"/>
      <c r="Y35" s="3378"/>
      <c r="Z35" s="1393" t="str">
        <f t="shared" si="18"/>
        <v>建筑品质</v>
      </c>
      <c r="AA35" s="1393">
        <f t="shared" si="15"/>
        <v>1</v>
      </c>
      <c r="AB35" s="1393">
        <f t="shared" si="16"/>
        <v>1</v>
      </c>
      <c r="AC35" s="1393">
        <f t="shared" si="17"/>
        <v>1</v>
      </c>
    </row>
    <row r="36" spans="1:29" ht="15">
      <c r="A36" s="417"/>
      <c r="B36" s="370" t="s">
        <v>2145</v>
      </c>
      <c r="C36" s="1890"/>
      <c r="D36" s="382">
        <v>100</v>
      </c>
      <c r="E36" s="1891"/>
      <c r="F36" s="408">
        <f>SUMIF(109:109,E36,110:110)-SUMIF(109:109,C36,110:110)+100</f>
        <v>100</v>
      </c>
      <c r="G36" s="1890"/>
      <c r="H36" s="382">
        <f>SUMIF(109:109,G36,110:110)-SUMIF(109:109,C36,110:110)+100</f>
        <v>100</v>
      </c>
      <c r="I36" s="1891"/>
      <c r="J36" s="382">
        <f>SUMIF(109:109,I36,110:110)-SUMIF(109:109,C36,110:110)+100</f>
        <v>100</v>
      </c>
      <c r="K36" s="373"/>
      <c r="L36" s="2654"/>
      <c r="M36" s="2649"/>
      <c r="N36" s="2649"/>
      <c r="O36" s="2649"/>
      <c r="P36" s="3413"/>
      <c r="Q36" s="1392" t="str">
        <f t="shared" si="11"/>
        <v>公共部分装修</v>
      </c>
      <c r="R36" s="676" t="s">
        <v>21</v>
      </c>
      <c r="S36" s="677">
        <f t="shared" si="12"/>
        <v>100</v>
      </c>
      <c r="T36" s="676" t="s">
        <v>21</v>
      </c>
      <c r="U36" s="677">
        <f t="shared" si="13"/>
        <v>100</v>
      </c>
      <c r="V36" s="676" t="s">
        <v>21</v>
      </c>
      <c r="W36" s="677">
        <f t="shared" si="14"/>
        <v>100</v>
      </c>
      <c r="X36" s="1394"/>
      <c r="Y36" s="3378"/>
      <c r="Z36" s="1393" t="str">
        <f t="shared" si="18"/>
        <v>公共部分装修</v>
      </c>
      <c r="AA36" s="1393">
        <f t="shared" si="15"/>
        <v>1</v>
      </c>
      <c r="AB36" s="1393">
        <f t="shared" si="16"/>
        <v>1</v>
      </c>
      <c r="AC36" s="1393">
        <f t="shared" si="17"/>
        <v>1</v>
      </c>
    </row>
    <row r="37" spans="1:29" s="107" customFormat="1" ht="15">
      <c r="A37" s="418"/>
      <c r="B37" s="370" t="s">
        <v>2146</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0"/>
      <c r="M37" s="2603"/>
      <c r="N37" s="2603"/>
      <c r="O37" s="2603"/>
      <c r="P37" s="3413"/>
      <c r="Q37" s="538" t="str">
        <f t="shared" si="11"/>
        <v>成新度</v>
      </c>
      <c r="R37" s="673" t="s">
        <v>21</v>
      </c>
      <c r="S37" s="674" t="e">
        <f t="shared" si="12"/>
        <v>#N/A</v>
      </c>
      <c r="T37" s="673" t="s">
        <v>21</v>
      </c>
      <c r="U37" s="674" t="e">
        <f t="shared" si="13"/>
        <v>#N/A</v>
      </c>
      <c r="V37" s="673" t="s">
        <v>21</v>
      </c>
      <c r="W37" s="674" t="e">
        <f t="shared" si="14"/>
        <v>#N/A</v>
      </c>
      <c r="X37" s="675"/>
      <c r="Y37" s="3378"/>
      <c r="Z37" s="53" t="str">
        <f t="shared" si="18"/>
        <v>成新度</v>
      </c>
      <c r="AA37" s="53" t="e">
        <f t="shared" si="15"/>
        <v>#N/A</v>
      </c>
      <c r="AB37" s="53" t="e">
        <f t="shared" si="16"/>
        <v>#N/A</v>
      </c>
      <c r="AC37" s="53" t="e">
        <f t="shared" si="17"/>
        <v>#N/A</v>
      </c>
    </row>
    <row r="38" spans="1:29" ht="15">
      <c r="A38" s="417"/>
      <c r="B38" s="370" t="s">
        <v>2147</v>
      </c>
      <c r="C38" s="1890"/>
      <c r="D38" s="382">
        <v>100</v>
      </c>
      <c r="E38" s="1891"/>
      <c r="F38" s="408">
        <f>SUMIF(114:114,E38,115:115)-SUMIF(114:114,C38,115:115)+100</f>
        <v>100</v>
      </c>
      <c r="G38" s="1890"/>
      <c r="H38" s="382">
        <f>SUMIF(114:114,G38,115:115)-SUMIF(114:114,C38,115:115)+100</f>
        <v>100</v>
      </c>
      <c r="I38" s="1891"/>
      <c r="J38" s="382">
        <f>SUMIF(114:114,I38,115:115)-SUMIF(114:114,C38,115:115)+100</f>
        <v>100</v>
      </c>
      <c r="K38" s="373"/>
      <c r="L38" s="2654"/>
      <c r="M38" s="2649"/>
      <c r="N38" s="2649"/>
      <c r="O38" s="2649"/>
      <c r="P38" s="3413" t="s">
        <v>2141</v>
      </c>
      <c r="Q38" s="1392" t="str">
        <f t="shared" si="11"/>
        <v>物业管理</v>
      </c>
      <c r="R38" s="676" t="s">
        <v>21</v>
      </c>
      <c r="S38" s="677">
        <f t="shared" si="12"/>
        <v>100</v>
      </c>
      <c r="T38" s="676" t="s">
        <v>21</v>
      </c>
      <c r="U38" s="677">
        <f t="shared" si="13"/>
        <v>100</v>
      </c>
      <c r="V38" s="676" t="s">
        <v>21</v>
      </c>
      <c r="W38" s="677">
        <f t="shared" si="14"/>
        <v>100</v>
      </c>
      <c r="X38" s="1394"/>
      <c r="Y38" s="3378" t="s">
        <v>2141</v>
      </c>
      <c r="Z38" s="1393" t="str">
        <f t="shared" si="18"/>
        <v>物业管理</v>
      </c>
      <c r="AA38" s="1393">
        <f t="shared" si="15"/>
        <v>1</v>
      </c>
      <c r="AB38" s="1393">
        <f t="shared" si="16"/>
        <v>1</v>
      </c>
      <c r="AC38" s="1393">
        <f t="shared" si="17"/>
        <v>1</v>
      </c>
    </row>
    <row r="39" spans="1:29" ht="15">
      <c r="A39" s="417"/>
      <c r="B39" s="370" t="s">
        <v>2148</v>
      </c>
      <c r="C39" s="1890"/>
      <c r="D39" s="382">
        <v>100</v>
      </c>
      <c r="E39" s="1891"/>
      <c r="F39" s="408">
        <f>SUMIF(116:116,E39,117:117)-SUMIF(116:116,C39,117:117)+100</f>
        <v>100</v>
      </c>
      <c r="G39" s="1890"/>
      <c r="H39" s="382">
        <f>SUMIF(116:116,G39,117:117)-SUMIF(116:116,C39,117:117)+100</f>
        <v>100</v>
      </c>
      <c r="I39" s="1891"/>
      <c r="J39" s="382">
        <f>SUMIF(116:116,I39,117:117)-SUMIF(116:116,C39,117:117)+100</f>
        <v>100</v>
      </c>
      <c r="K39" s="373"/>
      <c r="L39" s="2654"/>
      <c r="M39" s="2649"/>
      <c r="N39" s="2649"/>
      <c r="O39" s="2649"/>
      <c r="P39" s="3413"/>
      <c r="Q39" s="1392" t="str">
        <f t="shared" si="11"/>
        <v>市政基础设施</v>
      </c>
      <c r="R39" s="676" t="s">
        <v>21</v>
      </c>
      <c r="S39" s="677">
        <f t="shared" si="12"/>
        <v>100</v>
      </c>
      <c r="T39" s="676" t="s">
        <v>21</v>
      </c>
      <c r="U39" s="677">
        <f t="shared" si="13"/>
        <v>100</v>
      </c>
      <c r="V39" s="676" t="s">
        <v>21</v>
      </c>
      <c r="W39" s="677">
        <f t="shared" si="14"/>
        <v>100</v>
      </c>
      <c r="X39" s="1394"/>
      <c r="Y39" s="3378"/>
      <c r="Z39" s="1393" t="str">
        <f t="shared" si="18"/>
        <v>市政基础设施</v>
      </c>
      <c r="AA39" s="1393">
        <f t="shared" si="15"/>
        <v>1</v>
      </c>
      <c r="AB39" s="1393">
        <f t="shared" si="16"/>
        <v>1</v>
      </c>
      <c r="AC39" s="1393">
        <f t="shared" si="17"/>
        <v>1</v>
      </c>
    </row>
    <row r="40" spans="1:29" ht="15">
      <c r="A40" s="417"/>
      <c r="B40" s="370" t="s">
        <v>2149</v>
      </c>
      <c r="C40" s="1890"/>
      <c r="D40" s="382">
        <v>100</v>
      </c>
      <c r="E40" s="1891"/>
      <c r="F40" s="408">
        <f>SUMIF(118:118,E40,119:119)-SUMIF(118:118,C40,119:119)+100</f>
        <v>100</v>
      </c>
      <c r="G40" s="1890"/>
      <c r="H40" s="382">
        <f>SUMIF(118:118,G40,119:119)-SUMIF(118:118,C40,119:119)+100</f>
        <v>100</v>
      </c>
      <c r="I40" s="1891"/>
      <c r="J40" s="382">
        <f>SUMIF(118:118,I40,119:119)-SUMIF(118:118,C40,119:119)+100</f>
        <v>100</v>
      </c>
      <c r="K40" s="373"/>
      <c r="L40" s="2654"/>
      <c r="M40" s="2649"/>
      <c r="N40" s="2649"/>
      <c r="O40" s="2649"/>
      <c r="P40" s="3413"/>
      <c r="Q40" s="1392" t="str">
        <f t="shared" si="11"/>
        <v>房型</v>
      </c>
      <c r="R40" s="676" t="s">
        <v>21</v>
      </c>
      <c r="S40" s="677">
        <f t="shared" si="12"/>
        <v>100</v>
      </c>
      <c r="T40" s="676" t="s">
        <v>21</v>
      </c>
      <c r="U40" s="677">
        <f t="shared" si="13"/>
        <v>100</v>
      </c>
      <c r="V40" s="676" t="s">
        <v>21</v>
      </c>
      <c r="W40" s="677">
        <f t="shared" si="14"/>
        <v>100</v>
      </c>
      <c r="X40" s="1394"/>
      <c r="Y40" s="3378"/>
      <c r="Z40" s="1393" t="str">
        <f t="shared" si="18"/>
        <v>房型</v>
      </c>
      <c r="AA40" s="1393">
        <f t="shared" si="15"/>
        <v>1</v>
      </c>
      <c r="AB40" s="1393">
        <f t="shared" si="16"/>
        <v>1</v>
      </c>
      <c r="AC40" s="1393">
        <f t="shared" si="17"/>
        <v>1</v>
      </c>
    </row>
    <row r="41" spans="1:29" s="416" customFormat="1" ht="28.5">
      <c r="A41" s="414"/>
      <c r="B41" s="370" t="s">
        <v>2150</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8"/>
      <c r="L41" s="2653"/>
      <c r="M41" s="2655"/>
      <c r="N41" s="2655"/>
      <c r="O41" s="2655"/>
      <c r="P41" s="3413"/>
      <c r="Q41" s="539" t="str">
        <f t="shared" si="11"/>
        <v>单套/主力户型建筑面积</v>
      </c>
      <c r="R41" s="678" t="s">
        <v>21</v>
      </c>
      <c r="S41" s="679">
        <f t="shared" si="12"/>
        <v>100</v>
      </c>
      <c r="T41" s="678" t="s">
        <v>21</v>
      </c>
      <c r="U41" s="679">
        <f t="shared" si="13"/>
        <v>100</v>
      </c>
      <c r="V41" s="678" t="s">
        <v>21</v>
      </c>
      <c r="W41" s="679">
        <f t="shared" si="14"/>
        <v>100</v>
      </c>
      <c r="X41" s="680"/>
      <c r="Y41" s="3378"/>
      <c r="Z41" s="681" t="str">
        <f t="shared" si="18"/>
        <v>单套/主力户型建筑面积</v>
      </c>
      <c r="AA41" s="1393">
        <f t="shared" si="15"/>
        <v>1</v>
      </c>
      <c r="AB41" s="1393">
        <f t="shared" si="16"/>
        <v>1</v>
      </c>
      <c r="AC41" s="1393">
        <f t="shared" si="17"/>
        <v>1</v>
      </c>
    </row>
    <row r="42" spans="1:29" ht="15">
      <c r="A42" s="417"/>
      <c r="B42" s="370" t="s">
        <v>2151</v>
      </c>
      <c r="C42" s="1890"/>
      <c r="D42" s="382">
        <v>100</v>
      </c>
      <c r="E42" s="1891"/>
      <c r="F42" s="408">
        <f>SUMIF(122:122,E42,123:123)-SUMIF(122:122,C42,123:123)+100</f>
        <v>100</v>
      </c>
      <c r="G42" s="1890"/>
      <c r="H42" s="382">
        <f>SUMIF(122:122,G42,123:123)-SUMIF(122:122,C42,123:123)+100</f>
        <v>100</v>
      </c>
      <c r="I42" s="1891"/>
      <c r="J42" s="382">
        <f>SUMIF(122:122,I42,123:123)-SUMIF(122:122,C42,123:123)+100</f>
        <v>100</v>
      </c>
      <c r="K42" s="373"/>
      <c r="L42" s="2654"/>
      <c r="M42" s="2649"/>
      <c r="N42" s="2649"/>
      <c r="O42" s="2649"/>
      <c r="P42" s="3413"/>
      <c r="Q42" s="1392" t="str">
        <f t="shared" si="11"/>
        <v>内部装修</v>
      </c>
      <c r="R42" s="676" t="s">
        <v>21</v>
      </c>
      <c r="S42" s="677">
        <f t="shared" si="12"/>
        <v>100</v>
      </c>
      <c r="T42" s="676" t="s">
        <v>21</v>
      </c>
      <c r="U42" s="677">
        <f t="shared" si="13"/>
        <v>100</v>
      </c>
      <c r="V42" s="676" t="s">
        <v>21</v>
      </c>
      <c r="W42" s="677">
        <f t="shared" si="14"/>
        <v>100</v>
      </c>
      <c r="X42" s="1394"/>
      <c r="Y42" s="3378"/>
      <c r="Z42" s="1393" t="str">
        <f t="shared" si="18"/>
        <v>内部装修</v>
      </c>
      <c r="AA42" s="1393">
        <f t="shared" si="15"/>
        <v>1</v>
      </c>
      <c r="AB42" s="1393">
        <f t="shared" si="16"/>
        <v>1</v>
      </c>
      <c r="AC42" s="1393">
        <f t="shared" si="17"/>
        <v>1</v>
      </c>
    </row>
    <row r="43" spans="1:29" ht="15">
      <c r="A43" s="417"/>
      <c r="B43" s="370" t="s">
        <v>2152</v>
      </c>
      <c r="C43" s="1890"/>
      <c r="D43" s="382">
        <v>100</v>
      </c>
      <c r="E43" s="1891"/>
      <c r="F43" s="408">
        <f>SUMIF(124:124,E43,125:125)-SUMIF(124:124,C43,125:125)+100</f>
        <v>100</v>
      </c>
      <c r="G43" s="1890"/>
      <c r="H43" s="382">
        <f>SUMIF(124:124,G43,125:125)-SUMIF(124:124,C43,125:125)+100</f>
        <v>100</v>
      </c>
      <c r="I43" s="1891"/>
      <c r="J43" s="382">
        <f>SUMIF(124:124,I43,125:125)-SUMIF(124:124,C43,125:125)+100</f>
        <v>100</v>
      </c>
      <c r="K43" s="373"/>
      <c r="L43" s="2654"/>
      <c r="M43" s="2649"/>
      <c r="N43" s="2649"/>
      <c r="O43" s="2649"/>
      <c r="P43" s="3413"/>
      <c r="Q43" s="1392" t="str">
        <f t="shared" si="11"/>
        <v>内部装修维护情况</v>
      </c>
      <c r="R43" s="676" t="s">
        <v>21</v>
      </c>
      <c r="S43" s="677">
        <f t="shared" si="12"/>
        <v>100</v>
      </c>
      <c r="T43" s="676" t="s">
        <v>21</v>
      </c>
      <c r="U43" s="677">
        <f t="shared" si="13"/>
        <v>100</v>
      </c>
      <c r="V43" s="676" t="s">
        <v>21</v>
      </c>
      <c r="W43" s="677">
        <f t="shared" si="14"/>
        <v>100</v>
      </c>
      <c r="X43" s="1394"/>
      <c r="Y43" s="3378"/>
      <c r="Z43" s="1393" t="str">
        <f t="shared" si="18"/>
        <v>内部装修维护情况</v>
      </c>
      <c r="AA43" s="1393">
        <f t="shared" si="15"/>
        <v>1</v>
      </c>
      <c r="AB43" s="1393">
        <f t="shared" si="16"/>
        <v>1</v>
      </c>
      <c r="AC43" s="1393">
        <f t="shared" si="17"/>
        <v>1</v>
      </c>
    </row>
    <row r="44" spans="1:29" s="107" customFormat="1" ht="1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8"/>
      <c r="L44" s="2650"/>
      <c r="M44" s="2603"/>
      <c r="N44" s="2603"/>
      <c r="O44" s="2603"/>
      <c r="P44" s="3413"/>
      <c r="Q44" s="538">
        <f t="shared" si="11"/>
        <v>111</v>
      </c>
      <c r="R44" s="673" t="s">
        <v>21</v>
      </c>
      <c r="S44" s="674">
        <f t="shared" si="12"/>
        <v>100</v>
      </c>
      <c r="T44" s="673" t="s">
        <v>21</v>
      </c>
      <c r="U44" s="674">
        <f t="shared" si="13"/>
        <v>100</v>
      </c>
      <c r="V44" s="673" t="s">
        <v>21</v>
      </c>
      <c r="W44" s="674">
        <f t="shared" si="14"/>
        <v>100</v>
      </c>
      <c r="X44" s="675"/>
      <c r="Y44" s="3378"/>
      <c r="Z44" s="53">
        <f t="shared" si="18"/>
        <v>111</v>
      </c>
      <c r="AA44" s="53">
        <f t="shared" si="15"/>
        <v>1</v>
      </c>
      <c r="AB44" s="53">
        <f t="shared" si="16"/>
        <v>1</v>
      </c>
      <c r="AC44" s="53">
        <f t="shared" si="17"/>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8"/>
      <c r="L45" s="2654"/>
      <c r="M45" s="2649"/>
      <c r="N45" s="2649"/>
      <c r="O45" s="2649"/>
      <c r="P45" s="3413"/>
      <c r="Q45" s="1392">
        <f t="shared" si="11"/>
        <v>111</v>
      </c>
      <c r="R45" s="676" t="s">
        <v>21</v>
      </c>
      <c r="S45" s="677">
        <f t="shared" si="12"/>
        <v>100</v>
      </c>
      <c r="T45" s="676" t="s">
        <v>21</v>
      </c>
      <c r="U45" s="677">
        <f t="shared" si="13"/>
        <v>100</v>
      </c>
      <c r="V45" s="676" t="s">
        <v>21</v>
      </c>
      <c r="W45" s="677">
        <f t="shared" si="14"/>
        <v>100</v>
      </c>
      <c r="X45" s="1394"/>
      <c r="Y45" s="3378"/>
      <c r="Z45" s="1393">
        <f t="shared" si="18"/>
        <v>111</v>
      </c>
      <c r="AA45" s="1393">
        <f t="shared" si="15"/>
        <v>1</v>
      </c>
      <c r="AB45" s="1393">
        <f t="shared" si="16"/>
        <v>1</v>
      </c>
      <c r="AC45" s="1393">
        <f t="shared" si="17"/>
        <v>1</v>
      </c>
    </row>
    <row r="46" spans="1:29" ht="15.75" thickBot="1">
      <c r="A46" s="423"/>
      <c r="B46" s="1879">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8"/>
      <c r="L46" s="2654"/>
      <c r="M46" s="2649"/>
      <c r="N46" s="2649"/>
      <c r="O46" s="2649"/>
      <c r="P46" s="3414"/>
      <c r="Q46" s="1392">
        <f t="shared" si="11"/>
        <v>111</v>
      </c>
      <c r="R46" s="676" t="s">
        <v>20</v>
      </c>
      <c r="S46" s="677">
        <f t="shared" si="12"/>
        <v>100</v>
      </c>
      <c r="T46" s="676" t="s">
        <v>20</v>
      </c>
      <c r="U46" s="677">
        <f t="shared" si="13"/>
        <v>100</v>
      </c>
      <c r="V46" s="676" t="s">
        <v>20</v>
      </c>
      <c r="W46" s="677">
        <f t="shared" si="14"/>
        <v>100</v>
      </c>
      <c r="X46" s="1394"/>
      <c r="Y46" s="3415"/>
      <c r="Z46" s="1393">
        <f t="shared" si="18"/>
        <v>111</v>
      </c>
      <c r="AA46" s="1393">
        <f t="shared" si="15"/>
        <v>1</v>
      </c>
      <c r="AB46" s="1393">
        <f t="shared" si="16"/>
        <v>1</v>
      </c>
      <c r="AC46" s="1393">
        <f t="shared" si="17"/>
        <v>1</v>
      </c>
    </row>
    <row r="47" spans="1:29" ht="15">
      <c r="A47" s="424" t="s">
        <v>2153</v>
      </c>
      <c r="B47" s="425"/>
      <c r="C47" s="1191" t="s">
        <v>19</v>
      </c>
      <c r="D47" s="426"/>
      <c r="E47" s="427"/>
      <c r="F47" s="428"/>
      <c r="G47" s="429"/>
      <c r="H47" s="430"/>
      <c r="I47" s="427"/>
      <c r="J47" s="430"/>
      <c r="K47" s="1897"/>
      <c r="L47" s="2656"/>
      <c r="M47" s="2649"/>
      <c r="N47" s="2649"/>
      <c r="O47" s="2649"/>
      <c r="P47" s="3360" t="str">
        <f>A47</f>
        <v>成交单价（元/平方米）</v>
      </c>
      <c r="Q47" s="3360"/>
      <c r="R47" s="3373">
        <f>E47</f>
        <v>0</v>
      </c>
      <c r="S47" s="3373"/>
      <c r="T47" s="3373">
        <f>G47</f>
        <v>0</v>
      </c>
      <c r="U47" s="3373"/>
      <c r="V47" s="3373">
        <f>I47</f>
        <v>0</v>
      </c>
      <c r="W47" s="3373"/>
      <c r="X47" s="393"/>
      <c r="Y47" s="682"/>
      <c r="Z47" s="393"/>
      <c r="AA47" s="393"/>
      <c r="AB47" s="393"/>
      <c r="AC47" s="393"/>
    </row>
    <row r="48" spans="1:29" ht="15.75" thickBot="1">
      <c r="A48" s="431" t="s">
        <v>2154</v>
      </c>
      <c r="B48" s="432"/>
      <c r="C48" s="1192" t="e">
        <f>R49</f>
        <v>#DIV/0!</v>
      </c>
      <c r="D48" s="2301" t="s">
        <v>2634</v>
      </c>
      <c r="E48" s="1193" t="e">
        <f>R48</f>
        <v>#DIV/0!</v>
      </c>
      <c r="F48" s="2302"/>
      <c r="G48" s="1192" t="e">
        <f>T48</f>
        <v>#DIV/0!</v>
      </c>
      <c r="H48" s="2302"/>
      <c r="I48" s="1193" t="e">
        <f>V48</f>
        <v>#DIV/0!</v>
      </c>
      <c r="J48" s="2302"/>
      <c r="K48" s="2303">
        <f>F48+H48+J48</f>
        <v>0</v>
      </c>
      <c r="L48" s="2656"/>
      <c r="M48" s="2649"/>
      <c r="N48" s="2649"/>
      <c r="O48" s="2649"/>
      <c r="P48" s="3360" t="str">
        <f>A48</f>
        <v>比较价值（元/平方米）</v>
      </c>
      <c r="Q48" s="3360"/>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93"/>
      <c r="Y48" s="393"/>
      <c r="Z48" s="393"/>
      <c r="AA48" s="393"/>
      <c r="AB48" s="393"/>
      <c r="AC48" s="393"/>
    </row>
    <row r="49" spans="1:29" ht="15.75" thickBot="1">
      <c r="A49" s="435" t="s">
        <v>2155</v>
      </c>
      <c r="B49" s="436"/>
      <c r="C49" s="1194" t="e">
        <f>R49</f>
        <v>#DIV/0!</v>
      </c>
      <c r="D49" s="357"/>
      <c r="E49" s="357"/>
      <c r="F49" s="357"/>
      <c r="G49" s="357"/>
      <c r="H49" s="357"/>
      <c r="I49" s="357"/>
      <c r="J49" s="357"/>
      <c r="K49" s="1898"/>
      <c r="L49" s="2656"/>
      <c r="M49" s="2649"/>
      <c r="N49" s="2649"/>
      <c r="O49" s="2649"/>
      <c r="P49" s="3380" t="str">
        <f>A49</f>
        <v>估价对象XX用房的比较价值（楼面单价，元/平方米）</v>
      </c>
      <c r="Q49" s="3381"/>
      <c r="R49" s="3411" t="e">
        <f>IF(F1="售价",ROUND(IF(D48="简单平均",AVERAGE(R48:V48),R48*F48+T48*H48+V48*J48),0),ROUND(IF(D48="简单平均",AVERAGE(R48:V48),R48*F48+T48*H48+V48*J48),1))</f>
        <v>#DIV/0!</v>
      </c>
      <c r="S49" s="3411"/>
      <c r="T49" s="3411"/>
      <c r="U49" s="3411"/>
      <c r="V49" s="3411"/>
      <c r="W49" s="3411"/>
      <c r="X49" s="393"/>
      <c r="Y49" s="393"/>
      <c r="Z49" s="393"/>
      <c r="AA49" s="393"/>
      <c r="AB49" s="393"/>
      <c r="AC49" s="393"/>
    </row>
    <row r="50" spans="1:29">
      <c r="A50" s="2649"/>
      <c r="B50" s="2649"/>
      <c r="C50" s="2649"/>
      <c r="D50" s="2649"/>
      <c r="E50" s="2649"/>
      <c r="F50" s="2649"/>
      <c r="G50" s="2660"/>
      <c r="H50" s="2649"/>
      <c r="I50" s="2649"/>
      <c r="J50" s="2649"/>
      <c r="K50" s="2661"/>
      <c r="L50" s="2657"/>
      <c r="M50" s="2649"/>
      <c r="N50" s="2649"/>
      <c r="O50" s="2649"/>
    </row>
    <row r="51" spans="1:29">
      <c r="A51" s="2649"/>
      <c r="B51" s="2649"/>
      <c r="C51" s="2649"/>
      <c r="D51" s="2649"/>
      <c r="E51" s="2649"/>
      <c r="F51" s="2649"/>
      <c r="G51" s="2649"/>
      <c r="H51" s="2649"/>
      <c r="I51" s="2649"/>
      <c r="J51" s="2649"/>
      <c r="K51" s="2661"/>
      <c r="L51" s="2657"/>
      <c r="M51" s="2649"/>
      <c r="N51" s="2649"/>
      <c r="O51" s="2649"/>
    </row>
    <row r="52" spans="1:29" ht="13.5" customHeight="1">
      <c r="A52" s="2649"/>
      <c r="B52" s="2649"/>
      <c r="C52" s="440" t="s">
        <v>2156</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1"/>
      <c r="L52" s="2657"/>
      <c r="M52" s="2649"/>
      <c r="N52" s="2649"/>
      <c r="O52" s="2649"/>
    </row>
    <row r="53" spans="1:29" ht="13.5" customHeight="1">
      <c r="A53" s="2649"/>
      <c r="B53" s="2649"/>
      <c r="C53" s="440" t="s">
        <v>2157</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1"/>
      <c r="L53" s="2657"/>
      <c r="M53" s="2649"/>
      <c r="N53" s="2649"/>
      <c r="O53" s="2649"/>
    </row>
    <row r="54" spans="1:29" s="445" customFormat="1" ht="13.5" customHeight="1">
      <c r="A54" s="2659"/>
      <c r="B54" s="2659"/>
      <c r="C54" s="440" t="s">
        <v>2158</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4"/>
      <c r="L54" s="2658"/>
      <c r="M54" s="2659"/>
      <c r="N54" s="2659"/>
      <c r="O54" s="2659"/>
      <c r="P54" s="1900"/>
    </row>
    <row r="55" spans="1:29" s="445" customFormat="1">
      <c r="A55" s="2659"/>
      <c r="B55" s="2662"/>
      <c r="C55" s="2663"/>
      <c r="D55" s="2659"/>
      <c r="E55" s="2659"/>
      <c r="F55" s="2659"/>
      <c r="G55" s="2659"/>
      <c r="H55" s="2659"/>
      <c r="I55" s="2659"/>
      <c r="J55" s="2659"/>
      <c r="K55" s="2664"/>
      <c r="L55" s="2658"/>
      <c r="M55" s="2659"/>
      <c r="N55" s="2659"/>
      <c r="O55" s="2659"/>
      <c r="P55" s="1900"/>
    </row>
    <row r="56" spans="1:29">
      <c r="A56" s="2649"/>
      <c r="B56" s="2662"/>
      <c r="C56" s="2663"/>
      <c r="D56" s="2649"/>
      <c r="E56" s="2649"/>
      <c r="F56" s="2649"/>
      <c r="G56" s="2649"/>
      <c r="H56" s="2649"/>
      <c r="I56" s="2649"/>
      <c r="J56" s="2649"/>
      <c r="K56" s="2661"/>
      <c r="L56" s="2657"/>
      <c r="M56" s="2649"/>
      <c r="N56" s="2649"/>
      <c r="O56" s="2649"/>
    </row>
    <row r="57" spans="1:29" ht="21.75" thickBot="1">
      <c r="A57" s="667" t="s">
        <v>2159</v>
      </c>
      <c r="B57" s="393"/>
      <c r="C57" s="668"/>
      <c r="D57" s="668"/>
      <c r="E57" s="668"/>
      <c r="F57" s="669"/>
      <c r="G57" s="669"/>
      <c r="H57" s="668"/>
      <c r="I57" s="668"/>
      <c r="J57" s="668"/>
      <c r="K57" s="994"/>
      <c r="L57" s="995"/>
      <c r="M57" s="993"/>
      <c r="N57" s="993"/>
      <c r="O57" s="993"/>
      <c r="P57" s="1901"/>
      <c r="Q57" s="447"/>
    </row>
    <row r="58" spans="1:29" s="450" customFormat="1" ht="15">
      <c r="A58" s="448" t="s">
        <v>2160</v>
      </c>
      <c r="B58" s="449"/>
      <c r="C58" s="1215" t="str">
        <f>YEAR(C7)&amp;"-"&amp;MONTH(C7)</f>
        <v>2022-11</v>
      </c>
      <c r="D58" s="1214">
        <f>EDATE(C58,-1)</f>
        <v>44835</v>
      </c>
      <c r="E58" s="1214">
        <f>EDATE(D58,-1)</f>
        <v>44805</v>
      </c>
      <c r="F58" s="1214">
        <f t="shared" ref="F58:O58" si="19">EDATE(E58,-1)</f>
        <v>44774</v>
      </c>
      <c r="G58" s="1214">
        <f t="shared" si="19"/>
        <v>44743</v>
      </c>
      <c r="H58" s="1214">
        <f t="shared" si="19"/>
        <v>44713</v>
      </c>
      <c r="I58" s="1214">
        <f t="shared" si="19"/>
        <v>44682</v>
      </c>
      <c r="J58" s="1214">
        <f t="shared" si="19"/>
        <v>44652</v>
      </c>
      <c r="K58" s="1214">
        <f t="shared" si="19"/>
        <v>44621</v>
      </c>
      <c r="L58" s="1214">
        <f t="shared" si="19"/>
        <v>44593</v>
      </c>
      <c r="M58" s="1214">
        <f t="shared" si="19"/>
        <v>44562</v>
      </c>
      <c r="N58" s="1214">
        <f t="shared" si="19"/>
        <v>44531</v>
      </c>
      <c r="O58" s="1214">
        <f t="shared" si="19"/>
        <v>44501</v>
      </c>
      <c r="P58" s="1210"/>
    </row>
    <row r="59" spans="1:29" s="107" customFormat="1" ht="15">
      <c r="A59" s="451"/>
      <c r="B59" s="1902"/>
      <c r="C59" s="1212">
        <v>100</v>
      </c>
      <c r="D59" s="453"/>
      <c r="E59" s="454"/>
      <c r="F59" s="454"/>
      <c r="G59" s="454"/>
      <c r="H59" s="454"/>
      <c r="I59" s="454"/>
      <c r="J59" s="454"/>
      <c r="K59" s="454"/>
      <c r="L59" s="454"/>
      <c r="M59" s="455"/>
      <c r="N59" s="454"/>
      <c r="O59" s="455"/>
      <c r="P59" s="1903"/>
    </row>
    <row r="60" spans="1:29" s="107" customFormat="1" ht="15.75" thickBot="1">
      <c r="A60" s="457" t="s">
        <v>2161</v>
      </c>
      <c r="B60" s="458"/>
      <c r="C60" s="459"/>
      <c r="D60" s="460"/>
      <c r="E60" s="460"/>
      <c r="F60" s="460"/>
      <c r="G60" s="460"/>
      <c r="H60" s="460"/>
      <c r="I60" s="460"/>
      <c r="J60" s="460"/>
      <c r="K60" s="460"/>
      <c r="L60" s="460"/>
      <c r="M60" s="461"/>
      <c r="N60" s="460"/>
      <c r="O60" s="461"/>
      <c r="P60" s="1903"/>
      <c r="Q60" s="447"/>
    </row>
    <row r="61" spans="1:29" s="107" customFormat="1" ht="15">
      <c r="A61" s="463" t="s">
        <v>2162</v>
      </c>
      <c r="B61" s="452"/>
      <c r="C61" s="464" t="s">
        <v>2163</v>
      </c>
      <c r="D61" s="34"/>
      <c r="E61" s="34"/>
      <c r="F61" s="34"/>
      <c r="G61" s="34"/>
      <c r="H61" s="34"/>
      <c r="I61" s="34"/>
      <c r="J61" s="34"/>
      <c r="K61" s="34"/>
      <c r="L61" s="465"/>
      <c r="M61" s="466"/>
      <c r="N61" s="985"/>
      <c r="O61" s="985"/>
      <c r="P61" s="1904"/>
      <c r="Q61" s="447"/>
    </row>
    <row r="62" spans="1:29" s="107" customFormat="1" ht="15.75" thickBot="1">
      <c r="A62" s="463"/>
      <c r="B62" s="452"/>
      <c r="C62" s="453">
        <v>100</v>
      </c>
      <c r="D62" s="454"/>
      <c r="E62" s="454"/>
      <c r="F62" s="454"/>
      <c r="G62" s="454"/>
      <c r="H62" s="454"/>
      <c r="I62" s="454"/>
      <c r="J62" s="454"/>
      <c r="K62" s="454"/>
      <c r="L62" s="454"/>
      <c r="M62" s="456"/>
      <c r="N62" s="985"/>
      <c r="O62" s="985"/>
      <c r="P62" s="1903"/>
      <c r="Q62" s="447"/>
    </row>
    <row r="63" spans="1:29">
      <c r="A63" s="387" t="s">
        <v>2164</v>
      </c>
      <c r="B63" s="468" t="s">
        <v>2130</v>
      </c>
      <c r="C63" s="469">
        <f>C9</f>
        <v>0</v>
      </c>
      <c r="D63" s="470"/>
      <c r="E63" s="470"/>
      <c r="F63" s="470"/>
      <c r="G63" s="470"/>
      <c r="H63" s="470"/>
      <c r="I63" s="470"/>
      <c r="J63" s="470"/>
      <c r="K63" s="471"/>
      <c r="L63" s="472"/>
      <c r="M63" s="473"/>
      <c r="N63" s="986"/>
      <c r="O63" s="986"/>
      <c r="P63" s="1905"/>
      <c r="Q63" s="447"/>
    </row>
    <row r="64" spans="1:29" ht="15.75" thickBot="1">
      <c r="A64" s="375"/>
      <c r="B64" s="474"/>
      <c r="C64" s="475">
        <v>100</v>
      </c>
      <c r="D64" s="475"/>
      <c r="E64" s="475"/>
      <c r="F64" s="475"/>
      <c r="G64" s="475"/>
      <c r="H64" s="475"/>
      <c r="I64" s="475"/>
      <c r="J64" s="475"/>
      <c r="K64" s="475"/>
      <c r="L64" s="475"/>
      <c r="M64" s="476"/>
      <c r="N64" s="987"/>
      <c r="O64" s="987"/>
      <c r="P64" s="1905"/>
      <c r="Q64" s="447"/>
    </row>
    <row r="65" spans="1:17" ht="27.75" thickTop="1">
      <c r="A65" s="375"/>
      <c r="B65" s="477" t="s">
        <v>2133</v>
      </c>
      <c r="C65" s="478" t="s">
        <v>2165</v>
      </c>
      <c r="D65" s="478" t="s">
        <v>2166</v>
      </c>
      <c r="E65" s="478" t="s">
        <v>2167</v>
      </c>
      <c r="F65" s="478" t="s">
        <v>2168</v>
      </c>
      <c r="G65" s="478" t="s">
        <v>2169</v>
      </c>
      <c r="H65" s="478" t="s">
        <v>2170</v>
      </c>
      <c r="I65" s="478" t="s">
        <v>2171</v>
      </c>
      <c r="J65" s="478"/>
      <c r="K65" s="479"/>
      <c r="L65" s="480"/>
      <c r="M65" s="481"/>
      <c r="N65" s="986"/>
      <c r="O65" s="986"/>
      <c r="P65" s="1905"/>
      <c r="Q65" s="447"/>
    </row>
    <row r="66" spans="1:17" ht="15.7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7"/>
      <c r="O66" s="987"/>
      <c r="P66" s="1905"/>
      <c r="Q66" s="447"/>
    </row>
    <row r="67" spans="1:17" ht="15.75" thickTop="1">
      <c r="A67" s="375"/>
      <c r="B67" s="485" t="s">
        <v>2134</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7"/>
      <c r="O67" s="987"/>
      <c r="P67" s="1905"/>
      <c r="Q67" s="447"/>
    </row>
    <row r="68" spans="1:17" ht="15">
      <c r="A68" s="375"/>
      <c r="B68" s="487"/>
      <c r="C68" s="488"/>
      <c r="D68" s="488"/>
      <c r="E68" s="488"/>
      <c r="F68" s="488"/>
      <c r="G68" s="488"/>
      <c r="H68" s="488"/>
      <c r="I68" s="488"/>
      <c r="J68" s="488"/>
      <c r="K68" s="489"/>
      <c r="L68" s="490"/>
      <c r="M68" s="491"/>
      <c r="N68" s="986"/>
      <c r="O68" s="986"/>
      <c r="P68" s="1905"/>
      <c r="Q68" s="447"/>
    </row>
    <row r="69" spans="1:17" ht="15.7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7"/>
      <c r="O69" s="987"/>
      <c r="P69" s="1905"/>
      <c r="Q69" s="447"/>
    </row>
    <row r="70" spans="1:17" s="416" customFormat="1" ht="15.75" thickTop="1">
      <c r="A70" s="492"/>
      <c r="B70" s="477">
        <f>B12</f>
        <v>111</v>
      </c>
      <c r="C70" s="493"/>
      <c r="D70" s="493"/>
      <c r="E70" s="493"/>
      <c r="F70" s="493"/>
      <c r="G70" s="493"/>
      <c r="H70" s="494"/>
      <c r="I70" s="494"/>
      <c r="J70" s="494"/>
      <c r="K70" s="494"/>
      <c r="L70" s="495"/>
      <c r="M70" s="496"/>
      <c r="N70" s="988"/>
      <c r="O70" s="988"/>
      <c r="P70" s="1906"/>
      <c r="Q70" s="498"/>
    </row>
    <row r="71" spans="1:17" s="416" customFormat="1" ht="15.75" thickBot="1">
      <c r="A71" s="492"/>
      <c r="B71" s="482"/>
      <c r="C71" s="499"/>
      <c r="D71" s="475"/>
      <c r="E71" s="475"/>
      <c r="F71" s="475"/>
      <c r="G71" s="475"/>
      <c r="H71" s="475"/>
      <c r="I71" s="475"/>
      <c r="J71" s="475"/>
      <c r="K71" s="475"/>
      <c r="L71" s="475"/>
      <c r="M71" s="476"/>
      <c r="N71" s="987"/>
      <c r="O71" s="987"/>
      <c r="P71" s="1906"/>
      <c r="Q71" s="498"/>
    </row>
    <row r="72" spans="1:17" s="416" customFormat="1" ht="15.75" thickTop="1">
      <c r="A72" s="492"/>
      <c r="B72" s="477">
        <f>B13</f>
        <v>111</v>
      </c>
      <c r="C72" s="493"/>
      <c r="D72" s="493"/>
      <c r="E72" s="493"/>
      <c r="F72" s="493"/>
      <c r="G72" s="493"/>
      <c r="H72" s="494"/>
      <c r="I72" s="494"/>
      <c r="J72" s="494"/>
      <c r="K72" s="494"/>
      <c r="L72" s="495"/>
      <c r="M72" s="496"/>
      <c r="N72" s="988"/>
      <c r="O72" s="988"/>
      <c r="P72" s="1907"/>
      <c r="Q72" s="500"/>
    </row>
    <row r="73" spans="1:17" s="416" customFormat="1" ht="15.75" thickBot="1">
      <c r="A73" s="492"/>
      <c r="B73" s="482"/>
      <c r="C73" s="499"/>
      <c r="D73" s="499"/>
      <c r="E73" s="499"/>
      <c r="F73" s="499"/>
      <c r="G73" s="499"/>
      <c r="H73" s="501"/>
      <c r="I73" s="501"/>
      <c r="J73" s="501"/>
      <c r="K73" s="501"/>
      <c r="L73" s="501"/>
      <c r="M73" s="502"/>
      <c r="N73" s="988"/>
      <c r="O73" s="988"/>
      <c r="P73" s="1906"/>
      <c r="Q73" s="498"/>
    </row>
    <row r="74" spans="1:17" s="416" customFormat="1" ht="15.75" thickTop="1">
      <c r="A74" s="492"/>
      <c r="B74" s="485">
        <f>B14</f>
        <v>111</v>
      </c>
      <c r="C74" s="493"/>
      <c r="D74" s="493"/>
      <c r="E74" s="493"/>
      <c r="F74" s="493"/>
      <c r="G74" s="34"/>
      <c r="H74" s="503"/>
      <c r="I74" s="503"/>
      <c r="J74" s="503"/>
      <c r="K74" s="503"/>
      <c r="L74" s="504"/>
      <c r="M74" s="505"/>
      <c r="N74" s="988"/>
      <c r="O74" s="988"/>
      <c r="P74" s="1908"/>
      <c r="Q74" s="498"/>
    </row>
    <row r="75" spans="1:17" s="416" customFormat="1" ht="15.75" thickBot="1">
      <c r="A75" s="507"/>
      <c r="B75" s="508"/>
      <c r="C75" s="509"/>
      <c r="D75" s="509"/>
      <c r="E75" s="509"/>
      <c r="F75" s="509"/>
      <c r="G75" s="509"/>
      <c r="H75" s="510"/>
      <c r="I75" s="510"/>
      <c r="J75" s="510"/>
      <c r="K75" s="510"/>
      <c r="L75" s="510"/>
      <c r="M75" s="511"/>
      <c r="N75" s="988"/>
      <c r="O75" s="988"/>
      <c r="P75" s="1906"/>
      <c r="Q75" s="498"/>
    </row>
    <row r="76" spans="1:17">
      <c r="A76" s="387" t="s">
        <v>2135</v>
      </c>
      <c r="B76" s="468" t="s">
        <v>2172</v>
      </c>
      <c r="C76" s="512" t="s">
        <v>2173</v>
      </c>
      <c r="D76" s="512" t="s">
        <v>2174</v>
      </c>
      <c r="E76" s="512" t="s">
        <v>2175</v>
      </c>
      <c r="F76" s="512" t="s">
        <v>2176</v>
      </c>
      <c r="G76" s="512" t="s">
        <v>2177</v>
      </c>
      <c r="H76" s="469"/>
      <c r="I76" s="469"/>
      <c r="J76" s="469"/>
      <c r="K76" s="513"/>
      <c r="L76" s="514"/>
      <c r="M76" s="515"/>
      <c r="N76" s="986"/>
      <c r="O76" s="986"/>
      <c r="P76" s="1909"/>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987"/>
      <c r="O77" s="987"/>
      <c r="P77" s="1905"/>
      <c r="Q77" s="447"/>
    </row>
    <row r="78" spans="1:17" ht="15.75" thickTop="1">
      <c r="A78" s="375"/>
      <c r="B78" s="477" t="s">
        <v>2178</v>
      </c>
      <c r="C78" s="517" t="s">
        <v>2173</v>
      </c>
      <c r="D78" s="517" t="s">
        <v>2174</v>
      </c>
      <c r="E78" s="517" t="s">
        <v>2175</v>
      </c>
      <c r="F78" s="517" t="s">
        <v>2176</v>
      </c>
      <c r="G78" s="517" t="s">
        <v>2177</v>
      </c>
      <c r="H78" s="478"/>
      <c r="I78" s="478"/>
      <c r="J78" s="478"/>
      <c r="K78" s="479"/>
      <c r="L78" s="480"/>
      <c r="M78" s="481"/>
      <c r="N78" s="986"/>
      <c r="O78" s="986"/>
      <c r="P78" s="1905"/>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987"/>
      <c r="O79" s="987"/>
      <c r="P79" s="1905"/>
      <c r="Q79" s="447"/>
    </row>
    <row r="80" spans="1:17" ht="15.75" thickTop="1">
      <c r="A80" s="375"/>
      <c r="B80" s="477" t="s">
        <v>2179</v>
      </c>
      <c r="C80" s="517" t="s">
        <v>2173</v>
      </c>
      <c r="D80" s="517" t="s">
        <v>2174</v>
      </c>
      <c r="E80" s="517" t="s">
        <v>2175</v>
      </c>
      <c r="F80" s="517" t="s">
        <v>2176</v>
      </c>
      <c r="G80" s="517" t="s">
        <v>2177</v>
      </c>
      <c r="H80" s="478"/>
      <c r="I80" s="478"/>
      <c r="J80" s="478"/>
      <c r="K80" s="479"/>
      <c r="L80" s="480"/>
      <c r="M80" s="481"/>
      <c r="N80" s="986"/>
      <c r="O80" s="986"/>
      <c r="P80" s="1905"/>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987"/>
      <c r="O81" s="987"/>
      <c r="P81" s="1905"/>
      <c r="Q81" s="447"/>
    </row>
    <row r="82" spans="1:17" ht="15.75" thickTop="1">
      <c r="A82" s="375"/>
      <c r="B82" s="485" t="s">
        <v>1705</v>
      </c>
      <c r="C82" s="478" t="s">
        <v>2180</v>
      </c>
      <c r="D82" s="478" t="s">
        <v>2181</v>
      </c>
      <c r="E82" s="478" t="s">
        <v>2182</v>
      </c>
      <c r="F82" s="478" t="s">
        <v>2183</v>
      </c>
      <c r="G82" s="478" t="s">
        <v>2184</v>
      </c>
      <c r="H82" s="478"/>
      <c r="I82" s="478"/>
      <c r="J82" s="478"/>
      <c r="K82" s="478"/>
      <c r="L82" s="478"/>
      <c r="M82" s="1173"/>
      <c r="N82" s="987"/>
      <c r="O82" s="987"/>
      <c r="P82" s="1905"/>
      <c r="Q82" s="447"/>
    </row>
    <row r="83" spans="1:17" ht="15.7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987"/>
      <c r="O83" s="987"/>
      <c r="P83" s="1905"/>
      <c r="Q83" s="447"/>
    </row>
    <row r="84" spans="1:17" ht="15.75" thickTop="1">
      <c r="A84" s="375"/>
      <c r="B84" s="477" t="s">
        <v>2185</v>
      </c>
      <c r="C84" s="517" t="s">
        <v>2173</v>
      </c>
      <c r="D84" s="517" t="s">
        <v>2174</v>
      </c>
      <c r="E84" s="517" t="s">
        <v>2175</v>
      </c>
      <c r="F84" s="517" t="s">
        <v>2176</v>
      </c>
      <c r="G84" s="517" t="s">
        <v>2177</v>
      </c>
      <c r="H84" s="478"/>
      <c r="I84" s="478"/>
      <c r="J84" s="478"/>
      <c r="K84" s="479"/>
      <c r="L84" s="480"/>
      <c r="M84" s="481"/>
      <c r="N84" s="986"/>
      <c r="O84" s="986"/>
      <c r="P84" s="1905"/>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987"/>
      <c r="O85" s="987"/>
      <c r="P85" s="1905"/>
      <c r="Q85" s="447"/>
    </row>
    <row r="86" spans="1:17" s="107" customFormat="1" ht="15.75" thickTop="1">
      <c r="A86" s="378"/>
      <c r="B86" s="477" t="s">
        <v>2186</v>
      </c>
      <c r="C86" s="493"/>
      <c r="D86" s="493"/>
      <c r="E86" s="493"/>
      <c r="F86" s="493"/>
      <c r="G86" s="493"/>
      <c r="H86" s="493"/>
      <c r="I86" s="493"/>
      <c r="J86" s="493"/>
      <c r="K86" s="493"/>
      <c r="L86" s="518"/>
      <c r="M86" s="519"/>
      <c r="N86" s="985"/>
      <c r="O86" s="985"/>
      <c r="P86" s="1905"/>
      <c r="Q86" s="447"/>
    </row>
    <row r="87" spans="1:17" s="107" customFormat="1" ht="15.7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7"/>
      <c r="O87" s="987"/>
      <c r="P87" s="1905"/>
      <c r="Q87" s="447"/>
    </row>
    <row r="88" spans="1:17" s="107" customFormat="1" ht="15.75" thickTop="1">
      <c r="A88" s="378"/>
      <c r="B88" s="477" t="s">
        <v>2187</v>
      </c>
      <c r="C88" s="493"/>
      <c r="D88" s="493"/>
      <c r="E88" s="493"/>
      <c r="F88" s="1910"/>
      <c r="G88" s="493"/>
      <c r="H88" s="493"/>
      <c r="I88" s="493"/>
      <c r="J88" s="493"/>
      <c r="K88" s="493"/>
      <c r="L88" s="493"/>
      <c r="M88" s="519"/>
      <c r="N88" s="985"/>
      <c r="O88" s="985"/>
      <c r="P88" s="1905"/>
      <c r="Q88" s="447"/>
    </row>
    <row r="89" spans="1:17" s="107" customFormat="1" ht="15.7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7"/>
      <c r="O89" s="987"/>
      <c r="P89" s="1905"/>
      <c r="Q89" s="447"/>
    </row>
    <row r="90" spans="1:17" s="416" customFormat="1" ht="15.75" thickTop="1">
      <c r="A90" s="492"/>
      <c r="B90" s="477">
        <f>B27</f>
        <v>111</v>
      </c>
      <c r="C90" s="493"/>
      <c r="D90" s="493"/>
      <c r="E90" s="493"/>
      <c r="F90" s="493"/>
      <c r="G90" s="493"/>
      <c r="H90" s="494"/>
      <c r="I90" s="494"/>
      <c r="J90" s="494"/>
      <c r="K90" s="494"/>
      <c r="L90" s="495"/>
      <c r="M90" s="496"/>
      <c r="N90" s="988"/>
      <c r="O90" s="988"/>
      <c r="P90" s="1906"/>
      <c r="Q90" s="498"/>
    </row>
    <row r="91" spans="1:17" s="416" customFormat="1" ht="15.75" thickBot="1">
      <c r="A91" s="492"/>
      <c r="B91" s="482"/>
      <c r="C91" s="499"/>
      <c r="D91" s="499"/>
      <c r="E91" s="499"/>
      <c r="F91" s="499"/>
      <c r="G91" s="499"/>
      <c r="H91" s="501"/>
      <c r="I91" s="501"/>
      <c r="J91" s="501"/>
      <c r="K91" s="501"/>
      <c r="L91" s="501"/>
      <c r="M91" s="502"/>
      <c r="N91" s="988"/>
      <c r="O91" s="988"/>
      <c r="P91" s="1906"/>
      <c r="Q91" s="498"/>
    </row>
    <row r="92" spans="1:17" ht="15.75" thickTop="1">
      <c r="A92" s="375"/>
      <c r="B92" s="477">
        <f>B28</f>
        <v>111</v>
      </c>
      <c r="C92" s="493"/>
      <c r="D92" s="493"/>
      <c r="E92" s="493"/>
      <c r="F92" s="493"/>
      <c r="G92" s="521"/>
      <c r="H92" s="521"/>
      <c r="I92" s="521"/>
      <c r="J92" s="521"/>
      <c r="K92" s="522"/>
      <c r="L92" s="523"/>
      <c r="M92" s="524"/>
      <c r="N92" s="986"/>
      <c r="O92" s="986"/>
      <c r="P92" s="1905"/>
      <c r="Q92" s="447"/>
    </row>
    <row r="93" spans="1:17" ht="15.75" thickBot="1">
      <c r="A93" s="375"/>
      <c r="B93" s="482"/>
      <c r="C93" s="499"/>
      <c r="D93" s="475"/>
      <c r="E93" s="475"/>
      <c r="F93" s="475"/>
      <c r="G93" s="475"/>
      <c r="H93" s="475"/>
      <c r="I93" s="475"/>
      <c r="J93" s="475"/>
      <c r="K93" s="475"/>
      <c r="L93" s="475"/>
      <c r="M93" s="476"/>
      <c r="N93" s="987"/>
      <c r="O93" s="987"/>
      <c r="P93" s="1905"/>
      <c r="Q93" s="447"/>
    </row>
    <row r="94" spans="1:17" ht="15.75" thickTop="1">
      <c r="A94" s="375"/>
      <c r="B94" s="477">
        <f>B29</f>
        <v>111</v>
      </c>
      <c r="C94" s="493"/>
      <c r="D94" s="493"/>
      <c r="E94" s="493"/>
      <c r="F94" s="493"/>
      <c r="G94" s="521"/>
      <c r="H94" s="521"/>
      <c r="I94" s="521"/>
      <c r="J94" s="521"/>
      <c r="K94" s="522"/>
      <c r="L94" s="523"/>
      <c r="M94" s="524"/>
      <c r="N94" s="986"/>
      <c r="O94" s="986"/>
      <c r="P94" s="1905"/>
      <c r="Q94" s="447"/>
    </row>
    <row r="95" spans="1:17" ht="15.75" thickBot="1">
      <c r="A95" s="375"/>
      <c r="B95" s="482"/>
      <c r="C95" s="499"/>
      <c r="D95" s="499"/>
      <c r="E95" s="499"/>
      <c r="F95" s="499"/>
      <c r="G95" s="475"/>
      <c r="H95" s="475"/>
      <c r="I95" s="475"/>
      <c r="J95" s="475"/>
      <c r="K95" s="475"/>
      <c r="L95" s="475"/>
      <c r="M95" s="476"/>
      <c r="N95" s="987"/>
      <c r="O95" s="987"/>
      <c r="P95" s="1905"/>
      <c r="Q95" s="447"/>
    </row>
    <row r="96" spans="1:17" ht="15.75" thickTop="1">
      <c r="A96" s="375"/>
      <c r="B96" s="477">
        <f>B30</f>
        <v>111</v>
      </c>
      <c r="C96" s="493"/>
      <c r="D96" s="493"/>
      <c r="E96" s="493"/>
      <c r="F96" s="493"/>
      <c r="G96" s="521"/>
      <c r="H96" s="521"/>
      <c r="I96" s="521"/>
      <c r="J96" s="521"/>
      <c r="K96" s="522"/>
      <c r="L96" s="523"/>
      <c r="M96" s="524"/>
      <c r="N96" s="986"/>
      <c r="O96" s="986"/>
      <c r="P96" s="1905"/>
      <c r="Q96" s="447"/>
    </row>
    <row r="97" spans="1:17" ht="15.75" thickBot="1">
      <c r="A97" s="375"/>
      <c r="B97" s="482"/>
      <c r="C97" s="509"/>
      <c r="D97" s="509"/>
      <c r="E97" s="509"/>
      <c r="F97" s="509"/>
      <c r="G97" s="475"/>
      <c r="H97" s="475"/>
      <c r="I97" s="475"/>
      <c r="J97" s="475"/>
      <c r="K97" s="475"/>
      <c r="L97" s="475"/>
      <c r="M97" s="476"/>
      <c r="N97" s="987"/>
      <c r="O97" s="987"/>
      <c r="P97" s="1905"/>
      <c r="Q97" s="447"/>
    </row>
    <row r="98" spans="1:17" ht="15.75" thickTop="1">
      <c r="A98" s="375"/>
      <c r="B98" s="485">
        <f>B31</f>
        <v>111</v>
      </c>
      <c r="C98" s="525"/>
      <c r="D98" s="525"/>
      <c r="E98" s="525"/>
      <c r="F98" s="525"/>
      <c r="G98" s="525"/>
      <c r="H98" s="525"/>
      <c r="I98" s="525"/>
      <c r="J98" s="525"/>
      <c r="K98" s="526"/>
      <c r="L98" s="527"/>
      <c r="M98" s="528"/>
      <c r="N98" s="986"/>
      <c r="O98" s="986"/>
      <c r="P98" s="1905"/>
      <c r="Q98" s="447"/>
    </row>
    <row r="99" spans="1:17" ht="15.75" thickBot="1">
      <c r="A99" s="383"/>
      <c r="B99" s="508"/>
      <c r="C99" s="529"/>
      <c r="D99" s="529"/>
      <c r="E99" s="529"/>
      <c r="F99" s="529"/>
      <c r="G99" s="529"/>
      <c r="H99" s="529"/>
      <c r="I99" s="529"/>
      <c r="J99" s="529"/>
      <c r="K99" s="529"/>
      <c r="L99" s="529"/>
      <c r="M99" s="530"/>
      <c r="N99" s="987"/>
      <c r="O99" s="987"/>
      <c r="P99" s="1905"/>
      <c r="Q99" s="447"/>
    </row>
    <row r="100" spans="1:17">
      <c r="A100" s="387" t="s">
        <v>2139</v>
      </c>
      <c r="B100" s="468" t="s">
        <v>2188</v>
      </c>
      <c r="C100" s="470"/>
      <c r="D100" s="470"/>
      <c r="E100" s="470"/>
      <c r="F100" s="470"/>
      <c r="G100" s="470"/>
      <c r="H100" s="470"/>
      <c r="I100" s="470"/>
      <c r="J100" s="470"/>
      <c r="K100" s="471"/>
      <c r="L100" s="472"/>
      <c r="M100" s="473"/>
      <c r="N100" s="986"/>
      <c r="O100" s="986"/>
      <c r="P100" s="1905"/>
      <c r="Q100" s="447"/>
    </row>
    <row r="101" spans="1:17" ht="15.7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7"/>
      <c r="O101" s="987"/>
      <c r="P101" s="1905"/>
      <c r="Q101" s="447"/>
    </row>
    <row r="102" spans="1:17" ht="15.75" thickTop="1">
      <c r="A102" s="375"/>
      <c r="B102" s="477" t="s">
        <v>2189</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5"/>
      <c r="O102" s="985"/>
      <c r="P102" s="1905"/>
      <c r="Q102" s="447"/>
    </row>
    <row r="103" spans="1:17" s="416" customFormat="1">
      <c r="A103" s="414"/>
      <c r="B103" s="531"/>
      <c r="C103" s="9"/>
      <c r="D103" s="9"/>
      <c r="E103" s="9"/>
      <c r="F103" s="9"/>
      <c r="G103" s="9"/>
      <c r="H103" s="9"/>
      <c r="I103" s="9"/>
      <c r="J103" s="532"/>
      <c r="K103" s="532"/>
      <c r="L103" s="533"/>
      <c r="M103" s="534"/>
      <c r="N103" s="988"/>
      <c r="O103" s="988"/>
      <c r="P103" s="1906"/>
      <c r="Q103" s="498"/>
    </row>
    <row r="104" spans="1:17" s="416" customFormat="1" ht="15.75" thickBot="1">
      <c r="A104" s="492"/>
      <c r="B104" s="482"/>
      <c r="C104" s="499"/>
      <c r="D104" s="475"/>
      <c r="E104" s="475"/>
      <c r="F104" s="475"/>
      <c r="G104" s="475"/>
      <c r="H104" s="475"/>
      <c r="I104" s="475"/>
      <c r="J104" s="475"/>
      <c r="K104" s="475"/>
      <c r="L104" s="475"/>
      <c r="M104" s="475"/>
      <c r="N104" s="987"/>
      <c r="O104" s="987"/>
      <c r="P104" s="1906"/>
      <c r="Q104" s="498"/>
    </row>
    <row r="105" spans="1:17" ht="15" thickTop="1">
      <c r="A105" s="417"/>
      <c r="B105" s="477" t="s">
        <v>2190</v>
      </c>
      <c r="C105" s="493"/>
      <c r="D105" s="493"/>
      <c r="E105" s="521"/>
      <c r="F105" s="521"/>
      <c r="G105" s="521"/>
      <c r="H105" s="521"/>
      <c r="I105" s="521"/>
      <c r="J105" s="521"/>
      <c r="K105" s="522"/>
      <c r="L105" s="523"/>
      <c r="M105" s="524"/>
      <c r="N105" s="986"/>
      <c r="O105" s="986"/>
      <c r="P105" s="1905"/>
      <c r="Q105" s="447"/>
    </row>
    <row r="106" spans="1:17" ht="15.7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7"/>
      <c r="O106" s="987"/>
      <c r="P106" s="1905"/>
      <c r="Q106" s="447"/>
    </row>
    <row r="107" spans="1:17" ht="15" thickTop="1">
      <c r="A107" s="417"/>
      <c r="B107" s="477" t="s">
        <v>2191</v>
      </c>
      <c r="C107" s="521"/>
      <c r="D107" s="521"/>
      <c r="E107" s="521"/>
      <c r="F107" s="521"/>
      <c r="G107" s="521"/>
      <c r="H107" s="521"/>
      <c r="I107" s="521"/>
      <c r="J107" s="521"/>
      <c r="K107" s="522"/>
      <c r="L107" s="523"/>
      <c r="M107" s="524"/>
      <c r="N107" s="986"/>
      <c r="O107" s="986"/>
      <c r="P107" s="1905"/>
      <c r="Q107" s="447"/>
    </row>
    <row r="108" spans="1:17" ht="15.7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7"/>
      <c r="O108" s="987"/>
      <c r="P108" s="1905"/>
      <c r="Q108" s="447"/>
    </row>
    <row r="109" spans="1:17" ht="15" thickTop="1">
      <c r="A109" s="417"/>
      <c r="B109" s="477" t="s">
        <v>2192</v>
      </c>
      <c r="C109" s="493"/>
      <c r="D109" s="493"/>
      <c r="E109" s="493"/>
      <c r="F109" s="521"/>
      <c r="G109" s="521"/>
      <c r="H109" s="521"/>
      <c r="I109" s="521"/>
      <c r="J109" s="521"/>
      <c r="K109" s="522"/>
      <c r="L109" s="523"/>
      <c r="M109" s="524"/>
      <c r="N109" s="986"/>
      <c r="O109" s="986"/>
      <c r="P109" s="1905"/>
      <c r="Q109" s="447"/>
    </row>
    <row r="110" spans="1:17" ht="15.7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7"/>
      <c r="O110" s="987"/>
      <c r="P110" s="1905"/>
      <c r="Q110" s="447"/>
    </row>
    <row r="111" spans="1:17" s="416" customFormat="1" ht="15" thickTop="1">
      <c r="A111" s="414"/>
      <c r="B111" s="477" t="s">
        <v>1635</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6"/>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6"/>
      <c r="Q112" s="498"/>
    </row>
    <row r="113" spans="1:17" s="416" customFormat="1" ht="15.7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6"/>
      <c r="Q113" s="498"/>
    </row>
    <row r="114" spans="1:17" ht="15" thickTop="1">
      <c r="A114" s="417"/>
      <c r="B114" s="477" t="s">
        <v>2193</v>
      </c>
      <c r="C114" s="493"/>
      <c r="D114" s="493"/>
      <c r="E114" s="521"/>
      <c r="F114" s="521"/>
      <c r="G114" s="521"/>
      <c r="H114" s="521"/>
      <c r="I114" s="521"/>
      <c r="J114" s="521"/>
      <c r="K114" s="522"/>
      <c r="L114" s="523"/>
      <c r="M114" s="524"/>
      <c r="N114" s="986"/>
      <c r="O114" s="986"/>
      <c r="P114" s="1905"/>
      <c r="Q114" s="447"/>
    </row>
    <row r="115" spans="1:17" ht="15.7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7"/>
      <c r="O115" s="987"/>
      <c r="P115" s="1905"/>
      <c r="Q115" s="447"/>
    </row>
    <row r="116" spans="1:17" ht="15" thickTop="1">
      <c r="A116" s="417"/>
      <c r="B116" s="477" t="s">
        <v>2194</v>
      </c>
      <c r="C116" s="493"/>
      <c r="D116" s="493"/>
      <c r="E116" s="493"/>
      <c r="F116" s="493"/>
      <c r="G116" s="493"/>
      <c r="H116" s="521"/>
      <c r="I116" s="521"/>
      <c r="J116" s="521"/>
      <c r="K116" s="522"/>
      <c r="L116" s="523"/>
      <c r="M116" s="524"/>
      <c r="N116" s="986"/>
      <c r="O116" s="986"/>
      <c r="P116" s="1905"/>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5"/>
      <c r="Q117" s="447"/>
    </row>
    <row r="118" spans="1:17" ht="15" thickTop="1">
      <c r="A118" s="417"/>
      <c r="B118" s="477" t="s">
        <v>2195</v>
      </c>
      <c r="C118" s="521"/>
      <c r="D118" s="521"/>
      <c r="E118" s="521"/>
      <c r="F118" s="521"/>
      <c r="G118" s="521"/>
      <c r="H118" s="521"/>
      <c r="I118" s="521"/>
      <c r="J118" s="521"/>
      <c r="K118" s="522"/>
      <c r="L118" s="523"/>
      <c r="M118" s="524"/>
      <c r="N118" s="986"/>
      <c r="O118" s="986"/>
      <c r="P118" s="1905"/>
      <c r="Q118" s="447"/>
    </row>
    <row r="119" spans="1:17" ht="15.7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7"/>
      <c r="O119" s="987"/>
      <c r="P119" s="1905"/>
      <c r="Q119" s="447"/>
    </row>
    <row r="120" spans="1:17" s="416" customFormat="1" ht="28.5" thickTop="1">
      <c r="A120" s="414"/>
      <c r="B120" s="477" t="s">
        <v>2150</v>
      </c>
      <c r="C120" s="493"/>
      <c r="D120" s="493"/>
      <c r="E120" s="493"/>
      <c r="F120" s="493"/>
      <c r="G120" s="493"/>
      <c r="H120" s="493"/>
      <c r="I120" s="493"/>
      <c r="J120" s="493"/>
      <c r="K120" s="493"/>
      <c r="L120" s="518"/>
      <c r="M120" s="519"/>
      <c r="N120" s="988"/>
      <c r="O120" s="988"/>
      <c r="P120" s="1906"/>
      <c r="Q120" s="498"/>
    </row>
    <row r="121" spans="1:17" s="416" customFormat="1" ht="15.75" thickBot="1">
      <c r="A121" s="492"/>
      <c r="B121" s="474"/>
      <c r="C121" s="499"/>
      <c r="D121" s="475"/>
      <c r="E121" s="475"/>
      <c r="F121" s="475"/>
      <c r="G121" s="475"/>
      <c r="H121" s="475"/>
      <c r="I121" s="475"/>
      <c r="J121" s="475"/>
      <c r="K121" s="475"/>
      <c r="L121" s="475"/>
      <c r="M121" s="475"/>
      <c r="N121" s="988"/>
      <c r="O121" s="988"/>
      <c r="P121" s="1906"/>
      <c r="Q121" s="498"/>
    </row>
    <row r="122" spans="1:17" ht="15" thickTop="1">
      <c r="A122" s="417"/>
      <c r="B122" s="477" t="s">
        <v>2196</v>
      </c>
      <c r="C122" s="493"/>
      <c r="D122" s="493"/>
      <c r="E122" s="493"/>
      <c r="F122" s="521"/>
      <c r="G122" s="521"/>
      <c r="H122" s="521"/>
      <c r="I122" s="521"/>
      <c r="J122" s="521"/>
      <c r="K122" s="522"/>
      <c r="L122" s="523"/>
      <c r="M122" s="524"/>
      <c r="N122" s="986"/>
      <c r="O122" s="986"/>
      <c r="P122" s="1905"/>
      <c r="Q122" s="447"/>
    </row>
    <row r="123" spans="1:17" ht="15.7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7"/>
      <c r="O123" s="987"/>
      <c r="P123" s="1905"/>
      <c r="Q123" s="447"/>
    </row>
    <row r="124" spans="1:17" ht="15" thickTop="1">
      <c r="A124" s="417"/>
      <c r="B124" s="477" t="s">
        <v>2197</v>
      </c>
      <c r="C124" s="517" t="s">
        <v>2173</v>
      </c>
      <c r="D124" s="517" t="s">
        <v>2174</v>
      </c>
      <c r="E124" s="517" t="s">
        <v>2175</v>
      </c>
      <c r="F124" s="517" t="s">
        <v>2176</v>
      </c>
      <c r="G124" s="517" t="s">
        <v>2177</v>
      </c>
      <c r="H124" s="478"/>
      <c r="I124" s="478"/>
      <c r="J124" s="478"/>
      <c r="K124" s="479"/>
      <c r="L124" s="480"/>
      <c r="M124" s="481"/>
      <c r="N124" s="986"/>
      <c r="O124" s="986"/>
      <c r="P124" s="1906"/>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5"/>
      <c r="Q125" s="447"/>
    </row>
    <row r="126" spans="1:17" s="416" customFormat="1" ht="15" thickTop="1">
      <c r="A126" s="414"/>
      <c r="B126" s="477">
        <f>B44</f>
        <v>111</v>
      </c>
      <c r="C126" s="493"/>
      <c r="D126" s="493"/>
      <c r="E126" s="493"/>
      <c r="F126" s="493"/>
      <c r="G126" s="493"/>
      <c r="H126" s="494"/>
      <c r="I126" s="494"/>
      <c r="J126" s="494"/>
      <c r="K126" s="494"/>
      <c r="L126" s="495"/>
      <c r="M126" s="496"/>
      <c r="N126" s="988"/>
      <c r="O126" s="988"/>
      <c r="P126" s="1906"/>
      <c r="Q126" s="498"/>
    </row>
    <row r="127" spans="1:17" s="416" customFormat="1" ht="15.75" thickBot="1">
      <c r="A127" s="492"/>
      <c r="B127" s="482"/>
      <c r="C127" s="499"/>
      <c r="D127" s="475"/>
      <c r="E127" s="475"/>
      <c r="F127" s="475"/>
      <c r="G127" s="499"/>
      <c r="H127" s="501"/>
      <c r="I127" s="501"/>
      <c r="J127" s="501"/>
      <c r="K127" s="501"/>
      <c r="L127" s="501"/>
      <c r="M127" s="502"/>
      <c r="N127" s="988"/>
      <c r="O127" s="988"/>
      <c r="P127" s="1906"/>
      <c r="Q127" s="498"/>
    </row>
    <row r="128" spans="1:17" ht="15" thickTop="1">
      <c r="A128" s="417"/>
      <c r="B128" s="477">
        <f>B45</f>
        <v>111</v>
      </c>
      <c r="C128" s="493"/>
      <c r="D128" s="493"/>
      <c r="E128" s="493"/>
      <c r="F128" s="493"/>
      <c r="G128" s="521"/>
      <c r="H128" s="521"/>
      <c r="I128" s="521"/>
      <c r="J128" s="521"/>
      <c r="K128" s="522"/>
      <c r="L128" s="523"/>
      <c r="M128" s="524"/>
      <c r="N128" s="986"/>
      <c r="O128" s="986"/>
      <c r="P128" s="1905"/>
      <c r="Q128" s="447"/>
    </row>
    <row r="129" spans="1:17" ht="15.75" thickBot="1">
      <c r="A129" s="375"/>
      <c r="B129" s="482"/>
      <c r="C129" s="499"/>
      <c r="D129" s="499"/>
      <c r="E129" s="499"/>
      <c r="F129" s="499"/>
      <c r="G129" s="475"/>
      <c r="H129" s="475"/>
      <c r="I129" s="475"/>
      <c r="J129" s="475"/>
      <c r="K129" s="475"/>
      <c r="L129" s="475"/>
      <c r="M129" s="476"/>
      <c r="N129" s="987"/>
      <c r="O129" s="987"/>
      <c r="P129" s="1905"/>
      <c r="Q129" s="447"/>
    </row>
    <row r="130" spans="1:17" ht="15" thickTop="1">
      <c r="A130" s="417"/>
      <c r="B130" s="485">
        <f>B46</f>
        <v>111</v>
      </c>
      <c r="C130" s="493"/>
      <c r="D130" s="493"/>
      <c r="E130" s="493"/>
      <c r="F130" s="493"/>
      <c r="G130" s="525"/>
      <c r="H130" s="525"/>
      <c r="I130" s="525"/>
      <c r="J130" s="525"/>
      <c r="K130" s="34"/>
      <c r="L130" s="465"/>
      <c r="M130" s="528"/>
      <c r="N130" s="986"/>
      <c r="O130" s="986"/>
      <c r="P130" s="1905"/>
      <c r="Q130" s="447"/>
    </row>
    <row r="131" spans="1:17" ht="15.75" thickBot="1">
      <c r="A131" s="383"/>
      <c r="B131" s="508"/>
      <c r="C131" s="509"/>
      <c r="D131" s="509"/>
      <c r="E131" s="509"/>
      <c r="F131" s="509"/>
      <c r="G131" s="529"/>
      <c r="H131" s="529"/>
      <c r="I131" s="529"/>
      <c r="J131" s="529"/>
      <c r="K131" s="529"/>
      <c r="L131" s="529"/>
      <c r="M131" s="530"/>
      <c r="N131" s="987"/>
      <c r="O131" s="987"/>
      <c r="P131" s="1905"/>
      <c r="Q131" s="447"/>
    </row>
    <row r="136" spans="1:17" ht="15" thickBot="1">
      <c r="B136" s="1911" t="s">
        <v>2198</v>
      </c>
    </row>
    <row r="137" spans="1:17" ht="15">
      <c r="B137" s="1912" t="s">
        <v>2199</v>
      </c>
      <c r="C137" s="1913"/>
      <c r="D137" s="1913"/>
      <c r="E137" s="1913"/>
      <c r="F137" s="1913"/>
      <c r="G137" s="1914"/>
      <c r="H137" s="1915"/>
      <c r="I137" s="1916" t="s">
        <v>2200</v>
      </c>
      <c r="J137" s="1913"/>
      <c r="K137" s="1917"/>
    </row>
    <row r="138" spans="1:17" ht="15">
      <c r="B138" s="1918"/>
      <c r="C138" s="134" t="s">
        <v>2201</v>
      </c>
      <c r="D138" s="134" t="s">
        <v>2202</v>
      </c>
      <c r="E138" s="1919" t="s">
        <v>2203</v>
      </c>
      <c r="F138" s="1920" t="s">
        <v>2204</v>
      </c>
      <c r="G138" s="134" t="s">
        <v>2202</v>
      </c>
      <c r="H138" s="135" t="s">
        <v>2203</v>
      </c>
      <c r="I138" s="1921"/>
      <c r="J138" s="134" t="s">
        <v>2205</v>
      </c>
      <c r="K138" s="135" t="s">
        <v>2206</v>
      </c>
    </row>
    <row r="139" spans="1:17" ht="15">
      <c r="B139" s="921">
        <v>6</v>
      </c>
      <c r="C139" s="922">
        <v>96</v>
      </c>
      <c r="D139" s="1922" t="s">
        <v>2207</v>
      </c>
      <c r="E139" s="923">
        <v>100</v>
      </c>
      <c r="F139" s="924">
        <v>102.5</v>
      </c>
      <c r="G139" s="1922" t="s">
        <v>2207</v>
      </c>
      <c r="H139" s="925">
        <v>105</v>
      </c>
      <c r="I139" s="1923" t="s">
        <v>2208</v>
      </c>
      <c r="J139" s="922">
        <v>20</v>
      </c>
      <c r="K139" s="926">
        <f>C145/(J139-2)</f>
        <v>4.0555555555555553E-3</v>
      </c>
    </row>
    <row r="140" spans="1:17" ht="15">
      <c r="B140" s="927">
        <v>5</v>
      </c>
      <c r="C140" s="928">
        <v>100</v>
      </c>
      <c r="D140" s="928"/>
      <c r="E140" s="929"/>
      <c r="F140" s="930">
        <v>102</v>
      </c>
      <c r="G140" s="928"/>
      <c r="H140" s="931"/>
      <c r="I140" s="1924" t="s">
        <v>2209</v>
      </c>
      <c r="J140" s="269">
        <f>ROUNDUP((J139-1)/2,0)</f>
        <v>10</v>
      </c>
      <c r="K140" s="932">
        <v>100</v>
      </c>
    </row>
    <row r="141" spans="1:17" ht="15">
      <c r="B141" s="927">
        <v>4</v>
      </c>
      <c r="C141" s="928">
        <v>102</v>
      </c>
      <c r="D141" s="928"/>
      <c r="E141" s="929"/>
      <c r="F141" s="930">
        <v>101.5</v>
      </c>
      <c r="G141" s="928"/>
      <c r="H141" s="931"/>
      <c r="I141" s="1924" t="s">
        <v>2210</v>
      </c>
      <c r="J141" s="269">
        <v>1</v>
      </c>
      <c r="K141" s="933">
        <f>ROUND(100+(J141-J140)*K139*100,1)</f>
        <v>96.4</v>
      </c>
    </row>
    <row r="142" spans="1:17" ht="15">
      <c r="B142" s="927">
        <v>3</v>
      </c>
      <c r="C142" s="928">
        <v>103</v>
      </c>
      <c r="D142" s="928"/>
      <c r="E142" s="929"/>
      <c r="F142" s="930">
        <v>101</v>
      </c>
      <c r="G142" s="928"/>
      <c r="H142" s="931"/>
      <c r="I142" s="1924" t="s">
        <v>2211</v>
      </c>
      <c r="J142" s="269">
        <f>J139</f>
        <v>20</v>
      </c>
      <c r="K142" s="934">
        <v>95</v>
      </c>
    </row>
    <row r="143" spans="1:17" ht="15">
      <c r="B143" s="927">
        <v>2</v>
      </c>
      <c r="C143" s="928">
        <v>100</v>
      </c>
      <c r="D143" s="928"/>
      <c r="E143" s="929"/>
      <c r="F143" s="930">
        <v>100.5</v>
      </c>
      <c r="G143" s="928"/>
      <c r="H143" s="931"/>
      <c r="I143" s="1924" t="s">
        <v>2212</v>
      </c>
      <c r="J143" s="928">
        <v>15</v>
      </c>
      <c r="K143" s="933">
        <f>ROUND(100+(J143-J140)*K139*100,1)</f>
        <v>102</v>
      </c>
    </row>
    <row r="144" spans="1:17" ht="15">
      <c r="B144" s="927">
        <v>1</v>
      </c>
      <c r="C144" s="928">
        <v>98</v>
      </c>
      <c r="D144" s="1925" t="s">
        <v>2213</v>
      </c>
      <c r="E144" s="929">
        <v>102</v>
      </c>
      <c r="F144" s="935">
        <v>100</v>
      </c>
      <c r="G144" s="1925" t="s">
        <v>2213</v>
      </c>
      <c r="H144" s="931">
        <v>105</v>
      </c>
      <c r="I144" s="1924" t="s">
        <v>2212</v>
      </c>
      <c r="J144" s="928">
        <v>18</v>
      </c>
      <c r="K144" s="933">
        <f>ROUND(100+(J144-J140)*K139*100,1)</f>
        <v>103.2</v>
      </c>
    </row>
    <row r="145" spans="2:11" ht="15.75" thickBot="1">
      <c r="B145" s="1926" t="s">
        <v>2214</v>
      </c>
      <c r="C145" s="936">
        <f>ROUND(MAX(C139:C144)/MIN(C139:C144)-1,3)</f>
        <v>7.2999999999999995E-2</v>
      </c>
      <c r="D145" s="937"/>
      <c r="E145" s="937"/>
      <c r="F145" s="1927" t="s">
        <v>2215</v>
      </c>
      <c r="G145" s="1928"/>
      <c r="H145" s="1929"/>
      <c r="I145" s="1930" t="s">
        <v>2212</v>
      </c>
      <c r="J145" s="938">
        <v>8</v>
      </c>
      <c r="K145" s="939">
        <f>ROUND(100+(J145-J140)*K139*100,1)</f>
        <v>99.2</v>
      </c>
    </row>
    <row r="147" spans="2:11">
      <c r="B147" s="1911" t="s">
        <v>2216</v>
      </c>
    </row>
    <row r="148" spans="2:11">
      <c r="B148" s="1911" t="s">
        <v>2217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2104</v>
      </c>
      <c r="B1" s="1864" t="s">
        <v>2218</v>
      </c>
      <c r="C1" s="1270" t="s">
        <v>2106</v>
      </c>
      <c r="D1" s="1257"/>
      <c r="E1" s="2306"/>
      <c r="F1" s="1865"/>
      <c r="G1" s="1267" t="s">
        <v>2219</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1903</v>
      </c>
      <c r="B2" s="1195" t="e">
        <f ca="1">IF(C2="——",ROUND(C49*D3/10000,0),ROUND(C49*D3/10000,0)-D2)</f>
        <v>#DIV/0!</v>
      </c>
      <c r="C2" s="1867"/>
      <c r="D2" s="1160" t="e">
        <f ca="1">SUMIF(INDIRECT("'"&amp;F2&amp;"'"&amp;"!A:A"),"承租人权益价值",INDIRECT("'"&amp;F2&amp;"'"&amp;"!c:c"))</f>
        <v>#REF!</v>
      </c>
      <c r="E2" s="1868" t="s">
        <v>1904</v>
      </c>
      <c r="F2" s="1869"/>
      <c r="G2" s="962"/>
      <c r="H2" s="962"/>
      <c r="I2" s="962"/>
      <c r="J2" s="962"/>
      <c r="K2" s="962"/>
      <c r="L2" s="2665"/>
      <c r="M2" s="2666"/>
      <c r="N2" s="2666"/>
      <c r="O2" s="2666"/>
      <c r="P2" s="1934"/>
      <c r="Q2" s="966"/>
      <c r="R2" s="966"/>
      <c r="S2" s="966"/>
      <c r="T2" s="966"/>
      <c r="U2" s="966"/>
      <c r="V2" s="966"/>
      <c r="W2" s="966"/>
      <c r="X2" s="966"/>
      <c r="Y2" s="966"/>
      <c r="Z2" s="966"/>
      <c r="AA2" s="966"/>
      <c r="AB2" s="966"/>
      <c r="AC2" s="1935"/>
    </row>
    <row r="3" spans="1:29" s="348" customFormat="1" ht="28.5" customHeight="1" thickBot="1">
      <c r="A3" s="201" t="s">
        <v>1905</v>
      </c>
      <c r="B3" s="544" t="e">
        <f ca="1">IF(C2="——",C49,ROUND(B2*10000/D3,0))</f>
        <v>#DIV/0!</v>
      </c>
      <c r="C3" s="350" t="s">
        <v>2220</v>
      </c>
      <c r="D3" s="349">
        <f>IF(D1="",'数据-汇总表'!E3,SUMIF('数据-汇总表'!$C19:$C33,D1,'数据-汇总表'!$E19:$E33))</f>
        <v>176954.78</v>
      </c>
      <c r="E3" s="1935"/>
      <c r="F3" s="963"/>
      <c r="G3" s="962"/>
      <c r="H3" s="962"/>
      <c r="I3" s="962"/>
      <c r="J3" s="962"/>
      <c r="K3" s="964"/>
      <c r="L3" s="2665"/>
      <c r="M3" s="2666"/>
      <c r="N3" s="2666"/>
      <c r="O3" s="2666"/>
      <c r="P3" s="1934"/>
      <c r="Q3" s="966"/>
      <c r="R3" s="966"/>
      <c r="S3" s="966"/>
      <c r="T3" s="966"/>
      <c r="U3" s="966"/>
      <c r="V3" s="966"/>
      <c r="W3" s="966"/>
      <c r="X3" s="966"/>
      <c r="Y3" s="966"/>
      <c r="Z3" s="966"/>
      <c r="AA3" s="966"/>
      <c r="AB3" s="966"/>
      <c r="AC3" s="1935"/>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365" t="s">
        <v>2227</v>
      </c>
      <c r="Q4" s="3366"/>
      <c r="R4" s="3348" t="s">
        <v>2223</v>
      </c>
      <c r="S4" s="3349"/>
      <c r="T4" s="3348" t="s">
        <v>2224</v>
      </c>
      <c r="U4" s="3349"/>
      <c r="V4" s="3373" t="s">
        <v>2225</v>
      </c>
      <c r="W4" s="3373"/>
      <c r="X4" s="1394"/>
      <c r="Y4" s="3348" t="s">
        <v>2227</v>
      </c>
      <c r="Z4" s="3349"/>
      <c r="AA4" s="3343" t="s">
        <v>2223</v>
      </c>
      <c r="AB4" s="3373" t="s">
        <v>2224</v>
      </c>
      <c r="AC4" s="3343" t="s">
        <v>2225</v>
      </c>
    </row>
    <row r="5" spans="1:29" ht="15">
      <c r="A5" s="354"/>
      <c r="B5" s="355"/>
      <c r="C5" s="3354" t="s">
        <v>2118</v>
      </c>
      <c r="D5" s="3355"/>
      <c r="E5" s="3352" t="s">
        <v>2119</v>
      </c>
      <c r="F5" s="3353"/>
      <c r="G5" s="3354" t="s">
        <v>2120</v>
      </c>
      <c r="H5" s="3355"/>
      <c r="I5" s="3354" t="s">
        <v>2121</v>
      </c>
      <c r="J5" s="3355"/>
      <c r="K5" s="545"/>
      <c r="L5" s="2648"/>
      <c r="M5" s="2649"/>
      <c r="N5" s="2649"/>
      <c r="O5" s="2649"/>
      <c r="P5" s="3367"/>
      <c r="Q5" s="3368"/>
      <c r="R5" s="3350"/>
      <c r="S5" s="3351"/>
      <c r="T5" s="3350"/>
      <c r="U5" s="3351"/>
      <c r="V5" s="3373"/>
      <c r="W5" s="3373"/>
      <c r="X5" s="1394"/>
      <c r="Y5" s="3350"/>
      <c r="Z5" s="3351"/>
      <c r="AA5" s="3344"/>
      <c r="AB5" s="3373"/>
      <c r="AC5" s="3344"/>
    </row>
    <row r="6" spans="1:29" ht="15.75" thickBot="1">
      <c r="A6" s="356"/>
      <c r="B6" s="357"/>
      <c r="C6" s="3356" t="s">
        <v>2122</v>
      </c>
      <c r="D6" s="3357"/>
      <c r="E6" s="3358" t="s">
        <v>2122</v>
      </c>
      <c r="F6" s="3359"/>
      <c r="G6" s="3356" t="s">
        <v>2122</v>
      </c>
      <c r="H6" s="3357"/>
      <c r="I6" s="3356" t="s">
        <v>2122</v>
      </c>
      <c r="J6" s="3357"/>
      <c r="K6" s="545" t="s">
        <v>2123</v>
      </c>
      <c r="L6" s="2648"/>
      <c r="M6" s="2649"/>
      <c r="N6" s="2649"/>
      <c r="O6" s="2649"/>
      <c r="P6" s="3369"/>
      <c r="Q6" s="3370"/>
      <c r="R6" s="3350"/>
      <c r="S6" s="3351"/>
      <c r="T6" s="3371"/>
      <c r="U6" s="3372"/>
      <c r="V6" s="3373"/>
      <c r="W6" s="3373"/>
      <c r="X6" s="1394"/>
      <c r="Y6" s="3371"/>
      <c r="Z6" s="3372"/>
      <c r="AA6" s="3345"/>
      <c r="AB6" s="3373"/>
      <c r="AC6" s="3345"/>
    </row>
    <row r="7" spans="1:29" s="107" customFormat="1" ht="15.75" thickBot="1">
      <c r="A7" s="358" t="s">
        <v>2124</v>
      </c>
      <c r="B7" s="359"/>
      <c r="C7" s="360">
        <f>'数据-取费表'!B2</f>
        <v>44890</v>
      </c>
      <c r="D7" s="361">
        <v>100</v>
      </c>
      <c r="E7" s="362"/>
      <c r="F7" s="363">
        <f>SUMIF(58:58,YEAR(E7)&amp;"-"&amp;MONTH(E7),59:59)</f>
        <v>0</v>
      </c>
      <c r="G7" s="362"/>
      <c r="H7" s="361">
        <f>SUMIF(58:58,YEAR(G7)&amp;"-"&amp;MONTH(G7),59:59)</f>
        <v>0</v>
      </c>
      <c r="I7" s="362"/>
      <c r="J7" s="361">
        <f>SUMIF(58:58,YEAR(I7)&amp;"-"&amp;MONTH(I7),59:59)</f>
        <v>0</v>
      </c>
      <c r="K7" s="41"/>
      <c r="L7" s="2650"/>
      <c r="M7" s="2603"/>
      <c r="N7" s="2603"/>
      <c r="O7" s="2603"/>
      <c r="P7" s="3346" t="s">
        <v>2125</v>
      </c>
      <c r="Q7" s="3374"/>
      <c r="R7" s="673" t="s">
        <v>17</v>
      </c>
      <c r="S7" s="674">
        <f t="shared" ref="S7:S15" si="0">F7</f>
        <v>0</v>
      </c>
      <c r="T7" s="673" t="s">
        <v>17</v>
      </c>
      <c r="U7" s="674">
        <f t="shared" ref="U7:U15" si="1">H7</f>
        <v>0</v>
      </c>
      <c r="V7" s="673" t="s">
        <v>17</v>
      </c>
      <c r="W7" s="674">
        <f t="shared" ref="W7:W15" si="2">J7</f>
        <v>0</v>
      </c>
      <c r="X7" s="675"/>
      <c r="Y7" s="3346" t="s">
        <v>2125</v>
      </c>
      <c r="Z7" s="3347"/>
      <c r="AA7" s="53" t="e">
        <f>D7/F7</f>
        <v>#DIV/0!</v>
      </c>
      <c r="AB7" s="53" t="e">
        <f>D7/H7</f>
        <v>#DIV/0!</v>
      </c>
      <c r="AC7" s="53" t="e">
        <f>D7/J7</f>
        <v>#DIV/0!</v>
      </c>
    </row>
    <row r="8" spans="1:29" s="107" customFormat="1" ht="15.75" thickBot="1">
      <c r="A8" s="358" t="s">
        <v>2126</v>
      </c>
      <c r="B8" s="359"/>
      <c r="C8" s="364" t="s">
        <v>2228</v>
      </c>
      <c r="D8" s="361">
        <v>100</v>
      </c>
      <c r="E8" s="364"/>
      <c r="F8" s="363">
        <f>SUMIF(61:61,E8,62:62)-SUMIF(61:61,C8,62:62)+100</f>
        <v>0</v>
      </c>
      <c r="G8" s="364"/>
      <c r="H8" s="361">
        <f>SUMIF(61:61,G8,62:62)-SUMIF(61:61,C8,62:62)+100</f>
        <v>0</v>
      </c>
      <c r="I8" s="364"/>
      <c r="J8" s="361">
        <f>SUMIF(61:61,I8,62:62)-SUMIF(61:61,C8,62:62)+100</f>
        <v>0</v>
      </c>
      <c r="K8" s="41"/>
      <c r="L8" s="2650"/>
      <c r="M8" s="2603"/>
      <c r="N8" s="2603"/>
      <c r="O8" s="2603"/>
      <c r="P8" s="3346" t="s">
        <v>2128</v>
      </c>
      <c r="Q8" s="3347"/>
      <c r="R8" s="673" t="s">
        <v>17</v>
      </c>
      <c r="S8" s="674">
        <f t="shared" si="0"/>
        <v>0</v>
      </c>
      <c r="T8" s="673" t="s">
        <v>17</v>
      </c>
      <c r="U8" s="674">
        <f t="shared" si="1"/>
        <v>0</v>
      </c>
      <c r="V8" s="673" t="s">
        <v>17</v>
      </c>
      <c r="W8" s="674">
        <f t="shared" si="2"/>
        <v>0</v>
      </c>
      <c r="X8" s="675"/>
      <c r="Y8" s="3346" t="s">
        <v>2128</v>
      </c>
      <c r="Z8" s="3347"/>
      <c r="AA8" s="53" t="e">
        <f t="shared" ref="AA8:AA46" si="3">D8/F8</f>
        <v>#DIV/0!</v>
      </c>
      <c r="AB8" s="53" t="e">
        <f t="shared" ref="AB8:AB46" si="4">D8/H8</f>
        <v>#DIV/0!</v>
      </c>
      <c r="AC8" s="53" t="e">
        <f t="shared" ref="AC8:AC46" si="5">D8/J8</f>
        <v>#DIV/0!</v>
      </c>
    </row>
    <row r="9" spans="1:29" s="107" customFormat="1">
      <c r="A9" s="365" t="s">
        <v>2129</v>
      </c>
      <c r="B9" s="64" t="s">
        <v>2130</v>
      </c>
      <c r="C9" s="366"/>
      <c r="D9" s="63">
        <v>100</v>
      </c>
      <c r="E9" s="367"/>
      <c r="F9" s="64">
        <f>SUMIF(63:63,E9,64:64)-SUMIF(63:63,C9,64:64)+100</f>
        <v>100</v>
      </c>
      <c r="G9" s="367"/>
      <c r="H9" s="63">
        <f>SUMIF(63:63,G9,64:64)-SUMIF(63:63,C9,64:64)+100</f>
        <v>100</v>
      </c>
      <c r="I9" s="367"/>
      <c r="J9" s="63">
        <f>SUMIF(63:63,I9,64:64)-SUMIF(63:63,C9,64:64)+100</f>
        <v>100</v>
      </c>
      <c r="K9" s="41"/>
      <c r="L9" s="2650"/>
      <c r="M9" s="2603"/>
      <c r="N9" s="2603"/>
      <c r="O9" s="2603"/>
      <c r="P9" s="3384" t="s">
        <v>2131</v>
      </c>
      <c r="Q9" s="538" t="str">
        <f t="shared" ref="Q9:Q15" si="6">B9</f>
        <v>用途</v>
      </c>
      <c r="R9" s="673" t="s">
        <v>17</v>
      </c>
      <c r="S9" s="674">
        <f t="shared" si="0"/>
        <v>100</v>
      </c>
      <c r="T9" s="673" t="s">
        <v>17</v>
      </c>
      <c r="U9" s="674">
        <f t="shared" si="1"/>
        <v>100</v>
      </c>
      <c r="V9" s="673" t="s">
        <v>17</v>
      </c>
      <c r="W9" s="674">
        <f t="shared" si="2"/>
        <v>100</v>
      </c>
      <c r="X9" s="675"/>
      <c r="Y9" s="3316" t="s">
        <v>2132</v>
      </c>
      <c r="Z9" s="53" t="str">
        <f t="shared" ref="Z9:Z15" si="7">Q9</f>
        <v>用途</v>
      </c>
      <c r="AA9" s="53">
        <f t="shared" si="3"/>
        <v>1</v>
      </c>
      <c r="AB9" s="53">
        <f t="shared" si="4"/>
        <v>1</v>
      </c>
      <c r="AC9" s="53">
        <f t="shared" si="5"/>
        <v>1</v>
      </c>
    </row>
    <row r="10" spans="1:29" s="374" customFormat="1" ht="27">
      <c r="A10" s="369"/>
      <c r="B10" s="370" t="s">
        <v>2133</v>
      </c>
      <c r="C10" s="371"/>
      <c r="D10" s="124">
        <v>100</v>
      </c>
      <c r="E10" s="372"/>
      <c r="F10" s="370">
        <f>SUMIF(65:65,E10,66:66)-SUMIF(65:65,C10,66:66)+100</f>
        <v>100</v>
      </c>
      <c r="G10" s="371"/>
      <c r="H10" s="124">
        <f>SUMIF(65:65,G10,66:66)-SUMIF(65:65,C10,66:66)+100</f>
        <v>100</v>
      </c>
      <c r="I10" s="371"/>
      <c r="J10" s="124">
        <f>SUMIF(65:65,I10,66:66)-SUMIF(65:65,C10,66:66)+100</f>
        <v>100</v>
      </c>
      <c r="K10" s="546"/>
      <c r="L10" s="2651"/>
      <c r="M10" s="2652"/>
      <c r="N10" s="2652"/>
      <c r="O10" s="2652"/>
      <c r="P10" s="3384"/>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53">
        <f t="shared" si="5"/>
        <v>1</v>
      </c>
    </row>
    <row r="11" spans="1:29" ht="15">
      <c r="A11" s="375"/>
      <c r="B11" s="370" t="s">
        <v>2134</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3"/>
      <c r="M11" s="2649"/>
      <c r="N11" s="2649"/>
      <c r="O11" s="2649"/>
      <c r="P11" s="3384"/>
      <c r="Q11" s="538" t="str">
        <f t="shared" si="6"/>
        <v>容积率</v>
      </c>
      <c r="R11" s="673" t="s">
        <v>17</v>
      </c>
      <c r="S11" s="674" t="e">
        <f t="shared" si="0"/>
        <v>#N/A</v>
      </c>
      <c r="T11" s="673" t="s">
        <v>17</v>
      </c>
      <c r="U11" s="674" t="e">
        <f t="shared" si="1"/>
        <v>#N/A</v>
      </c>
      <c r="V11" s="673" t="s">
        <v>17</v>
      </c>
      <c r="W11" s="674" t="e">
        <f t="shared" si="2"/>
        <v>#N/A</v>
      </c>
      <c r="X11" s="675"/>
      <c r="Y11" s="3316"/>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0"/>
      <c r="M12" s="2603"/>
      <c r="N12" s="2603"/>
      <c r="O12" s="2603"/>
      <c r="P12" s="3384"/>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4"/>
      <c r="M13" s="2649"/>
      <c r="N13" s="2649"/>
      <c r="O13" s="2649"/>
      <c r="P13" s="3384"/>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53">
        <f t="shared" si="5"/>
        <v>1</v>
      </c>
    </row>
    <row r="14" spans="1:29" ht="15.75"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4"/>
      <c r="M14" s="2649"/>
      <c r="N14" s="2649"/>
      <c r="O14" s="2649"/>
      <c r="P14" s="3384"/>
      <c r="Q14" s="538">
        <f t="shared" si="6"/>
        <v>111</v>
      </c>
      <c r="R14" s="673" t="s">
        <v>17</v>
      </c>
      <c r="S14" s="674">
        <f t="shared" si="0"/>
        <v>100</v>
      </c>
      <c r="T14" s="673" t="s">
        <v>17</v>
      </c>
      <c r="U14" s="674">
        <f t="shared" si="1"/>
        <v>100</v>
      </c>
      <c r="V14" s="673" t="s">
        <v>17</v>
      </c>
      <c r="W14" s="674">
        <f t="shared" si="2"/>
        <v>100</v>
      </c>
      <c r="X14" s="675"/>
      <c r="Y14" s="3316"/>
      <c r="Z14" s="53">
        <f t="shared" si="7"/>
        <v>111</v>
      </c>
      <c r="AA14" s="53">
        <f t="shared" si="3"/>
        <v>1</v>
      </c>
      <c r="AB14" s="53">
        <f t="shared" si="4"/>
        <v>1</v>
      </c>
      <c r="AC14" s="53">
        <f t="shared" si="5"/>
        <v>1</v>
      </c>
    </row>
    <row r="15" spans="1:29" ht="71.25">
      <c r="A15" s="387" t="s">
        <v>2135</v>
      </c>
      <c r="B15" s="62" t="s">
        <v>2229</v>
      </c>
      <c r="C15" s="1880"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54"/>
      <c r="M15" s="2649"/>
      <c r="N15" s="2649"/>
      <c r="O15" s="2649"/>
      <c r="P15" s="3416" t="s">
        <v>2136</v>
      </c>
      <c r="Q15" s="1392" t="str">
        <f t="shared" si="6"/>
        <v>商业繁华度</v>
      </c>
      <c r="R15" s="676" t="s">
        <v>17</v>
      </c>
      <c r="S15" s="677">
        <f t="shared" si="0"/>
        <v>100</v>
      </c>
      <c r="T15" s="676" t="s">
        <v>17</v>
      </c>
      <c r="U15" s="677">
        <f t="shared" si="1"/>
        <v>100</v>
      </c>
      <c r="V15" s="676" t="s">
        <v>17</v>
      </c>
      <c r="W15" s="677">
        <f t="shared" si="2"/>
        <v>100</v>
      </c>
      <c r="X15" s="1394"/>
      <c r="Y15" s="3375" t="s">
        <v>2136</v>
      </c>
      <c r="Z15" s="1393" t="str">
        <f t="shared" si="7"/>
        <v>商业繁华度</v>
      </c>
      <c r="AA15" s="1393">
        <f t="shared" si="3"/>
        <v>1</v>
      </c>
      <c r="AB15" s="1393">
        <f t="shared" si="4"/>
        <v>1</v>
      </c>
      <c r="AC15" s="1393">
        <f t="shared" si="5"/>
        <v>1</v>
      </c>
    </row>
    <row r="16" spans="1:29" ht="15">
      <c r="A16" s="375"/>
      <c r="B16" s="393"/>
      <c r="C16" s="394"/>
      <c r="D16" s="395"/>
      <c r="E16" s="394"/>
      <c r="F16" s="396"/>
      <c r="G16" s="394"/>
      <c r="H16" s="397"/>
      <c r="I16" s="394"/>
      <c r="J16" s="395"/>
      <c r="K16" s="549"/>
      <c r="L16" s="2654"/>
      <c r="M16" s="2649"/>
      <c r="N16" s="2649"/>
      <c r="O16" s="2649"/>
      <c r="P16" s="3417"/>
      <c r="Q16" s="1392"/>
      <c r="R16" s="676"/>
      <c r="S16" s="677"/>
      <c r="T16" s="676"/>
      <c r="U16" s="677"/>
      <c r="V16" s="676"/>
      <c r="W16" s="677"/>
      <c r="X16" s="1394"/>
      <c r="Y16" s="3376"/>
      <c r="Z16" s="1393"/>
      <c r="AA16" s="1393">
        <v>1</v>
      </c>
      <c r="AB16" s="1393">
        <v>1</v>
      </c>
      <c r="AC16" s="1393">
        <v>1</v>
      </c>
    </row>
    <row r="17" spans="1:29" ht="85.5">
      <c r="A17" s="375"/>
      <c r="B17" s="398" t="s">
        <v>1704</v>
      </c>
      <c r="C17" s="1884"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4"/>
      <c r="M17" s="2649"/>
      <c r="N17" s="2649"/>
      <c r="O17" s="2649"/>
      <c r="P17" s="3417"/>
      <c r="Q17" s="1392" t="str">
        <f>B17</f>
        <v>交通便捷度</v>
      </c>
      <c r="R17" s="676" t="s">
        <v>17</v>
      </c>
      <c r="S17" s="677">
        <f>F17</f>
        <v>100</v>
      </c>
      <c r="T17" s="676" t="s">
        <v>17</v>
      </c>
      <c r="U17" s="677">
        <f>H17</f>
        <v>100</v>
      </c>
      <c r="V17" s="676" t="s">
        <v>17</v>
      </c>
      <c r="W17" s="677">
        <f>J17</f>
        <v>100</v>
      </c>
      <c r="X17" s="1394"/>
      <c r="Y17" s="3376"/>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2654"/>
      <c r="M18" s="2649"/>
      <c r="N18" s="2649"/>
      <c r="O18" s="2649"/>
      <c r="P18" s="3417"/>
      <c r="Q18" s="1392"/>
      <c r="R18" s="676"/>
      <c r="S18" s="677"/>
      <c r="T18" s="676"/>
      <c r="U18" s="677"/>
      <c r="V18" s="676"/>
      <c r="W18" s="677"/>
      <c r="X18" s="1394"/>
      <c r="Y18" s="3376"/>
      <c r="Z18" s="1393"/>
      <c r="AA18" s="1393">
        <v>1</v>
      </c>
      <c r="AB18" s="1393">
        <v>1</v>
      </c>
      <c r="AC18" s="1393">
        <v>1</v>
      </c>
    </row>
    <row r="19" spans="1:29" ht="42.75">
      <c r="A19" s="375"/>
      <c r="B19" s="398" t="s">
        <v>2230</v>
      </c>
      <c r="C19" s="1884"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54"/>
      <c r="M19" s="2649"/>
      <c r="N19" s="2649"/>
      <c r="O19" s="2649"/>
      <c r="P19" s="3417"/>
      <c r="Q19" s="1392" t="str">
        <f>B19</f>
        <v>公共配套设施</v>
      </c>
      <c r="R19" s="676" t="s">
        <v>17</v>
      </c>
      <c r="S19" s="677">
        <f>F19</f>
        <v>100</v>
      </c>
      <c r="T19" s="676" t="s">
        <v>17</v>
      </c>
      <c r="U19" s="677">
        <f>H19</f>
        <v>100</v>
      </c>
      <c r="V19" s="676" t="s">
        <v>17</v>
      </c>
      <c r="W19" s="677">
        <f>J19</f>
        <v>100</v>
      </c>
      <c r="X19" s="1394"/>
      <c r="Y19" s="3376"/>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2654"/>
      <c r="M20" s="2649"/>
      <c r="N20" s="2649"/>
      <c r="O20" s="2649"/>
      <c r="P20" s="3417"/>
      <c r="Q20" s="1392"/>
      <c r="R20" s="676"/>
      <c r="S20" s="677"/>
      <c r="T20" s="676"/>
      <c r="U20" s="677"/>
      <c r="V20" s="676"/>
      <c r="W20" s="677"/>
      <c r="X20" s="1394"/>
      <c r="Y20" s="3376"/>
      <c r="Z20" s="1393"/>
      <c r="AA20" s="1393">
        <v>1</v>
      </c>
      <c r="AB20" s="1393">
        <v>1</v>
      </c>
      <c r="AC20" s="1393">
        <v>1</v>
      </c>
    </row>
    <row r="21" spans="1:29" ht="28.5">
      <c r="A21" s="375"/>
      <c r="B21" s="594" t="s">
        <v>2231</v>
      </c>
      <c r="C21" s="1884"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54"/>
      <c r="M21" s="2649"/>
      <c r="N21" s="2649"/>
      <c r="O21" s="2649"/>
      <c r="P21" s="3417"/>
      <c r="Q21" s="1392" t="str">
        <f>B21</f>
        <v>基础设施水平</v>
      </c>
      <c r="R21" s="676" t="s">
        <v>17</v>
      </c>
      <c r="S21" s="677">
        <f>F21</f>
        <v>100</v>
      </c>
      <c r="T21" s="676" t="s">
        <v>17</v>
      </c>
      <c r="U21" s="677">
        <f>H21</f>
        <v>100</v>
      </c>
      <c r="V21" s="676" t="s">
        <v>17</v>
      </c>
      <c r="W21" s="677">
        <f>J21</f>
        <v>100</v>
      </c>
      <c r="X21" s="1394"/>
      <c r="Y21" s="3376"/>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6"/>
      <c r="G22" s="394"/>
      <c r="H22" s="395"/>
      <c r="I22" s="394"/>
      <c r="J22" s="395"/>
      <c r="K22" s="1174"/>
      <c r="L22" s="2654"/>
      <c r="M22" s="2649"/>
      <c r="N22" s="2649"/>
      <c r="O22" s="2649"/>
      <c r="P22" s="3417"/>
      <c r="Q22" s="1392"/>
      <c r="R22" s="676"/>
      <c r="S22" s="677"/>
      <c r="T22" s="676"/>
      <c r="U22" s="677"/>
      <c r="V22" s="676"/>
      <c r="W22" s="677"/>
      <c r="X22" s="1394"/>
      <c r="Y22" s="3376"/>
      <c r="Z22" s="1393"/>
      <c r="AA22" s="1393">
        <v>1</v>
      </c>
      <c r="AB22" s="1393">
        <v>1</v>
      </c>
      <c r="AC22" s="1393">
        <v>1</v>
      </c>
    </row>
    <row r="23" spans="1:29" ht="57">
      <c r="A23" s="375"/>
      <c r="B23" s="398" t="s">
        <v>1706</v>
      </c>
      <c r="C23" s="1936"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54"/>
      <c r="M23" s="2649"/>
      <c r="N23" s="2649"/>
      <c r="O23" s="2649"/>
      <c r="P23" s="3417"/>
      <c r="Q23" s="1392" t="str">
        <f>B23</f>
        <v>自然及人文环境</v>
      </c>
      <c r="R23" s="676" t="s">
        <v>17</v>
      </c>
      <c r="S23" s="677">
        <f>F23</f>
        <v>100</v>
      </c>
      <c r="T23" s="676" t="s">
        <v>17</v>
      </c>
      <c r="U23" s="677">
        <f>H23</f>
        <v>100</v>
      </c>
      <c r="V23" s="676" t="s">
        <v>17</v>
      </c>
      <c r="W23" s="677">
        <f>J23</f>
        <v>100</v>
      </c>
      <c r="X23" s="1394"/>
      <c r="Y23" s="3376"/>
      <c r="Z23" s="1393" t="str">
        <f>Q23</f>
        <v>自然及人文环境</v>
      </c>
      <c r="AA23" s="1393">
        <f t="shared" si="3"/>
        <v>1</v>
      </c>
      <c r="AB23" s="1393">
        <f t="shared" si="4"/>
        <v>1</v>
      </c>
      <c r="AC23" s="1393">
        <f t="shared" si="5"/>
        <v>1</v>
      </c>
    </row>
    <row r="24" spans="1:29" ht="15">
      <c r="A24" s="375"/>
      <c r="B24" s="403"/>
      <c r="C24" s="394"/>
      <c r="D24" s="395"/>
      <c r="E24" s="1882"/>
      <c r="F24" s="396"/>
      <c r="G24" s="1881"/>
      <c r="H24" s="395"/>
      <c r="I24" s="1882"/>
      <c r="J24" s="395"/>
      <c r="K24" s="549"/>
      <c r="L24" s="2654"/>
      <c r="M24" s="2649"/>
      <c r="N24" s="2649"/>
      <c r="O24" s="2649"/>
      <c r="P24" s="3417"/>
      <c r="Q24" s="1392"/>
      <c r="R24" s="676"/>
      <c r="S24" s="677"/>
      <c r="T24" s="676"/>
      <c r="U24" s="677"/>
      <c r="V24" s="676"/>
      <c r="W24" s="677"/>
      <c r="X24" s="1394"/>
      <c r="Y24" s="3376"/>
      <c r="Z24" s="1393"/>
      <c r="AA24" s="1393">
        <v>1</v>
      </c>
      <c r="AB24" s="1393">
        <v>1</v>
      </c>
      <c r="AC24" s="1393">
        <v>1</v>
      </c>
    </row>
    <row r="25" spans="1:29" ht="15">
      <c r="A25" s="375"/>
      <c r="B25" s="370" t="s">
        <v>2232</v>
      </c>
      <c r="C25" s="550"/>
      <c r="D25" s="382">
        <v>100</v>
      </c>
      <c r="E25" s="550"/>
      <c r="F25" s="408">
        <f>SUMIF(86:86,E25,87:87)-SUMIF(86:86,C25,87:87)+100</f>
        <v>100</v>
      </c>
      <c r="G25" s="550"/>
      <c r="H25" s="382">
        <f>SUMIF(86:86,G25,87:87)-SUMIF(86:86,C25,87:87)+100</f>
        <v>100</v>
      </c>
      <c r="I25" s="550"/>
      <c r="J25" s="382">
        <f>SUMIF(86:86,I25,87:87)-SUMIF(86:86,C25,87:87)+100</f>
        <v>100</v>
      </c>
      <c r="K25" s="546"/>
      <c r="L25" s="2654"/>
      <c r="M25" s="2649"/>
      <c r="N25" s="2649"/>
      <c r="O25" s="2649"/>
      <c r="P25" s="3417"/>
      <c r="Q25" s="1392" t="str">
        <f t="shared" ref="Q25:Q46" si="11">B25</f>
        <v>临街状况</v>
      </c>
      <c r="R25" s="676" t="s">
        <v>17</v>
      </c>
      <c r="S25" s="677">
        <f>F25</f>
        <v>100</v>
      </c>
      <c r="T25" s="676" t="s">
        <v>17</v>
      </c>
      <c r="U25" s="677">
        <f>H25</f>
        <v>100</v>
      </c>
      <c r="V25" s="676" t="s">
        <v>17</v>
      </c>
      <c r="W25" s="677">
        <f>J25</f>
        <v>100</v>
      </c>
      <c r="X25" s="1394"/>
      <c r="Y25" s="3376"/>
      <c r="Z25" s="1393" t="str">
        <f>Q25</f>
        <v>临街状况</v>
      </c>
      <c r="AA25" s="1393">
        <f t="shared" si="3"/>
        <v>1</v>
      </c>
      <c r="AB25" s="1393">
        <f t="shared" si="4"/>
        <v>1</v>
      </c>
      <c r="AC25" s="1393">
        <f t="shared" si="5"/>
        <v>1</v>
      </c>
    </row>
    <row r="26" spans="1:29" ht="15">
      <c r="A26" s="375"/>
      <c r="B26" s="1176" t="s">
        <v>2233</v>
      </c>
      <c r="C26" s="381"/>
      <c r="D26" s="382">
        <v>100</v>
      </c>
      <c r="E26" s="381"/>
      <c r="F26" s="408">
        <f>SUMIF(88:88,E26,89:89)-SUMIF(88:88,C26,89:89)+100</f>
        <v>100</v>
      </c>
      <c r="G26" s="381"/>
      <c r="H26" s="382">
        <f>SUMIF(88:88,G26,89:89)-SUMIF(88:88,C26,89:89)+100</f>
        <v>100</v>
      </c>
      <c r="I26" s="381"/>
      <c r="J26" s="382">
        <f>SUMIF(88:88,I26,89:89)-SUMIF(88:88,C26,89:89)+100</f>
        <v>100</v>
      </c>
      <c r="K26" s="547"/>
      <c r="L26" s="2654"/>
      <c r="M26" s="2649"/>
      <c r="N26" s="2649"/>
      <c r="O26" s="2649"/>
      <c r="P26" s="3417"/>
      <c r="Q26" s="1392" t="str">
        <f t="shared" si="11"/>
        <v>平面位置/可视性</v>
      </c>
      <c r="R26" s="676" t="s">
        <v>17</v>
      </c>
      <c r="S26" s="677">
        <f>F26</f>
        <v>100</v>
      </c>
      <c r="T26" s="676" t="s">
        <v>17</v>
      </c>
      <c r="U26" s="677">
        <f>H26</f>
        <v>100</v>
      </c>
      <c r="V26" s="676" t="s">
        <v>17</v>
      </c>
      <c r="W26" s="677">
        <f>J26</f>
        <v>100</v>
      </c>
      <c r="X26" s="1394"/>
      <c r="Y26" s="3376"/>
      <c r="Z26" s="1393" t="str">
        <f>Q26</f>
        <v>平面位置/可视性</v>
      </c>
      <c r="AA26" s="1393">
        <f t="shared" si="3"/>
        <v>1</v>
      </c>
      <c r="AB26" s="1393">
        <f t="shared" si="4"/>
        <v>1</v>
      </c>
      <c r="AC26" s="1393">
        <f t="shared" si="5"/>
        <v>1</v>
      </c>
    </row>
    <row r="27" spans="1:29" s="107" customFormat="1" ht="15">
      <c r="A27" s="378"/>
      <c r="B27" s="398" t="s">
        <v>2234</v>
      </c>
      <c r="C27" s="1937"/>
      <c r="D27" s="409">
        <v>100</v>
      </c>
      <c r="E27" s="1937"/>
      <c r="F27" s="403">
        <f>SUMIF(90:90,E27,91:91)-SUMIF(90:90,C27,91:91)+100</f>
        <v>100</v>
      </c>
      <c r="G27" s="1937"/>
      <c r="H27" s="409">
        <f>SUMIF(90:90,G27,91:91)-SUMIF(90:90,C27,91:91)+100</f>
        <v>100</v>
      </c>
      <c r="I27" s="1937"/>
      <c r="J27" s="409">
        <f>SUMIF(90:90,I27,91:91)-SUMIF(90:90,C27,91:91)+100</f>
        <v>100</v>
      </c>
      <c r="K27" s="546"/>
      <c r="L27" s="2650"/>
      <c r="M27" s="2603"/>
      <c r="N27" s="2603"/>
      <c r="O27" s="2603"/>
      <c r="P27" s="3417"/>
      <c r="Q27" s="538" t="str">
        <f t="shared" si="11"/>
        <v>人流量</v>
      </c>
      <c r="R27" s="673" t="s">
        <v>17</v>
      </c>
      <c r="S27" s="674">
        <f>F27</f>
        <v>100</v>
      </c>
      <c r="T27" s="673" t="s">
        <v>17</v>
      </c>
      <c r="U27" s="674">
        <f>H27</f>
        <v>100</v>
      </c>
      <c r="V27" s="673" t="s">
        <v>17</v>
      </c>
      <c r="W27" s="674">
        <f>J27</f>
        <v>100</v>
      </c>
      <c r="X27" s="675"/>
      <c r="Y27" s="3376"/>
      <c r="Z27" s="53" t="str">
        <f>Q27</f>
        <v>人流量</v>
      </c>
      <c r="AA27" s="1393">
        <f>D27/F27</f>
        <v>1</v>
      </c>
      <c r="AB27" s="1393">
        <f>D27/H27</f>
        <v>1</v>
      </c>
      <c r="AC27" s="1393">
        <f>D27/J27</f>
        <v>1</v>
      </c>
    </row>
    <row r="28" spans="1:29" ht="15">
      <c r="A28" s="375"/>
      <c r="B28" s="370" t="s">
        <v>2235</v>
      </c>
      <c r="C28" s="550"/>
      <c r="D28" s="382">
        <v>100</v>
      </c>
      <c r="E28" s="550"/>
      <c r="F28" s="408">
        <f>SUMIF(92:92,E28,93:93)-SUMIF(92:92,C28,93:93)+100</f>
        <v>100</v>
      </c>
      <c r="G28" s="550"/>
      <c r="H28" s="382">
        <f>SUMIF(92:92,G28,93:93)-SUMIF(92:92,C28,93:93)+100</f>
        <v>100</v>
      </c>
      <c r="I28" s="550"/>
      <c r="J28" s="382">
        <f>SUMIF(92:92,I28,93:93)-SUMIF(92:92,C28,93:93)+100</f>
        <v>100</v>
      </c>
      <c r="K28" s="547"/>
      <c r="L28" s="2654"/>
      <c r="M28" s="2649"/>
      <c r="N28" s="2649"/>
      <c r="O28" s="2649"/>
      <c r="P28" s="3417"/>
      <c r="Q28" s="1392" t="str">
        <f t="shared" si="11"/>
        <v>楼层</v>
      </c>
      <c r="R28" s="676" t="s">
        <v>17</v>
      </c>
      <c r="S28" s="677">
        <f t="shared" ref="S28:S46" si="12">F28</f>
        <v>100</v>
      </c>
      <c r="T28" s="676" t="s">
        <v>17</v>
      </c>
      <c r="U28" s="677">
        <f t="shared" ref="U28:U46" si="13">H28</f>
        <v>100</v>
      </c>
      <c r="V28" s="676" t="s">
        <v>17</v>
      </c>
      <c r="W28" s="677">
        <f t="shared" ref="W28:W46" si="14">J28</f>
        <v>100</v>
      </c>
      <c r="X28" s="1394"/>
      <c r="Y28" s="3376"/>
      <c r="Z28" s="1393" t="str">
        <f t="shared" ref="Z28:Z46" si="15">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4"/>
      <c r="M29" s="2649"/>
      <c r="N29" s="2649"/>
      <c r="O29" s="2649"/>
      <c r="P29" s="3417"/>
      <c r="Q29" s="1392">
        <f t="shared" si="11"/>
        <v>111</v>
      </c>
      <c r="R29" s="676" t="s">
        <v>17</v>
      </c>
      <c r="S29" s="677">
        <f t="shared" si="12"/>
        <v>100</v>
      </c>
      <c r="T29" s="676" t="s">
        <v>17</v>
      </c>
      <c r="U29" s="677">
        <f t="shared" si="13"/>
        <v>100</v>
      </c>
      <c r="V29" s="676" t="s">
        <v>17</v>
      </c>
      <c r="W29" s="677">
        <f t="shared" si="14"/>
        <v>100</v>
      </c>
      <c r="X29" s="1394"/>
      <c r="Y29" s="3376"/>
      <c r="Z29" s="1393">
        <f t="shared" si="15"/>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4"/>
      <c r="M30" s="2649"/>
      <c r="N30" s="2649"/>
      <c r="O30" s="2649"/>
      <c r="P30" s="3417"/>
      <c r="Q30" s="1392">
        <f t="shared" si="11"/>
        <v>111</v>
      </c>
      <c r="R30" s="676" t="s">
        <v>17</v>
      </c>
      <c r="S30" s="677">
        <f t="shared" si="12"/>
        <v>100</v>
      </c>
      <c r="T30" s="676" t="s">
        <v>17</v>
      </c>
      <c r="U30" s="677">
        <f t="shared" si="13"/>
        <v>100</v>
      </c>
      <c r="V30" s="676" t="s">
        <v>17</v>
      </c>
      <c r="W30" s="677">
        <f t="shared" si="14"/>
        <v>100</v>
      </c>
      <c r="X30" s="1394"/>
      <c r="Y30" s="3376"/>
      <c r="Z30" s="1393">
        <f t="shared" si="15"/>
        <v>111</v>
      </c>
      <c r="AA30" s="1393">
        <f t="shared" si="3"/>
        <v>1</v>
      </c>
      <c r="AB30" s="1393">
        <f t="shared" si="4"/>
        <v>1</v>
      </c>
      <c r="AC30" s="1393">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4"/>
      <c r="M31" s="2649"/>
      <c r="N31" s="2649"/>
      <c r="O31" s="2649"/>
      <c r="P31" s="3417"/>
      <c r="Q31" s="1392">
        <f t="shared" si="11"/>
        <v>111</v>
      </c>
      <c r="R31" s="676" t="s">
        <v>17</v>
      </c>
      <c r="S31" s="677">
        <f t="shared" si="12"/>
        <v>100</v>
      </c>
      <c r="T31" s="676" t="s">
        <v>17</v>
      </c>
      <c r="U31" s="677">
        <f t="shared" si="13"/>
        <v>100</v>
      </c>
      <c r="V31" s="676" t="s">
        <v>17</v>
      </c>
      <c r="W31" s="677">
        <f t="shared" si="14"/>
        <v>100</v>
      </c>
      <c r="X31" s="1394"/>
      <c r="Y31" s="3376"/>
      <c r="Z31" s="1393">
        <f t="shared" si="15"/>
        <v>111</v>
      </c>
      <c r="AA31" s="1393">
        <f t="shared" si="3"/>
        <v>1</v>
      </c>
      <c r="AB31" s="1393">
        <f t="shared" si="4"/>
        <v>1</v>
      </c>
      <c r="AC31" s="1393">
        <f t="shared" si="5"/>
        <v>1</v>
      </c>
    </row>
    <row r="32" spans="1:29" ht="15">
      <c r="A32" s="387" t="s">
        <v>2139</v>
      </c>
      <c r="B32" s="64" t="s">
        <v>2236</v>
      </c>
      <c r="C32" s="1894"/>
      <c r="D32" s="413">
        <v>100</v>
      </c>
      <c r="E32" s="1894"/>
      <c r="F32" s="408">
        <f>SUMIF(100:100,E32,101:101)-SUMIF(100:100,C32,101:101)+100</f>
        <v>100</v>
      </c>
      <c r="G32" s="1894"/>
      <c r="H32" s="382">
        <f>SUMIF(100:100,G32,101:101)-SUMIF(100:100,C32,101:101)+100</f>
        <v>100</v>
      </c>
      <c r="I32" s="1894"/>
      <c r="J32" s="413">
        <f>SUMIF(100:100,I32,101:101)-SUMIF(100:100,C32,101:101)+100</f>
        <v>100</v>
      </c>
      <c r="K32" s="546"/>
      <c r="L32" s="2654"/>
      <c r="M32" s="2649"/>
      <c r="N32" s="2649"/>
      <c r="O32" s="2649"/>
      <c r="P32" s="3412" t="s">
        <v>2141</v>
      </c>
      <c r="Q32" s="1392" t="str">
        <f t="shared" si="11"/>
        <v>商业类型</v>
      </c>
      <c r="R32" s="676" t="s">
        <v>17</v>
      </c>
      <c r="S32" s="677">
        <f t="shared" si="12"/>
        <v>100</v>
      </c>
      <c r="T32" s="676" t="s">
        <v>17</v>
      </c>
      <c r="U32" s="677">
        <f t="shared" si="13"/>
        <v>100</v>
      </c>
      <c r="V32" s="676" t="s">
        <v>17</v>
      </c>
      <c r="W32" s="677">
        <f t="shared" si="14"/>
        <v>100</v>
      </c>
      <c r="X32" s="1394"/>
      <c r="Y32" s="3378" t="s">
        <v>2141</v>
      </c>
      <c r="Z32" s="1393" t="str">
        <f t="shared" si="15"/>
        <v>商业类型</v>
      </c>
      <c r="AA32" s="1393">
        <f t="shared" si="3"/>
        <v>1</v>
      </c>
      <c r="AB32" s="1393">
        <f t="shared" si="4"/>
        <v>1</v>
      </c>
      <c r="AC32" s="1393">
        <f t="shared" si="5"/>
        <v>1</v>
      </c>
    </row>
    <row r="33" spans="1:29" s="416" customFormat="1" ht="15">
      <c r="A33" s="414"/>
      <c r="B33" s="370" t="s">
        <v>2142</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3"/>
      <c r="M33" s="2655"/>
      <c r="N33" s="2655"/>
      <c r="O33" s="2655"/>
      <c r="P33" s="3413"/>
      <c r="Q33" s="539" t="str">
        <f t="shared" si="11"/>
        <v>项目建筑规模</v>
      </c>
      <c r="R33" s="678" t="s">
        <v>17</v>
      </c>
      <c r="S33" s="679" t="e">
        <f t="shared" si="12"/>
        <v>#N/A</v>
      </c>
      <c r="T33" s="678" t="s">
        <v>17</v>
      </c>
      <c r="U33" s="679" t="e">
        <f t="shared" si="13"/>
        <v>#N/A</v>
      </c>
      <c r="V33" s="678" t="s">
        <v>17</v>
      </c>
      <c r="W33" s="679" t="e">
        <f t="shared" si="14"/>
        <v>#N/A</v>
      </c>
      <c r="X33" s="680"/>
      <c r="Y33" s="3378"/>
      <c r="Z33" s="681" t="str">
        <f t="shared" si="15"/>
        <v>项目建筑规模</v>
      </c>
      <c r="AA33" s="1393" t="e">
        <f t="shared" si="3"/>
        <v>#N/A</v>
      </c>
      <c r="AB33" s="1393" t="e">
        <f t="shared" si="4"/>
        <v>#N/A</v>
      </c>
      <c r="AC33" s="1393" t="e">
        <f t="shared" si="5"/>
        <v>#N/A</v>
      </c>
    </row>
    <row r="34" spans="1:29" ht="15">
      <c r="A34" s="417"/>
      <c r="B34" s="370" t="s">
        <v>2143</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4"/>
      <c r="M34" s="2649"/>
      <c r="N34" s="2649"/>
      <c r="O34" s="2649"/>
      <c r="P34" s="3413"/>
      <c r="Q34" s="1392" t="str">
        <f t="shared" si="11"/>
        <v>建筑结构</v>
      </c>
      <c r="R34" s="676" t="s">
        <v>17</v>
      </c>
      <c r="S34" s="677">
        <f t="shared" si="12"/>
        <v>100</v>
      </c>
      <c r="T34" s="676" t="s">
        <v>17</v>
      </c>
      <c r="U34" s="677">
        <f t="shared" si="13"/>
        <v>100</v>
      </c>
      <c r="V34" s="676" t="s">
        <v>17</v>
      </c>
      <c r="W34" s="677">
        <f t="shared" si="14"/>
        <v>100</v>
      </c>
      <c r="X34" s="1394"/>
      <c r="Y34" s="3378"/>
      <c r="Z34" s="1393" t="str">
        <f t="shared" si="15"/>
        <v>建筑结构</v>
      </c>
      <c r="AA34" s="1393">
        <f t="shared" si="3"/>
        <v>1</v>
      </c>
      <c r="AB34" s="1393">
        <f t="shared" si="4"/>
        <v>1</v>
      </c>
      <c r="AC34" s="1393">
        <f t="shared" si="5"/>
        <v>1</v>
      </c>
    </row>
    <row r="35" spans="1:29" ht="15">
      <c r="A35" s="417"/>
      <c r="B35" s="370" t="s">
        <v>2237</v>
      </c>
      <c r="C35" s="1890"/>
      <c r="D35" s="382">
        <v>100</v>
      </c>
      <c r="E35" s="1890"/>
      <c r="F35" s="408">
        <f>SUMIF(107:107,E35,108:108)-SUMIF(107:107,C35,108:108)+100</f>
        <v>100</v>
      </c>
      <c r="G35" s="1890"/>
      <c r="H35" s="382">
        <f>SUMIF(107:107,G35,108:108)-SUMIF(107:107,C35,108:108)+100</f>
        <v>100</v>
      </c>
      <c r="I35" s="1890"/>
      <c r="J35" s="382">
        <f>SUMIF(107:107,I35,108:108)-SUMIF(107:107,C35,108:108)+100</f>
        <v>100</v>
      </c>
      <c r="K35" s="546"/>
      <c r="L35" s="2654"/>
      <c r="M35" s="2649"/>
      <c r="N35" s="2649"/>
      <c r="O35" s="2649"/>
      <c r="P35" s="3413"/>
      <c r="Q35" s="1392" t="str">
        <f t="shared" si="11"/>
        <v>公共部分装修</v>
      </c>
      <c r="R35" s="676" t="s">
        <v>17</v>
      </c>
      <c r="S35" s="677">
        <f t="shared" si="12"/>
        <v>100</v>
      </c>
      <c r="T35" s="676" t="s">
        <v>17</v>
      </c>
      <c r="U35" s="677">
        <f t="shared" si="13"/>
        <v>100</v>
      </c>
      <c r="V35" s="676" t="s">
        <v>17</v>
      </c>
      <c r="W35" s="677">
        <f t="shared" si="14"/>
        <v>100</v>
      </c>
      <c r="X35" s="1394"/>
      <c r="Y35" s="3378"/>
      <c r="Z35" s="1393" t="str">
        <f t="shared" si="15"/>
        <v>公共部分装修</v>
      </c>
      <c r="AA35" s="1393">
        <f t="shared" si="3"/>
        <v>1</v>
      </c>
      <c r="AB35" s="1393">
        <f t="shared" si="4"/>
        <v>1</v>
      </c>
      <c r="AC35" s="1393">
        <f t="shared" si="5"/>
        <v>1</v>
      </c>
    </row>
    <row r="36" spans="1:29" ht="15">
      <c r="A36" s="417"/>
      <c r="B36" s="370" t="s">
        <v>2238</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4"/>
      <c r="M36" s="2649"/>
      <c r="N36" s="2649"/>
      <c r="O36" s="2649"/>
      <c r="P36" s="3413"/>
      <c r="Q36" s="1392" t="str">
        <f t="shared" si="11"/>
        <v>成新度</v>
      </c>
      <c r="R36" s="676" t="s">
        <v>17</v>
      </c>
      <c r="S36" s="677" t="e">
        <f t="shared" si="12"/>
        <v>#N/A</v>
      </c>
      <c r="T36" s="676" t="s">
        <v>17</v>
      </c>
      <c r="U36" s="677" t="e">
        <f t="shared" si="13"/>
        <v>#N/A</v>
      </c>
      <c r="V36" s="676" t="s">
        <v>17</v>
      </c>
      <c r="W36" s="677" t="e">
        <f t="shared" si="14"/>
        <v>#N/A</v>
      </c>
      <c r="X36" s="1394"/>
      <c r="Y36" s="3378"/>
      <c r="Z36" s="1393" t="str">
        <f t="shared" si="15"/>
        <v>成新度</v>
      </c>
      <c r="AA36" s="1393" t="e">
        <f t="shared" si="3"/>
        <v>#N/A</v>
      </c>
      <c r="AB36" s="1393" t="e">
        <f t="shared" si="4"/>
        <v>#N/A</v>
      </c>
      <c r="AC36" s="1393" t="e">
        <f t="shared" si="5"/>
        <v>#N/A</v>
      </c>
    </row>
    <row r="37" spans="1:29" s="107" customFormat="1" ht="15">
      <c r="A37" s="418"/>
      <c r="B37" s="370" t="s">
        <v>2239</v>
      </c>
      <c r="C37" s="1890"/>
      <c r="D37" s="124">
        <v>100</v>
      </c>
      <c r="E37" s="1890"/>
      <c r="F37" s="408">
        <f>SUMIF(112:112,E37,113:113)-SUMIF(112:112,C37,113:113)+100</f>
        <v>100</v>
      </c>
      <c r="G37" s="1890"/>
      <c r="H37" s="382">
        <f>SUMIF(112:112,G37,113:113)-SUMIF(112:112,C37,113:113)+100</f>
        <v>100</v>
      </c>
      <c r="I37" s="1890"/>
      <c r="J37" s="382">
        <f>SUMIF(112:112,I37,113:113)-SUMIF(112:112,C37,113:113)+100</f>
        <v>100</v>
      </c>
      <c r="K37" s="546"/>
      <c r="L37" s="2650"/>
      <c r="M37" s="2603"/>
      <c r="N37" s="2603"/>
      <c r="O37" s="2603"/>
      <c r="P37" s="3413"/>
      <c r="Q37" s="538" t="str">
        <f t="shared" si="11"/>
        <v>市政基础设施</v>
      </c>
      <c r="R37" s="673" t="s">
        <v>17</v>
      </c>
      <c r="S37" s="674">
        <f t="shared" si="12"/>
        <v>100</v>
      </c>
      <c r="T37" s="673" t="s">
        <v>17</v>
      </c>
      <c r="U37" s="674">
        <f t="shared" si="13"/>
        <v>100</v>
      </c>
      <c r="V37" s="673" t="s">
        <v>17</v>
      </c>
      <c r="W37" s="674">
        <f t="shared" si="14"/>
        <v>100</v>
      </c>
      <c r="X37" s="675"/>
      <c r="Y37" s="3378"/>
      <c r="Z37" s="53" t="str">
        <f t="shared" si="15"/>
        <v>市政基础设施</v>
      </c>
      <c r="AA37" s="53">
        <f t="shared" si="3"/>
        <v>1</v>
      </c>
      <c r="AB37" s="53">
        <f t="shared" si="4"/>
        <v>1</v>
      </c>
      <c r="AC37" s="53">
        <f t="shared" si="5"/>
        <v>1</v>
      </c>
    </row>
    <row r="38" spans="1:29" ht="15">
      <c r="A38" s="417"/>
      <c r="B38" s="370" t="s">
        <v>2240</v>
      </c>
      <c r="C38" s="1890"/>
      <c r="D38" s="382">
        <v>100</v>
      </c>
      <c r="E38" s="1890"/>
      <c r="F38" s="408">
        <f>SUMIF(114:114,E38,115:115)-SUMIF(114:114,C38,115:115)+100</f>
        <v>100</v>
      </c>
      <c r="G38" s="1890"/>
      <c r="H38" s="382">
        <f>SUMIF(114:114,G38,115:115)-SUMIF(114:114,C38,115:115)+100</f>
        <v>100</v>
      </c>
      <c r="I38" s="1890"/>
      <c r="J38" s="382">
        <f>SUMIF(114:114,I38,115:115)-SUMIF(114:114,C38,115:115)+100</f>
        <v>100</v>
      </c>
      <c r="K38" s="546"/>
      <c r="L38" s="2654"/>
      <c r="M38" s="2649"/>
      <c r="N38" s="2649"/>
      <c r="O38" s="2649"/>
      <c r="P38" s="3413" t="s">
        <v>2141</v>
      </c>
      <c r="Q38" s="1392" t="str">
        <f t="shared" si="11"/>
        <v>业态</v>
      </c>
      <c r="R38" s="676" t="s">
        <v>17</v>
      </c>
      <c r="S38" s="677">
        <f t="shared" si="12"/>
        <v>100</v>
      </c>
      <c r="T38" s="676" t="s">
        <v>17</v>
      </c>
      <c r="U38" s="677">
        <f t="shared" si="13"/>
        <v>100</v>
      </c>
      <c r="V38" s="676" t="s">
        <v>17</v>
      </c>
      <c r="W38" s="677">
        <f t="shared" si="14"/>
        <v>100</v>
      </c>
      <c r="X38" s="1394"/>
      <c r="Y38" s="3378" t="s">
        <v>2141</v>
      </c>
      <c r="Z38" s="1393" t="str">
        <f t="shared" si="15"/>
        <v>业态</v>
      </c>
      <c r="AA38" s="1393">
        <f t="shared" si="3"/>
        <v>1</v>
      </c>
      <c r="AB38" s="1393">
        <f t="shared" si="4"/>
        <v>1</v>
      </c>
      <c r="AC38" s="1393">
        <f t="shared" si="5"/>
        <v>1</v>
      </c>
    </row>
    <row r="39" spans="1:29" ht="15">
      <c r="A39" s="417"/>
      <c r="B39" s="370" t="s">
        <v>2241</v>
      </c>
      <c r="C39" s="1890"/>
      <c r="D39" s="382">
        <v>100</v>
      </c>
      <c r="E39" s="1890"/>
      <c r="F39" s="408">
        <f>SUMIF(116:116,E39,117:117)-SUMIF(116:116,C39,117:117)+100</f>
        <v>100</v>
      </c>
      <c r="G39" s="1890"/>
      <c r="H39" s="382">
        <f>SUMIF(116:116,G39,117:117)-SUMIF(116:116,C39,117:117)+100</f>
        <v>100</v>
      </c>
      <c r="I39" s="1890"/>
      <c r="J39" s="382">
        <f>SUMIF(116:116,I39,117:117)-SUMIF(116:116,C39,117:117)+100</f>
        <v>100</v>
      </c>
      <c r="K39" s="546"/>
      <c r="L39" s="2654"/>
      <c r="M39" s="2649"/>
      <c r="N39" s="2649"/>
      <c r="O39" s="2649"/>
      <c r="P39" s="3413"/>
      <c r="Q39" s="1392" t="str">
        <f t="shared" si="11"/>
        <v>层高</v>
      </c>
      <c r="R39" s="676" t="s">
        <v>17</v>
      </c>
      <c r="S39" s="677">
        <f t="shared" si="12"/>
        <v>100</v>
      </c>
      <c r="T39" s="676" t="s">
        <v>17</v>
      </c>
      <c r="U39" s="677">
        <f t="shared" si="13"/>
        <v>100</v>
      </c>
      <c r="V39" s="676" t="s">
        <v>17</v>
      </c>
      <c r="W39" s="677">
        <f t="shared" si="14"/>
        <v>100</v>
      </c>
      <c r="X39" s="1394"/>
      <c r="Y39" s="3378"/>
      <c r="Z39" s="1393" t="str">
        <f t="shared" si="15"/>
        <v>层高</v>
      </c>
      <c r="AA39" s="1393">
        <f t="shared" si="3"/>
        <v>1</v>
      </c>
      <c r="AB39" s="1393">
        <f t="shared" si="4"/>
        <v>1</v>
      </c>
      <c r="AC39" s="1393">
        <f t="shared" si="5"/>
        <v>1</v>
      </c>
    </row>
    <row r="40" spans="1:29" ht="15">
      <c r="A40" s="417"/>
      <c r="B40" s="370" t="s">
        <v>2242</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4"/>
      <c r="M40" s="2649"/>
      <c r="N40" s="2649"/>
      <c r="O40" s="2649"/>
      <c r="P40" s="3413"/>
      <c r="Q40" s="1392" t="str">
        <f t="shared" si="11"/>
        <v>单套建筑面积</v>
      </c>
      <c r="R40" s="676" t="s">
        <v>17</v>
      </c>
      <c r="S40" s="677">
        <f t="shared" si="12"/>
        <v>100</v>
      </c>
      <c r="T40" s="676" t="s">
        <v>17</v>
      </c>
      <c r="U40" s="677">
        <f t="shared" si="13"/>
        <v>100</v>
      </c>
      <c r="V40" s="676" t="s">
        <v>17</v>
      </c>
      <c r="W40" s="677">
        <f t="shared" si="14"/>
        <v>100</v>
      </c>
      <c r="X40" s="1394"/>
      <c r="Y40" s="3378"/>
      <c r="Z40" s="1393" t="str">
        <f t="shared" si="15"/>
        <v>单套建筑面积</v>
      </c>
      <c r="AA40" s="1393">
        <f t="shared" si="3"/>
        <v>1</v>
      </c>
      <c r="AB40" s="1393">
        <f t="shared" si="4"/>
        <v>1</v>
      </c>
      <c r="AC40" s="1393">
        <f t="shared" si="5"/>
        <v>1</v>
      </c>
    </row>
    <row r="41" spans="1:29" s="416" customFormat="1" ht="15">
      <c r="A41" s="414"/>
      <c r="B41" s="408" t="s">
        <v>2243</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3"/>
      <c r="M41" s="2655"/>
      <c r="N41" s="2655"/>
      <c r="O41" s="2655"/>
      <c r="P41" s="3413"/>
      <c r="Q41" s="539" t="str">
        <f t="shared" si="11"/>
        <v>进深比</v>
      </c>
      <c r="R41" s="678" t="s">
        <v>17</v>
      </c>
      <c r="S41" s="679">
        <f t="shared" si="12"/>
        <v>100</v>
      </c>
      <c r="T41" s="678" t="s">
        <v>17</v>
      </c>
      <c r="U41" s="679">
        <f t="shared" si="13"/>
        <v>100</v>
      </c>
      <c r="V41" s="678" t="s">
        <v>17</v>
      </c>
      <c r="W41" s="679">
        <f t="shared" si="14"/>
        <v>100</v>
      </c>
      <c r="X41" s="680"/>
      <c r="Y41" s="3378"/>
      <c r="Z41" s="681" t="str">
        <f t="shared" si="15"/>
        <v>进深比</v>
      </c>
      <c r="AA41" s="1393">
        <f t="shared" si="3"/>
        <v>1</v>
      </c>
      <c r="AB41" s="1393">
        <f t="shared" si="4"/>
        <v>1</v>
      </c>
      <c r="AC41" s="1393">
        <f t="shared" si="5"/>
        <v>1</v>
      </c>
    </row>
    <row r="42" spans="1:29" ht="15">
      <c r="A42" s="417"/>
      <c r="B42" s="370" t="s">
        <v>2244</v>
      </c>
      <c r="C42" s="1890"/>
      <c r="D42" s="382">
        <v>100</v>
      </c>
      <c r="E42" s="1890"/>
      <c r="F42" s="408">
        <f>SUMIF(122:122,E42,123:123)-SUMIF(122:122,C42,123:123)+100</f>
        <v>100</v>
      </c>
      <c r="G42" s="1890"/>
      <c r="H42" s="382">
        <f>SUMIF(122:122,G42,123:123)-SUMIF(122:122,C42,123:123)+100</f>
        <v>100</v>
      </c>
      <c r="I42" s="1890"/>
      <c r="J42" s="382">
        <f>SUMIF(122:122,I42,123:123)-SUMIF(122:122,C42,123:123)+100</f>
        <v>100</v>
      </c>
      <c r="K42" s="546"/>
      <c r="L42" s="2654"/>
      <c r="M42" s="2649"/>
      <c r="N42" s="2649"/>
      <c r="O42" s="2649"/>
      <c r="P42" s="3413"/>
      <c r="Q42" s="1392" t="str">
        <f t="shared" si="11"/>
        <v>内部装修</v>
      </c>
      <c r="R42" s="676" t="s">
        <v>17</v>
      </c>
      <c r="S42" s="677">
        <f t="shared" si="12"/>
        <v>100</v>
      </c>
      <c r="T42" s="676" t="s">
        <v>17</v>
      </c>
      <c r="U42" s="677">
        <f t="shared" si="13"/>
        <v>100</v>
      </c>
      <c r="V42" s="676" t="s">
        <v>17</v>
      </c>
      <c r="W42" s="677">
        <f t="shared" si="14"/>
        <v>100</v>
      </c>
      <c r="X42" s="1394"/>
      <c r="Y42" s="3378"/>
      <c r="Z42" s="1393" t="str">
        <f t="shared" si="15"/>
        <v>内部装修</v>
      </c>
      <c r="AA42" s="1393">
        <f t="shared" si="3"/>
        <v>1</v>
      </c>
      <c r="AB42" s="1393">
        <f t="shared" si="4"/>
        <v>1</v>
      </c>
      <c r="AC42" s="1393">
        <f t="shared" si="5"/>
        <v>1</v>
      </c>
    </row>
    <row r="43" spans="1:29" ht="15">
      <c r="A43" s="417"/>
      <c r="B43" s="370" t="s">
        <v>2152</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54"/>
      <c r="M43" s="2649"/>
      <c r="N43" s="2649"/>
      <c r="O43" s="2649"/>
      <c r="P43" s="3413"/>
      <c r="Q43" s="1392" t="str">
        <f t="shared" si="11"/>
        <v>内部装修维护情况</v>
      </c>
      <c r="R43" s="676" t="s">
        <v>17</v>
      </c>
      <c r="S43" s="677">
        <f t="shared" si="12"/>
        <v>100</v>
      </c>
      <c r="T43" s="676" t="s">
        <v>17</v>
      </c>
      <c r="U43" s="677">
        <f t="shared" si="13"/>
        <v>100</v>
      </c>
      <c r="V43" s="676" t="s">
        <v>17</v>
      </c>
      <c r="W43" s="677">
        <f t="shared" si="14"/>
        <v>100</v>
      </c>
      <c r="X43" s="1394"/>
      <c r="Y43" s="3378"/>
      <c r="Z43" s="1393" t="str">
        <f t="shared" si="15"/>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0"/>
      <c r="M44" s="2603"/>
      <c r="N44" s="2603"/>
      <c r="O44" s="2603"/>
      <c r="P44" s="3413"/>
      <c r="Q44" s="538">
        <f t="shared" si="11"/>
        <v>111</v>
      </c>
      <c r="R44" s="673" t="s">
        <v>17</v>
      </c>
      <c r="S44" s="674">
        <f t="shared" si="12"/>
        <v>100</v>
      </c>
      <c r="T44" s="673" t="s">
        <v>17</v>
      </c>
      <c r="U44" s="674">
        <f t="shared" si="13"/>
        <v>100</v>
      </c>
      <c r="V44" s="673" t="s">
        <v>17</v>
      </c>
      <c r="W44" s="674">
        <f t="shared" si="14"/>
        <v>100</v>
      </c>
      <c r="X44" s="675"/>
      <c r="Y44" s="3378"/>
      <c r="Z44" s="53">
        <f t="shared" si="15"/>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4"/>
      <c r="M45" s="2649"/>
      <c r="N45" s="2649"/>
      <c r="O45" s="2649"/>
      <c r="P45" s="3413"/>
      <c r="Q45" s="1392">
        <f t="shared" si="11"/>
        <v>111</v>
      </c>
      <c r="R45" s="676" t="s">
        <v>17</v>
      </c>
      <c r="S45" s="677">
        <f t="shared" si="12"/>
        <v>100</v>
      </c>
      <c r="T45" s="676" t="s">
        <v>17</v>
      </c>
      <c r="U45" s="677">
        <f t="shared" si="13"/>
        <v>100</v>
      </c>
      <c r="V45" s="676" t="s">
        <v>17</v>
      </c>
      <c r="W45" s="677">
        <f t="shared" si="14"/>
        <v>100</v>
      </c>
      <c r="X45" s="1394"/>
      <c r="Y45" s="3378"/>
      <c r="Z45" s="1393">
        <f t="shared" si="15"/>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4"/>
      <c r="M46" s="2649"/>
      <c r="N46" s="2649"/>
      <c r="O46" s="2649"/>
      <c r="P46" s="3414"/>
      <c r="Q46" s="1392">
        <f t="shared" si="11"/>
        <v>111</v>
      </c>
      <c r="R46" s="676" t="s">
        <v>17</v>
      </c>
      <c r="S46" s="677">
        <f t="shared" si="12"/>
        <v>100</v>
      </c>
      <c r="T46" s="676" t="s">
        <v>17</v>
      </c>
      <c r="U46" s="677">
        <f t="shared" si="13"/>
        <v>100</v>
      </c>
      <c r="V46" s="676" t="s">
        <v>17</v>
      </c>
      <c r="W46" s="677">
        <f t="shared" si="14"/>
        <v>100</v>
      </c>
      <c r="X46" s="1394"/>
      <c r="Y46" s="3415"/>
      <c r="Z46" s="1393">
        <f t="shared" si="15"/>
        <v>111</v>
      </c>
      <c r="AA46" s="1393">
        <f t="shared" si="3"/>
        <v>1</v>
      </c>
      <c r="AB46" s="1393">
        <f t="shared" si="4"/>
        <v>1</v>
      </c>
      <c r="AC46" s="1393">
        <f t="shared" si="5"/>
        <v>1</v>
      </c>
    </row>
    <row r="47" spans="1:29" ht="15">
      <c r="A47" s="424" t="s">
        <v>2153</v>
      </c>
      <c r="B47" s="425"/>
      <c r="C47" s="1191" t="s">
        <v>1</v>
      </c>
      <c r="D47" s="426"/>
      <c r="E47" s="427"/>
      <c r="F47" s="428"/>
      <c r="G47" s="429"/>
      <c r="H47" s="430"/>
      <c r="I47" s="427"/>
      <c r="J47" s="430"/>
      <c r="K47" s="683"/>
      <c r="L47" s="2656"/>
      <c r="M47" s="2649"/>
      <c r="N47" s="2649"/>
      <c r="O47" s="2649"/>
      <c r="P47" s="3360" t="str">
        <f>A47</f>
        <v>成交单价（元/平方米）</v>
      </c>
      <c r="Q47" s="3360"/>
      <c r="R47" s="3373">
        <f>E47</f>
        <v>0</v>
      </c>
      <c r="S47" s="3373"/>
      <c r="T47" s="3373">
        <f>G47</f>
        <v>0</v>
      </c>
      <c r="U47" s="3373"/>
      <c r="V47" s="3373">
        <f>I47</f>
        <v>0</v>
      </c>
      <c r="W47" s="3373"/>
      <c r="X47" s="393"/>
      <c r="Y47" s="682"/>
      <c r="Z47" s="393"/>
      <c r="AA47" s="393"/>
      <c r="AB47" s="393"/>
      <c r="AC47" s="393"/>
    </row>
    <row r="48" spans="1:29" ht="15.75" thickBot="1">
      <c r="A48" s="431" t="s">
        <v>2245</v>
      </c>
      <c r="B48" s="432"/>
      <c r="C48" s="1192" t="e">
        <f>R49</f>
        <v>#DIV/0!</v>
      </c>
      <c r="D48" s="2301" t="s">
        <v>2634</v>
      </c>
      <c r="E48" s="1193" t="e">
        <f>R48</f>
        <v>#DIV/0!</v>
      </c>
      <c r="F48" s="2302"/>
      <c r="G48" s="1192" t="e">
        <f>T48</f>
        <v>#DIV/0!</v>
      </c>
      <c r="H48" s="2302"/>
      <c r="I48" s="1193" t="e">
        <f>V48</f>
        <v>#DIV/0!</v>
      </c>
      <c r="J48" s="2302"/>
      <c r="K48" s="2304">
        <f>F48+H48+J48</f>
        <v>0</v>
      </c>
      <c r="L48" s="2656"/>
      <c r="M48" s="2649"/>
      <c r="N48" s="2649"/>
      <c r="O48" s="2649"/>
      <c r="P48" s="3360" t="str">
        <f>A48</f>
        <v>比较价值（元/平方米）</v>
      </c>
      <c r="Q48" s="3360"/>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93"/>
      <c r="Y48" s="393"/>
      <c r="Z48" s="393"/>
      <c r="AA48" s="393"/>
      <c r="AB48" s="393"/>
      <c r="AC48" s="393"/>
    </row>
    <row r="49" spans="1:29" ht="15.75" thickBot="1">
      <c r="A49" s="435" t="s">
        <v>2246</v>
      </c>
      <c r="B49" s="436"/>
      <c r="C49" s="357" t="e">
        <f>R49</f>
        <v>#DIV/0!</v>
      </c>
      <c r="D49" s="357"/>
      <c r="E49" s="357"/>
      <c r="F49" s="357"/>
      <c r="G49" s="357"/>
      <c r="H49" s="357"/>
      <c r="I49" s="357"/>
      <c r="J49" s="357"/>
      <c r="K49" s="684"/>
      <c r="L49" s="2656"/>
      <c r="M49" s="2649"/>
      <c r="N49" s="2649"/>
      <c r="O49" s="2649"/>
      <c r="P49" s="3380" t="str">
        <f>A49</f>
        <v>估价对象XX用房的比较价值（楼面单价，元/平方米）</v>
      </c>
      <c r="Q49" s="3381"/>
      <c r="R49" s="3411" t="e">
        <f>IF(F1="售价",ROUND(IF(D48="简单平均",AVERAGE(R48:V48),R48*F48+T48*H48+V48*J48),0),ROUND(IF(D48="简单平均",AVERAGE(R48:V48),R48*F48+T48*H48+V48*J48),1))</f>
        <v>#DIV/0!</v>
      </c>
      <c r="S49" s="3411"/>
      <c r="T49" s="3411"/>
      <c r="U49" s="3411"/>
      <c r="V49" s="3411"/>
      <c r="W49" s="3411"/>
      <c r="X49" s="393"/>
      <c r="Y49" s="393"/>
      <c r="Z49" s="393"/>
      <c r="AA49" s="393"/>
      <c r="AB49" s="393"/>
      <c r="AC49" s="393"/>
    </row>
    <row r="50" spans="1:29">
      <c r="A50" s="2649"/>
      <c r="B50" s="2649"/>
      <c r="C50" s="2649"/>
      <c r="D50" s="2649"/>
      <c r="E50" s="2649"/>
      <c r="F50" s="2649"/>
      <c r="G50" s="2660"/>
      <c r="H50" s="2649"/>
      <c r="I50" s="2649"/>
      <c r="J50" s="2649"/>
      <c r="K50" s="2661"/>
      <c r="L50" s="2657"/>
      <c r="M50" s="2649"/>
      <c r="N50" s="2649"/>
      <c r="O50" s="2649"/>
      <c r="P50" s="2667"/>
      <c r="Q50" s="2649"/>
      <c r="R50" s="2649"/>
      <c r="S50" s="2649"/>
      <c r="T50" s="2649"/>
      <c r="U50" s="2649"/>
      <c r="V50" s="2649"/>
      <c r="W50" s="2649"/>
      <c r="X50" s="2649"/>
      <c r="Y50" s="2649"/>
      <c r="Z50" s="2649"/>
      <c r="AA50" s="2649"/>
      <c r="AB50" s="2649"/>
      <c r="AC50" s="2649"/>
    </row>
    <row r="51" spans="1:29">
      <c r="A51" s="2649"/>
      <c r="B51" s="2649"/>
      <c r="C51" s="2649"/>
      <c r="D51" s="2649"/>
      <c r="E51" s="2649"/>
      <c r="F51" s="2649"/>
      <c r="G51" s="2649"/>
      <c r="H51" s="2649"/>
      <c r="I51" s="2649"/>
      <c r="J51" s="2649"/>
      <c r="K51" s="2661"/>
      <c r="L51" s="2657"/>
      <c r="M51" s="2649"/>
      <c r="N51" s="2649"/>
      <c r="O51" s="2649"/>
      <c r="P51" s="2667"/>
      <c r="Q51" s="2649"/>
      <c r="R51" s="2649"/>
      <c r="S51" s="2649"/>
      <c r="T51" s="2649"/>
      <c r="U51" s="2649"/>
      <c r="V51" s="2649"/>
      <c r="W51" s="2649"/>
      <c r="X51" s="2649"/>
      <c r="Y51" s="2649"/>
      <c r="Z51" s="2649"/>
      <c r="AA51" s="2649"/>
      <c r="AB51" s="2649"/>
      <c r="AC51" s="2649"/>
    </row>
    <row r="52" spans="1:29" ht="13.5" customHeight="1">
      <c r="A52" s="2649"/>
      <c r="B52" s="2649"/>
      <c r="C52" s="440" t="s">
        <v>2247</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1"/>
      <c r="L52" s="2657"/>
      <c r="M52" s="2649"/>
      <c r="N52" s="2649"/>
      <c r="O52" s="2649"/>
      <c r="P52" s="2667"/>
      <c r="Q52" s="2649"/>
      <c r="R52" s="2649"/>
      <c r="S52" s="2649"/>
      <c r="T52" s="2649"/>
      <c r="U52" s="2649"/>
      <c r="V52" s="2649"/>
      <c r="W52" s="2649"/>
      <c r="X52" s="2649"/>
      <c r="Y52" s="2649"/>
      <c r="Z52" s="2649"/>
      <c r="AA52" s="2649"/>
      <c r="AB52" s="2649"/>
      <c r="AC52" s="2649"/>
    </row>
    <row r="53" spans="1:29" ht="13.5" customHeight="1">
      <c r="A53" s="2649"/>
      <c r="B53" s="2649"/>
      <c r="C53" s="440" t="s">
        <v>2248</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1"/>
      <c r="L53" s="2657"/>
      <c r="M53" s="2649"/>
      <c r="N53" s="2649"/>
      <c r="O53" s="2649"/>
      <c r="P53" s="2667"/>
      <c r="Q53" s="2649"/>
      <c r="R53" s="2649"/>
      <c r="S53" s="2649"/>
      <c r="T53" s="2649"/>
      <c r="U53" s="2649"/>
      <c r="V53" s="2649"/>
      <c r="W53" s="2649"/>
      <c r="X53" s="2649"/>
      <c r="Y53" s="2649"/>
      <c r="Z53" s="2649"/>
      <c r="AA53" s="2649"/>
      <c r="AB53" s="2649"/>
      <c r="AC53" s="2649"/>
    </row>
    <row r="54" spans="1:29" s="445" customFormat="1" ht="13.5" customHeight="1">
      <c r="A54" s="2659"/>
      <c r="B54" s="2659"/>
      <c r="C54" s="440" t="s">
        <v>2249</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4"/>
      <c r="L54" s="2658"/>
      <c r="M54" s="2659"/>
      <c r="N54" s="2659"/>
      <c r="O54" s="2659"/>
      <c r="P54" s="2668"/>
      <c r="Q54" s="2659"/>
      <c r="R54" s="2659"/>
      <c r="S54" s="2659"/>
      <c r="T54" s="2659"/>
      <c r="U54" s="2659"/>
      <c r="V54" s="2659"/>
      <c r="W54" s="2659"/>
      <c r="X54" s="2659"/>
      <c r="Y54" s="2659"/>
      <c r="Z54" s="2659"/>
      <c r="AA54" s="2659"/>
      <c r="AB54" s="2659"/>
      <c r="AC54" s="2659"/>
    </row>
    <row r="55" spans="1:29" s="445" customFormat="1">
      <c r="A55" s="2659"/>
      <c r="B55" s="2662"/>
      <c r="C55" s="2663"/>
      <c r="D55" s="2659"/>
      <c r="E55" s="2659"/>
      <c r="F55" s="2659"/>
      <c r="G55" s="2659"/>
      <c r="H55" s="2659"/>
      <c r="I55" s="2659"/>
      <c r="J55" s="2659"/>
      <c r="K55" s="2664"/>
      <c r="L55" s="2658"/>
      <c r="M55" s="2659"/>
      <c r="N55" s="2659"/>
      <c r="O55" s="2659"/>
      <c r="P55" s="2668"/>
      <c r="Q55" s="2659"/>
      <c r="R55" s="2659"/>
      <c r="S55" s="2659"/>
      <c r="T55" s="2659"/>
      <c r="U55" s="2659"/>
      <c r="V55" s="2659"/>
      <c r="W55" s="2659"/>
      <c r="X55" s="2659"/>
      <c r="Y55" s="2659"/>
      <c r="Z55" s="2659"/>
      <c r="AA55" s="2659"/>
      <c r="AB55" s="2659"/>
      <c r="AC55" s="2659"/>
    </row>
    <row r="56" spans="1:29">
      <c r="A56" s="2649"/>
      <c r="B56" s="2662"/>
      <c r="C56" s="2663"/>
      <c r="D56" s="2649"/>
      <c r="E56" s="2649"/>
      <c r="F56" s="2649"/>
      <c r="G56" s="2649"/>
      <c r="H56" s="2649"/>
      <c r="I56" s="2649"/>
      <c r="J56" s="2649"/>
      <c r="K56" s="2661"/>
      <c r="L56" s="2657"/>
      <c r="M56" s="2649"/>
      <c r="N56" s="2649"/>
      <c r="O56" s="2649"/>
      <c r="P56" s="2667"/>
      <c r="Q56" s="2649"/>
      <c r="R56" s="2649"/>
      <c r="S56" s="2649"/>
      <c r="T56" s="2649"/>
      <c r="U56" s="2649"/>
      <c r="V56" s="2649"/>
      <c r="W56" s="2649"/>
      <c r="X56" s="2649"/>
      <c r="Y56" s="2649"/>
      <c r="Z56" s="2649"/>
      <c r="AA56" s="2649"/>
      <c r="AB56" s="2649"/>
      <c r="AC56" s="2649"/>
    </row>
    <row r="57" spans="1:29" ht="21.75" thickBot="1">
      <c r="A57" s="667" t="s">
        <v>2250</v>
      </c>
      <c r="B57" s="393"/>
      <c r="C57" s="668"/>
      <c r="D57" s="668"/>
      <c r="E57" s="668"/>
      <c r="F57" s="669"/>
      <c r="G57" s="669"/>
      <c r="H57" s="668"/>
      <c r="I57" s="668"/>
      <c r="J57" s="668"/>
      <c r="K57" s="670"/>
      <c r="L57" s="995"/>
      <c r="M57" s="993"/>
      <c r="N57" s="993"/>
      <c r="O57" s="993"/>
      <c r="P57" s="2669"/>
      <c r="Q57" s="2670"/>
      <c r="R57" s="2649"/>
      <c r="S57" s="2649"/>
      <c r="T57" s="2649"/>
      <c r="U57" s="2649"/>
      <c r="V57" s="2649"/>
      <c r="W57" s="2649"/>
      <c r="X57" s="2649"/>
      <c r="Y57" s="2649"/>
      <c r="Z57" s="2649"/>
      <c r="AA57" s="2649"/>
      <c r="AB57" s="2649"/>
      <c r="AC57" s="2649"/>
    </row>
    <row r="58" spans="1:29" s="450" customFormat="1" ht="15">
      <c r="A58" s="448" t="s">
        <v>2124</v>
      </c>
      <c r="B58" s="449"/>
      <c r="C58" s="1213" t="str">
        <f>YEAR(C7)&amp;"-"&amp;MONTH(C7)</f>
        <v>2022-11</v>
      </c>
      <c r="D58" s="1214">
        <f>EDATE(C58,-1)</f>
        <v>44835</v>
      </c>
      <c r="E58" s="1214">
        <f t="shared" ref="E58:N58" si="16">EDATE(D58,-1)</f>
        <v>44805</v>
      </c>
      <c r="F58" s="1214">
        <f t="shared" si="16"/>
        <v>44774</v>
      </c>
      <c r="G58" s="1214">
        <f t="shared" si="16"/>
        <v>44743</v>
      </c>
      <c r="H58" s="1214">
        <f t="shared" si="16"/>
        <v>44713</v>
      </c>
      <c r="I58" s="1214">
        <f t="shared" si="16"/>
        <v>44682</v>
      </c>
      <c r="J58" s="1214">
        <f t="shared" si="16"/>
        <v>44652</v>
      </c>
      <c r="K58" s="1214">
        <f t="shared" si="16"/>
        <v>44621</v>
      </c>
      <c r="L58" s="1214">
        <f t="shared" si="16"/>
        <v>44593</v>
      </c>
      <c r="M58" s="1214">
        <f t="shared" si="16"/>
        <v>44562</v>
      </c>
      <c r="N58" s="1214">
        <f t="shared" si="16"/>
        <v>44531</v>
      </c>
      <c r="O58" s="1214">
        <f>EDATE(N58,-1)</f>
        <v>44501</v>
      </c>
      <c r="P58" s="2671"/>
      <c r="Q58" s="2672"/>
      <c r="R58" s="2672"/>
      <c r="S58" s="2672"/>
      <c r="T58" s="2672"/>
      <c r="U58" s="2672"/>
      <c r="V58" s="2672"/>
      <c r="W58" s="2672"/>
      <c r="X58" s="2672"/>
      <c r="Y58" s="2672"/>
      <c r="Z58" s="2672"/>
      <c r="AA58" s="2672"/>
      <c r="AB58" s="2672"/>
      <c r="AC58" s="2672"/>
    </row>
    <row r="59" spans="1:29" s="107" customFormat="1" ht="15">
      <c r="A59" s="451"/>
      <c r="B59" s="452"/>
      <c r="C59" s="1212">
        <v>100</v>
      </c>
      <c r="D59" s="454"/>
      <c r="E59" s="454"/>
      <c r="F59" s="454"/>
      <c r="G59" s="454"/>
      <c r="H59" s="454"/>
      <c r="I59" s="454"/>
      <c r="J59" s="454"/>
      <c r="K59" s="454"/>
      <c r="L59" s="454"/>
      <c r="M59" s="455"/>
      <c r="N59" s="454"/>
      <c r="O59" s="455"/>
      <c r="P59" s="2673"/>
      <c r="Q59" s="2603"/>
      <c r="R59" s="2603"/>
      <c r="S59" s="2603"/>
      <c r="T59" s="2603"/>
      <c r="U59" s="2603"/>
      <c r="V59" s="2603"/>
      <c r="W59" s="2603"/>
      <c r="X59" s="2603"/>
      <c r="Y59" s="2603"/>
      <c r="Z59" s="2603"/>
      <c r="AA59" s="2603"/>
      <c r="AB59" s="2603"/>
      <c r="AC59" s="2603"/>
    </row>
    <row r="60" spans="1:29" s="107" customFormat="1" ht="15.75" thickBot="1">
      <c r="A60" s="457" t="s">
        <v>2161</v>
      </c>
      <c r="B60" s="458"/>
      <c r="C60" s="459"/>
      <c r="D60" s="460"/>
      <c r="E60" s="460"/>
      <c r="F60" s="460"/>
      <c r="G60" s="460"/>
      <c r="H60" s="460"/>
      <c r="I60" s="460"/>
      <c r="J60" s="460"/>
      <c r="K60" s="460"/>
      <c r="L60" s="460"/>
      <c r="M60" s="461"/>
      <c r="N60" s="460"/>
      <c r="O60" s="461"/>
      <c r="P60" s="2673"/>
      <c r="Q60" s="2670"/>
      <c r="R60" s="2603"/>
      <c r="S60" s="2603"/>
      <c r="T60" s="2603"/>
      <c r="U60" s="2603"/>
      <c r="V60" s="2603"/>
      <c r="W60" s="2603"/>
      <c r="X60" s="2603"/>
      <c r="Y60" s="2603"/>
      <c r="Z60" s="2603"/>
      <c r="AA60" s="2603"/>
      <c r="AB60" s="2603"/>
      <c r="AC60" s="2603"/>
    </row>
    <row r="61" spans="1:29" s="107" customFormat="1" ht="15">
      <c r="A61" s="463" t="s">
        <v>2126</v>
      </c>
      <c r="B61" s="452"/>
      <c r="C61" s="464" t="s">
        <v>2228</v>
      </c>
      <c r="D61" s="34"/>
      <c r="E61" s="34"/>
      <c r="F61" s="34"/>
      <c r="G61" s="34"/>
      <c r="H61" s="34"/>
      <c r="I61" s="34"/>
      <c r="J61" s="34"/>
      <c r="K61" s="34"/>
      <c r="L61" s="465"/>
      <c r="M61" s="466"/>
      <c r="N61" s="2682"/>
      <c r="O61" s="2682"/>
      <c r="P61" s="2674"/>
      <c r="Q61" s="2670"/>
      <c r="R61" s="2603"/>
      <c r="S61" s="2603"/>
      <c r="T61" s="2603"/>
      <c r="U61" s="2603"/>
      <c r="V61" s="2603"/>
      <c r="W61" s="2603"/>
      <c r="X61" s="2603"/>
      <c r="Y61" s="2603"/>
      <c r="Z61" s="2603"/>
      <c r="AA61" s="2603"/>
      <c r="AB61" s="2603"/>
      <c r="AC61" s="2603"/>
    </row>
    <row r="62" spans="1:29" s="107" customFormat="1" ht="15.75" thickBot="1">
      <c r="A62" s="463"/>
      <c r="B62" s="452"/>
      <c r="C62" s="453">
        <v>100</v>
      </c>
      <c r="D62" s="454"/>
      <c r="E62" s="454"/>
      <c r="F62" s="454"/>
      <c r="G62" s="454"/>
      <c r="H62" s="454"/>
      <c r="I62" s="454"/>
      <c r="J62" s="454"/>
      <c r="K62" s="454"/>
      <c r="L62" s="454"/>
      <c r="M62" s="456"/>
      <c r="N62" s="2682"/>
      <c r="O62" s="2682"/>
      <c r="P62" s="2673"/>
      <c r="Q62" s="2670"/>
      <c r="R62" s="2603"/>
      <c r="S62" s="2603"/>
      <c r="T62" s="2603"/>
      <c r="U62" s="2603"/>
      <c r="V62" s="2603"/>
      <c r="W62" s="2603"/>
      <c r="X62" s="2603"/>
      <c r="Y62" s="2603"/>
      <c r="Z62" s="2603"/>
      <c r="AA62" s="2603"/>
      <c r="AB62" s="2603"/>
      <c r="AC62" s="2603"/>
    </row>
    <row r="63" spans="1:29">
      <c r="A63" s="387" t="s">
        <v>2164</v>
      </c>
      <c r="B63" s="468" t="s">
        <v>2130</v>
      </c>
      <c r="C63" s="469">
        <f>C9</f>
        <v>0</v>
      </c>
      <c r="D63" s="470"/>
      <c r="E63" s="470"/>
      <c r="F63" s="470"/>
      <c r="G63" s="470"/>
      <c r="H63" s="470"/>
      <c r="I63" s="470"/>
      <c r="J63" s="470"/>
      <c r="K63" s="471"/>
      <c r="L63" s="472"/>
      <c r="M63" s="473"/>
      <c r="N63" s="2683"/>
      <c r="O63" s="2683"/>
      <c r="P63" s="2675"/>
      <c r="Q63" s="2670"/>
      <c r="R63" s="2649"/>
      <c r="S63" s="2649"/>
      <c r="T63" s="2649"/>
      <c r="U63" s="2649"/>
      <c r="V63" s="2649"/>
      <c r="W63" s="2649"/>
      <c r="X63" s="2649"/>
      <c r="Y63" s="2649"/>
      <c r="Z63" s="2649"/>
      <c r="AA63" s="2649"/>
      <c r="AB63" s="2649"/>
      <c r="AC63" s="2649"/>
    </row>
    <row r="64" spans="1:29" ht="15.75" thickBot="1">
      <c r="A64" s="375"/>
      <c r="B64" s="474"/>
      <c r="C64" s="475">
        <v>100</v>
      </c>
      <c r="D64" s="475"/>
      <c r="E64" s="475"/>
      <c r="F64" s="475"/>
      <c r="G64" s="475"/>
      <c r="H64" s="475"/>
      <c r="I64" s="475"/>
      <c r="J64" s="475"/>
      <c r="K64" s="475"/>
      <c r="L64" s="475"/>
      <c r="M64" s="476"/>
      <c r="N64" s="2684"/>
      <c r="O64" s="2684"/>
      <c r="P64" s="2675"/>
      <c r="Q64" s="2670"/>
      <c r="R64" s="2649"/>
      <c r="S64" s="2649"/>
      <c r="T64" s="2649"/>
      <c r="U64" s="2649"/>
      <c r="V64" s="2649"/>
      <c r="W64" s="2649"/>
      <c r="X64" s="2649"/>
      <c r="Y64" s="2649"/>
      <c r="Z64" s="2649"/>
      <c r="AA64" s="2649"/>
      <c r="AB64" s="2649"/>
      <c r="AC64" s="2649"/>
    </row>
    <row r="65" spans="1:29" ht="27.75" thickTop="1">
      <c r="A65" s="375"/>
      <c r="B65" s="477" t="s">
        <v>2133</v>
      </c>
      <c r="C65" s="478" t="s">
        <v>2165</v>
      </c>
      <c r="D65" s="478" t="s">
        <v>2166</v>
      </c>
      <c r="E65" s="478" t="s">
        <v>2167</v>
      </c>
      <c r="F65" s="478" t="s">
        <v>2168</v>
      </c>
      <c r="G65" s="478" t="s">
        <v>2169</v>
      </c>
      <c r="H65" s="478" t="s">
        <v>2170</v>
      </c>
      <c r="I65" s="478" t="s">
        <v>2171</v>
      </c>
      <c r="J65" s="478"/>
      <c r="K65" s="479"/>
      <c r="L65" s="480"/>
      <c r="M65" s="481"/>
      <c r="N65" s="2683"/>
      <c r="O65" s="2683"/>
      <c r="P65" s="2675"/>
      <c r="Q65" s="2670"/>
      <c r="R65" s="2649"/>
      <c r="S65" s="2649"/>
      <c r="T65" s="2649"/>
      <c r="U65" s="2649"/>
      <c r="V65" s="2649"/>
      <c r="W65" s="2649"/>
      <c r="X65" s="2649"/>
      <c r="Y65" s="2649"/>
      <c r="Z65" s="2649"/>
      <c r="AA65" s="2649"/>
      <c r="AB65" s="2649"/>
      <c r="AC65" s="2649"/>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84"/>
      <c r="O66" s="2684"/>
      <c r="P66" s="2675"/>
      <c r="Q66" s="2670"/>
      <c r="R66" s="2649"/>
      <c r="S66" s="2649"/>
      <c r="T66" s="2649"/>
      <c r="U66" s="2649"/>
      <c r="V66" s="2649"/>
      <c r="W66" s="2649"/>
      <c r="X66" s="2649"/>
      <c r="Y66" s="2649"/>
      <c r="Z66" s="2649"/>
      <c r="AA66" s="2649"/>
      <c r="AB66" s="2649"/>
      <c r="AC66" s="2649"/>
    </row>
    <row r="67" spans="1:29" ht="15.75" thickTop="1">
      <c r="A67" s="375"/>
      <c r="B67" s="485" t="s">
        <v>2134</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4"/>
      <c r="O67" s="2684"/>
      <c r="P67" s="2675"/>
      <c r="Q67" s="2670"/>
      <c r="R67" s="2649"/>
      <c r="S67" s="2649"/>
      <c r="T67" s="2649"/>
      <c r="U67" s="2649"/>
      <c r="V67" s="2649"/>
      <c r="W67" s="2649"/>
      <c r="X67" s="2649"/>
      <c r="Y67" s="2649"/>
      <c r="Z67" s="2649"/>
      <c r="AA67" s="2649"/>
      <c r="AB67" s="2649"/>
      <c r="AC67" s="2649"/>
    </row>
    <row r="68" spans="1:29" ht="15">
      <c r="A68" s="375"/>
      <c r="B68" s="487"/>
      <c r="C68" s="488"/>
      <c r="D68" s="488"/>
      <c r="E68" s="488"/>
      <c r="F68" s="488"/>
      <c r="G68" s="488"/>
      <c r="H68" s="488"/>
      <c r="I68" s="488"/>
      <c r="J68" s="488"/>
      <c r="K68" s="489"/>
      <c r="L68" s="490"/>
      <c r="M68" s="491"/>
      <c r="N68" s="2683"/>
      <c r="O68" s="2683"/>
      <c r="P68" s="2675"/>
      <c r="Q68" s="2670"/>
      <c r="R68" s="2649"/>
      <c r="S68" s="2649"/>
      <c r="T68" s="2649"/>
      <c r="U68" s="2649"/>
      <c r="V68" s="2649"/>
      <c r="W68" s="2649"/>
      <c r="X68" s="2649"/>
      <c r="Y68" s="2649"/>
      <c r="Z68" s="2649"/>
      <c r="AA68" s="2649"/>
      <c r="AB68" s="2649"/>
      <c r="AC68" s="2649"/>
    </row>
    <row r="69" spans="1:29" ht="15.7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4"/>
      <c r="O69" s="2684"/>
      <c r="P69" s="2675"/>
      <c r="Q69" s="2670"/>
      <c r="R69" s="2649"/>
      <c r="S69" s="2649"/>
      <c r="T69" s="2649"/>
      <c r="U69" s="2649"/>
      <c r="V69" s="2649"/>
      <c r="W69" s="2649"/>
      <c r="X69" s="2649"/>
      <c r="Y69" s="2649"/>
      <c r="Z69" s="2649"/>
      <c r="AA69" s="2649"/>
      <c r="AB69" s="2649"/>
      <c r="AC69" s="2649"/>
    </row>
    <row r="70" spans="1:29" s="416" customFormat="1" ht="15.75" thickTop="1">
      <c r="A70" s="492"/>
      <c r="B70" s="477">
        <f>B12</f>
        <v>111</v>
      </c>
      <c r="C70" s="493"/>
      <c r="D70" s="493"/>
      <c r="E70" s="493"/>
      <c r="F70" s="493"/>
      <c r="G70" s="493"/>
      <c r="H70" s="494"/>
      <c r="I70" s="494"/>
      <c r="J70" s="494"/>
      <c r="K70" s="494"/>
      <c r="L70" s="495"/>
      <c r="M70" s="496"/>
      <c r="N70" s="2685"/>
      <c r="O70" s="2685"/>
      <c r="P70" s="2676"/>
      <c r="Q70" s="2677"/>
      <c r="R70" s="2655"/>
      <c r="S70" s="2655"/>
      <c r="T70" s="2655"/>
      <c r="U70" s="2655"/>
      <c r="V70" s="2655"/>
      <c r="W70" s="2655"/>
      <c r="X70" s="2655"/>
      <c r="Y70" s="2655"/>
      <c r="Z70" s="2655"/>
      <c r="AA70" s="2655"/>
      <c r="AB70" s="2655"/>
      <c r="AC70" s="2655"/>
    </row>
    <row r="71" spans="1:29" s="416" customFormat="1" ht="15.75" thickBot="1">
      <c r="A71" s="492"/>
      <c r="B71" s="482"/>
      <c r="C71" s="499"/>
      <c r="D71" s="475"/>
      <c r="E71" s="475"/>
      <c r="F71" s="475"/>
      <c r="G71" s="475"/>
      <c r="H71" s="475"/>
      <c r="I71" s="475"/>
      <c r="J71" s="475"/>
      <c r="K71" s="475"/>
      <c r="L71" s="475"/>
      <c r="M71" s="476"/>
      <c r="N71" s="2684"/>
      <c r="O71" s="2684"/>
      <c r="P71" s="2676"/>
      <c r="Q71" s="2677"/>
      <c r="R71" s="2655"/>
      <c r="S71" s="2655"/>
      <c r="T71" s="2655"/>
      <c r="U71" s="2655"/>
      <c r="V71" s="2655"/>
      <c r="W71" s="2655"/>
      <c r="X71" s="2655"/>
      <c r="Y71" s="2655"/>
      <c r="Z71" s="2655"/>
      <c r="AA71" s="2655"/>
      <c r="AB71" s="2655"/>
      <c r="AC71" s="2655"/>
    </row>
    <row r="72" spans="1:29" s="416" customFormat="1" ht="15.75" thickTop="1">
      <c r="A72" s="492"/>
      <c r="B72" s="477">
        <f>B13</f>
        <v>111</v>
      </c>
      <c r="C72" s="493"/>
      <c r="D72" s="493"/>
      <c r="E72" s="493"/>
      <c r="F72" s="493"/>
      <c r="G72" s="493"/>
      <c r="H72" s="494"/>
      <c r="I72" s="494"/>
      <c r="J72" s="494"/>
      <c r="K72" s="494"/>
      <c r="L72" s="495"/>
      <c r="M72" s="496"/>
      <c r="N72" s="2685"/>
      <c r="O72" s="2685"/>
      <c r="P72" s="2678"/>
      <c r="Q72" s="2679"/>
      <c r="R72" s="2655"/>
      <c r="S72" s="2655"/>
      <c r="T72" s="2655"/>
      <c r="U72" s="2655"/>
      <c r="V72" s="2655"/>
      <c r="W72" s="2655"/>
      <c r="X72" s="2655"/>
      <c r="Y72" s="2655"/>
      <c r="Z72" s="2655"/>
      <c r="AA72" s="2655"/>
      <c r="AB72" s="2655"/>
      <c r="AC72" s="2655"/>
    </row>
    <row r="73" spans="1:29" s="416" customFormat="1" ht="15.75" thickBot="1">
      <c r="A73" s="492"/>
      <c r="B73" s="482"/>
      <c r="C73" s="499"/>
      <c r="D73" s="475"/>
      <c r="E73" s="475"/>
      <c r="F73" s="475"/>
      <c r="G73" s="499"/>
      <c r="H73" s="501"/>
      <c r="I73" s="501"/>
      <c r="J73" s="501"/>
      <c r="K73" s="501"/>
      <c r="L73" s="501"/>
      <c r="M73" s="502"/>
      <c r="N73" s="2685"/>
      <c r="O73" s="2685"/>
      <c r="P73" s="2676"/>
      <c r="Q73" s="2677"/>
      <c r="R73" s="2655"/>
      <c r="S73" s="2655"/>
      <c r="T73" s="2655"/>
      <c r="U73" s="2655"/>
      <c r="V73" s="2655"/>
      <c r="W73" s="2655"/>
      <c r="X73" s="2655"/>
      <c r="Y73" s="2655"/>
      <c r="Z73" s="2655"/>
      <c r="AA73" s="2655"/>
      <c r="AB73" s="2655"/>
      <c r="AC73" s="2655"/>
    </row>
    <row r="74" spans="1:29" s="416" customFormat="1" ht="15.75" thickTop="1">
      <c r="A74" s="492"/>
      <c r="B74" s="485">
        <f>B14</f>
        <v>111</v>
      </c>
      <c r="C74" s="493"/>
      <c r="D74" s="493"/>
      <c r="E74" s="493"/>
      <c r="F74" s="493"/>
      <c r="G74" s="34"/>
      <c r="H74" s="503"/>
      <c r="I74" s="503"/>
      <c r="J74" s="503"/>
      <c r="K74" s="503"/>
      <c r="L74" s="504"/>
      <c r="M74" s="505"/>
      <c r="N74" s="2685"/>
      <c r="O74" s="2685"/>
      <c r="P74" s="2680"/>
      <c r="Q74" s="2677"/>
      <c r="R74" s="2655"/>
      <c r="S74" s="2655"/>
      <c r="T74" s="2655"/>
      <c r="U74" s="2655"/>
      <c r="V74" s="2655"/>
      <c r="W74" s="2655"/>
      <c r="X74" s="2655"/>
      <c r="Y74" s="2655"/>
      <c r="Z74" s="2655"/>
      <c r="AA74" s="2655"/>
      <c r="AB74" s="2655"/>
      <c r="AC74" s="2655"/>
    </row>
    <row r="75" spans="1:29" s="416" customFormat="1" ht="15.75" thickBot="1">
      <c r="A75" s="507"/>
      <c r="B75" s="508"/>
      <c r="C75" s="509"/>
      <c r="D75" s="509"/>
      <c r="E75" s="509"/>
      <c r="F75" s="509"/>
      <c r="G75" s="509"/>
      <c r="H75" s="510"/>
      <c r="I75" s="510"/>
      <c r="J75" s="510"/>
      <c r="K75" s="510"/>
      <c r="L75" s="510"/>
      <c r="M75" s="511"/>
      <c r="N75" s="2685"/>
      <c r="O75" s="2685"/>
      <c r="P75" s="2676"/>
      <c r="Q75" s="2677"/>
      <c r="R75" s="2655"/>
      <c r="S75" s="2655"/>
      <c r="T75" s="2655"/>
      <c r="U75" s="2655"/>
      <c r="V75" s="2655"/>
      <c r="W75" s="2655"/>
      <c r="X75" s="2655"/>
      <c r="Y75" s="2655"/>
      <c r="Z75" s="2655"/>
      <c r="AA75" s="2655"/>
      <c r="AB75" s="2655"/>
      <c r="AC75" s="2655"/>
    </row>
    <row r="76" spans="1:29">
      <c r="A76" s="387" t="s">
        <v>2135</v>
      </c>
      <c r="B76" s="468" t="s">
        <v>2172</v>
      </c>
      <c r="C76" s="512" t="s">
        <v>2173</v>
      </c>
      <c r="D76" s="512" t="s">
        <v>2174</v>
      </c>
      <c r="E76" s="512" t="s">
        <v>2175</v>
      </c>
      <c r="F76" s="512" t="s">
        <v>2176</v>
      </c>
      <c r="G76" s="512" t="s">
        <v>2177</v>
      </c>
      <c r="H76" s="469"/>
      <c r="I76" s="469"/>
      <c r="J76" s="469"/>
      <c r="K76" s="513"/>
      <c r="L76" s="514"/>
      <c r="M76" s="515"/>
      <c r="N76" s="2683"/>
      <c r="O76" s="2683"/>
      <c r="P76" s="2681"/>
      <c r="Q76" s="2670"/>
      <c r="R76" s="2649"/>
      <c r="S76" s="2649"/>
      <c r="T76" s="2649"/>
      <c r="U76" s="2649"/>
      <c r="V76" s="2649"/>
      <c r="W76" s="2649"/>
      <c r="X76" s="2649"/>
      <c r="Y76" s="2649"/>
      <c r="Z76" s="2649"/>
      <c r="AA76" s="2649"/>
      <c r="AB76" s="2649"/>
      <c r="AC76" s="2649"/>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84"/>
      <c r="O77" s="2684"/>
      <c r="P77" s="2675"/>
      <c r="Q77" s="2670"/>
      <c r="R77" s="2649"/>
      <c r="S77" s="2649"/>
      <c r="T77" s="2649"/>
      <c r="U77" s="2649"/>
      <c r="V77" s="2649"/>
      <c r="W77" s="2649"/>
      <c r="X77" s="2649"/>
      <c r="Y77" s="2649"/>
      <c r="Z77" s="2649"/>
      <c r="AA77" s="2649"/>
      <c r="AB77" s="2649"/>
      <c r="AC77" s="2649"/>
    </row>
    <row r="78" spans="1:29" ht="15.75" thickTop="1">
      <c r="A78" s="375"/>
      <c r="B78" s="477" t="s">
        <v>2178</v>
      </c>
      <c r="C78" s="517" t="s">
        <v>2173</v>
      </c>
      <c r="D78" s="517" t="s">
        <v>2174</v>
      </c>
      <c r="E78" s="517" t="s">
        <v>2175</v>
      </c>
      <c r="F78" s="517" t="s">
        <v>2176</v>
      </c>
      <c r="G78" s="517" t="s">
        <v>2177</v>
      </c>
      <c r="H78" s="478"/>
      <c r="I78" s="478"/>
      <c r="J78" s="478"/>
      <c r="K78" s="479"/>
      <c r="L78" s="480"/>
      <c r="M78" s="481"/>
      <c r="N78" s="2683"/>
      <c r="O78" s="2683"/>
      <c r="P78" s="2675"/>
      <c r="Q78" s="2670"/>
      <c r="R78" s="2649"/>
      <c r="S78" s="2649"/>
      <c r="T78" s="2649"/>
      <c r="U78" s="2649"/>
      <c r="V78" s="2649"/>
      <c r="W78" s="2649"/>
      <c r="X78" s="2649"/>
      <c r="Y78" s="2649"/>
      <c r="Z78" s="2649"/>
      <c r="AA78" s="2649"/>
      <c r="AB78" s="2649"/>
      <c r="AC78" s="2649"/>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84"/>
      <c r="O79" s="2684"/>
      <c r="P79" s="2675"/>
      <c r="Q79" s="2670"/>
      <c r="R79" s="2649"/>
      <c r="S79" s="2649"/>
      <c r="T79" s="2649"/>
      <c r="U79" s="2649"/>
      <c r="V79" s="2649"/>
      <c r="W79" s="2649"/>
      <c r="X79" s="2649"/>
      <c r="Y79" s="2649"/>
      <c r="Z79" s="2649"/>
      <c r="AA79" s="2649"/>
      <c r="AB79" s="2649"/>
      <c r="AC79" s="2649"/>
    </row>
    <row r="80" spans="1:29" ht="15.75" thickTop="1">
      <c r="A80" s="375"/>
      <c r="B80" s="477" t="s">
        <v>2179</v>
      </c>
      <c r="C80" s="517" t="s">
        <v>2173</v>
      </c>
      <c r="D80" s="517" t="s">
        <v>2174</v>
      </c>
      <c r="E80" s="517" t="s">
        <v>2175</v>
      </c>
      <c r="F80" s="517" t="s">
        <v>2176</v>
      </c>
      <c r="G80" s="517" t="s">
        <v>2177</v>
      </c>
      <c r="H80" s="478"/>
      <c r="I80" s="478"/>
      <c r="J80" s="478"/>
      <c r="K80" s="479"/>
      <c r="L80" s="480"/>
      <c r="M80" s="481"/>
      <c r="N80" s="2683"/>
      <c r="O80" s="2683"/>
      <c r="P80" s="2675"/>
      <c r="Q80" s="2670"/>
      <c r="R80" s="2649"/>
      <c r="S80" s="2649"/>
      <c r="T80" s="2649"/>
      <c r="U80" s="2649"/>
      <c r="V80" s="2649"/>
      <c r="W80" s="2649"/>
      <c r="X80" s="2649"/>
      <c r="Y80" s="2649"/>
      <c r="Z80" s="2649"/>
      <c r="AA80" s="2649"/>
      <c r="AB80" s="2649"/>
      <c r="AC80" s="2649"/>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4"/>
      <c r="O81" s="2684"/>
      <c r="P81" s="2675"/>
      <c r="Q81" s="2670"/>
      <c r="R81" s="2649"/>
      <c r="S81" s="2649"/>
      <c r="T81" s="2649"/>
      <c r="U81" s="2649"/>
      <c r="V81" s="2649"/>
      <c r="W81" s="2649"/>
      <c r="X81" s="2649"/>
      <c r="Y81" s="2649"/>
      <c r="Z81" s="2649"/>
      <c r="AA81" s="2649"/>
      <c r="AB81" s="2649"/>
      <c r="AC81" s="2649"/>
    </row>
    <row r="82" spans="1:29" ht="15.75" thickTop="1">
      <c r="A82" s="375"/>
      <c r="B82" s="485" t="s">
        <v>2231</v>
      </c>
      <c r="C82" s="589" t="s">
        <v>2251</v>
      </c>
      <c r="D82" s="589" t="s">
        <v>2252</v>
      </c>
      <c r="E82" s="589" t="s">
        <v>2253</v>
      </c>
      <c r="F82" s="589" t="s">
        <v>2254</v>
      </c>
      <c r="G82" s="589" t="s">
        <v>2255</v>
      </c>
      <c r="H82" s="478"/>
      <c r="I82" s="478"/>
      <c r="J82" s="478"/>
      <c r="K82" s="478"/>
      <c r="L82" s="478"/>
      <c r="M82" s="1173"/>
      <c r="N82" s="2684"/>
      <c r="O82" s="2684"/>
      <c r="P82" s="2675"/>
      <c r="Q82" s="2670"/>
      <c r="R82" s="2649"/>
      <c r="S82" s="2649"/>
      <c r="T82" s="2649"/>
      <c r="U82" s="2649"/>
      <c r="V82" s="2649"/>
      <c r="W82" s="2649"/>
      <c r="X82" s="2649"/>
      <c r="Y82" s="2649"/>
      <c r="Z82" s="2649"/>
      <c r="AA82" s="2649"/>
      <c r="AB82" s="2649"/>
      <c r="AC82" s="2649"/>
    </row>
    <row r="83" spans="1:29" ht="15.7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4"/>
      <c r="O83" s="2684"/>
      <c r="P83" s="2675"/>
      <c r="Q83" s="2670"/>
      <c r="R83" s="2649"/>
      <c r="S83" s="2649"/>
      <c r="T83" s="2649"/>
      <c r="U83" s="2649"/>
      <c r="V83" s="2649"/>
      <c r="W83" s="2649"/>
      <c r="X83" s="2649"/>
      <c r="Y83" s="2649"/>
      <c r="Z83" s="2649"/>
      <c r="AA83" s="2649"/>
      <c r="AB83" s="2649"/>
      <c r="AC83" s="2649"/>
    </row>
    <row r="84" spans="1:29" ht="15.75" thickTop="1">
      <c r="A84" s="375"/>
      <c r="B84" s="477" t="s">
        <v>2185</v>
      </c>
      <c r="C84" s="517" t="s">
        <v>2173</v>
      </c>
      <c r="D84" s="517" t="s">
        <v>2174</v>
      </c>
      <c r="E84" s="517" t="s">
        <v>2175</v>
      </c>
      <c r="F84" s="517" t="s">
        <v>2176</v>
      </c>
      <c r="G84" s="517" t="s">
        <v>2177</v>
      </c>
      <c r="H84" s="478"/>
      <c r="I84" s="478"/>
      <c r="J84" s="478"/>
      <c r="K84" s="479"/>
      <c r="L84" s="480"/>
      <c r="M84" s="481"/>
      <c r="N84" s="2683"/>
      <c r="O84" s="2683"/>
      <c r="P84" s="2675"/>
      <c r="Q84" s="2670"/>
      <c r="R84" s="2649"/>
      <c r="S84" s="2649"/>
      <c r="T84" s="2649"/>
      <c r="U84" s="2649"/>
      <c r="V84" s="2649"/>
      <c r="W84" s="2649"/>
      <c r="X84" s="2649"/>
      <c r="Y84" s="2649"/>
      <c r="Z84" s="2649"/>
      <c r="AA84" s="2649"/>
      <c r="AB84" s="2649"/>
      <c r="AC84" s="2649"/>
    </row>
    <row r="85" spans="1:29" ht="15.75" thickBot="1">
      <c r="A85" s="375"/>
      <c r="B85" s="482"/>
      <c r="C85" s="483">
        <v>100</v>
      </c>
      <c r="D85" s="483">
        <f>C85-$K23</f>
        <v>100</v>
      </c>
      <c r="E85" s="483">
        <f>D85-$K23</f>
        <v>100</v>
      </c>
      <c r="F85" s="483">
        <f>E85-$K23</f>
        <v>100</v>
      </c>
      <c r="G85" s="483">
        <f>F85-$K23</f>
        <v>100</v>
      </c>
      <c r="H85" s="483"/>
      <c r="I85" s="483"/>
      <c r="J85" s="483"/>
      <c r="K85" s="483"/>
      <c r="L85" s="483"/>
      <c r="M85" s="484"/>
      <c r="N85" s="2684"/>
      <c r="O85" s="2684"/>
      <c r="P85" s="2675"/>
      <c r="Q85" s="2670"/>
      <c r="R85" s="2649"/>
      <c r="S85" s="2649"/>
      <c r="T85" s="2649"/>
      <c r="U85" s="2649"/>
      <c r="V85" s="2649"/>
      <c r="W85" s="2649"/>
      <c r="X85" s="2649"/>
      <c r="Y85" s="2649"/>
      <c r="Z85" s="2649"/>
      <c r="AA85" s="2649"/>
      <c r="AB85" s="2649"/>
      <c r="AC85" s="2649"/>
    </row>
    <row r="86" spans="1:29" s="107" customFormat="1" ht="15.75" thickTop="1">
      <c r="A86" s="378"/>
      <c r="B86" s="477" t="s">
        <v>2256</v>
      </c>
      <c r="C86" s="493"/>
      <c r="D86" s="493"/>
      <c r="E86" s="493"/>
      <c r="F86" s="493"/>
      <c r="G86" s="493"/>
      <c r="H86" s="493"/>
      <c r="I86" s="493"/>
      <c r="J86" s="493"/>
      <c r="K86" s="493"/>
      <c r="L86" s="518"/>
      <c r="M86" s="519"/>
      <c r="N86" s="2682"/>
      <c r="O86" s="2682"/>
      <c r="P86" s="2675"/>
      <c r="Q86" s="2670"/>
      <c r="R86" s="2603"/>
      <c r="S86" s="2603"/>
      <c r="T86" s="2603"/>
      <c r="U86" s="2603"/>
      <c r="V86" s="2603"/>
      <c r="W86" s="2603"/>
      <c r="X86" s="2603"/>
      <c r="Y86" s="2603"/>
      <c r="Z86" s="2603"/>
      <c r="AA86" s="2603"/>
      <c r="AB86" s="2603"/>
      <c r="AC86" s="2603"/>
    </row>
    <row r="87" spans="1:29" s="107" customFormat="1" ht="15.7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4"/>
      <c r="O87" s="2684"/>
      <c r="P87" s="2675"/>
      <c r="Q87" s="2670"/>
      <c r="R87" s="2603"/>
      <c r="S87" s="2603"/>
      <c r="T87" s="2603"/>
      <c r="U87" s="2603"/>
      <c r="V87" s="2603"/>
      <c r="W87" s="2603"/>
      <c r="X87" s="2603"/>
      <c r="Y87" s="2603"/>
      <c r="Z87" s="2603"/>
      <c r="AA87" s="2603"/>
      <c r="AB87" s="2603"/>
      <c r="AC87" s="2603"/>
    </row>
    <row r="88" spans="1:29" s="107" customFormat="1" ht="15.75" thickTop="1">
      <c r="A88" s="378"/>
      <c r="B88" s="477" t="str">
        <f>B26</f>
        <v>平面位置/可视性</v>
      </c>
      <c r="C88" s="493"/>
      <c r="D88" s="493"/>
      <c r="E88" s="493"/>
      <c r="F88" s="1910"/>
      <c r="G88" s="493"/>
      <c r="H88" s="493"/>
      <c r="I88" s="493"/>
      <c r="J88" s="493"/>
      <c r="K88" s="493"/>
      <c r="L88" s="493"/>
      <c r="M88" s="519"/>
      <c r="N88" s="2682"/>
      <c r="O88" s="2682"/>
      <c r="P88" s="2675"/>
      <c r="Q88" s="2670"/>
      <c r="R88" s="2603"/>
      <c r="S88" s="2603"/>
      <c r="T88" s="2603"/>
      <c r="U88" s="2603"/>
      <c r="V88" s="2603"/>
      <c r="W88" s="2603"/>
      <c r="X88" s="2603"/>
      <c r="Y88" s="2603"/>
      <c r="Z88" s="2603"/>
      <c r="AA88" s="2603"/>
      <c r="AB88" s="2603"/>
      <c r="AC88" s="2603"/>
    </row>
    <row r="89" spans="1:29" s="107" customFormat="1" ht="15.75" thickBot="1">
      <c r="A89" s="378"/>
      <c r="B89" s="482"/>
      <c r="C89" s="499"/>
      <c r="D89" s="475"/>
      <c r="E89" s="475"/>
      <c r="F89" s="475"/>
      <c r="G89" s="475"/>
      <c r="H89" s="475"/>
      <c r="I89" s="475"/>
      <c r="J89" s="475"/>
      <c r="K89" s="475"/>
      <c r="L89" s="475"/>
      <c r="M89" s="475"/>
      <c r="N89" s="2684"/>
      <c r="O89" s="2684"/>
      <c r="P89" s="2675"/>
      <c r="Q89" s="2670"/>
      <c r="R89" s="2603"/>
      <c r="S89" s="2603"/>
      <c r="T89" s="2603"/>
      <c r="U89" s="2603"/>
      <c r="V89" s="2603"/>
      <c r="W89" s="2603"/>
      <c r="X89" s="2603"/>
      <c r="Y89" s="2603"/>
      <c r="Z89" s="2603"/>
      <c r="AA89" s="2603"/>
      <c r="AB89" s="2603"/>
      <c r="AC89" s="2603"/>
    </row>
    <row r="90" spans="1:29" s="416" customFormat="1" ht="15.75" thickTop="1">
      <c r="A90" s="492"/>
      <c r="B90" s="477" t="str">
        <f>B27</f>
        <v>人流量</v>
      </c>
      <c r="C90" s="493"/>
      <c r="D90" s="493"/>
      <c r="E90" s="493"/>
      <c r="F90" s="493"/>
      <c r="G90" s="493"/>
      <c r="H90" s="494"/>
      <c r="I90" s="494"/>
      <c r="J90" s="494"/>
      <c r="K90" s="494"/>
      <c r="L90" s="495"/>
      <c r="M90" s="496"/>
      <c r="N90" s="2685"/>
      <c r="O90" s="2685"/>
      <c r="P90" s="2676"/>
      <c r="Q90" s="2677"/>
      <c r="R90" s="2655"/>
      <c r="S90" s="2655"/>
      <c r="T90" s="2655"/>
      <c r="U90" s="2655"/>
      <c r="V90" s="2655"/>
      <c r="W90" s="2655"/>
      <c r="X90" s="2655"/>
      <c r="Y90" s="2655"/>
      <c r="Z90" s="2655"/>
      <c r="AA90" s="2655"/>
      <c r="AB90" s="2655"/>
      <c r="AC90" s="2655"/>
    </row>
    <row r="91" spans="1:29" s="416" customFormat="1" ht="15.7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85"/>
      <c r="O91" s="2685"/>
      <c r="P91" s="2676"/>
      <c r="Q91" s="2677"/>
      <c r="R91" s="2655"/>
      <c r="S91" s="2655"/>
      <c r="T91" s="2655"/>
      <c r="U91" s="2655"/>
      <c r="V91" s="2655"/>
      <c r="W91" s="2655"/>
      <c r="X91" s="2655"/>
      <c r="Y91" s="2655"/>
      <c r="Z91" s="2655"/>
      <c r="AA91" s="2655"/>
      <c r="AB91" s="2655"/>
      <c r="AC91" s="2655"/>
    </row>
    <row r="92" spans="1:29" ht="15.75" thickTop="1">
      <c r="A92" s="375"/>
      <c r="B92" s="477" t="str">
        <f>B28</f>
        <v>楼层</v>
      </c>
      <c r="C92" s="493"/>
      <c r="D92" s="493"/>
      <c r="E92" s="493"/>
      <c r="F92" s="493"/>
      <c r="G92" s="493"/>
      <c r="H92" s="493"/>
      <c r="I92" s="493"/>
      <c r="J92" s="493"/>
      <c r="K92" s="493"/>
      <c r="L92" s="518"/>
      <c r="M92" s="519"/>
      <c r="N92" s="2683"/>
      <c r="O92" s="2683"/>
      <c r="P92" s="2675"/>
      <c r="Q92" s="2670"/>
      <c r="R92" s="2649"/>
      <c r="S92" s="2649"/>
      <c r="T92" s="2649"/>
      <c r="U92" s="2649"/>
      <c r="V92" s="2649"/>
      <c r="W92" s="2649"/>
      <c r="X92" s="2649"/>
      <c r="Y92" s="2649"/>
      <c r="Z92" s="2649"/>
      <c r="AA92" s="2649"/>
      <c r="AB92" s="2649"/>
      <c r="AC92" s="2649"/>
    </row>
    <row r="93" spans="1:29" ht="15.75" thickBot="1">
      <c r="A93" s="375"/>
      <c r="B93" s="482"/>
      <c r="C93" s="475"/>
      <c r="D93" s="475"/>
      <c r="E93" s="475"/>
      <c r="F93" s="475"/>
      <c r="G93" s="475"/>
      <c r="H93" s="475"/>
      <c r="I93" s="475"/>
      <c r="J93" s="475"/>
      <c r="K93" s="475"/>
      <c r="L93" s="475"/>
      <c r="M93" s="476"/>
      <c r="N93" s="2684"/>
      <c r="O93" s="2684"/>
      <c r="P93" s="2675"/>
      <c r="Q93" s="2670"/>
      <c r="R93" s="2649"/>
      <c r="S93" s="2649"/>
      <c r="T93" s="2649"/>
      <c r="U93" s="2649"/>
      <c r="V93" s="2649"/>
      <c r="W93" s="2649"/>
      <c r="X93" s="2649"/>
      <c r="Y93" s="2649"/>
      <c r="Z93" s="2649"/>
      <c r="AA93" s="2649"/>
      <c r="AB93" s="2649"/>
      <c r="AC93" s="2649"/>
    </row>
    <row r="94" spans="1:29" ht="15.75" thickTop="1">
      <c r="A94" s="375"/>
      <c r="B94" s="477">
        <f>B29</f>
        <v>111</v>
      </c>
      <c r="C94" s="493"/>
      <c r="D94" s="493"/>
      <c r="E94" s="493"/>
      <c r="F94" s="493"/>
      <c r="G94" s="521"/>
      <c r="H94" s="521"/>
      <c r="I94" s="521"/>
      <c r="J94" s="521"/>
      <c r="K94" s="522"/>
      <c r="L94" s="523"/>
      <c r="M94" s="524"/>
      <c r="N94" s="2683"/>
      <c r="O94" s="2683"/>
      <c r="P94" s="2675"/>
      <c r="Q94" s="2670"/>
      <c r="R94" s="2649"/>
      <c r="S94" s="2649"/>
      <c r="T94" s="2649"/>
      <c r="U94" s="2649"/>
      <c r="V94" s="2649"/>
      <c r="W94" s="2649"/>
      <c r="X94" s="2649"/>
      <c r="Y94" s="2649"/>
      <c r="Z94" s="2649"/>
      <c r="AA94" s="2649"/>
      <c r="AB94" s="2649"/>
      <c r="AC94" s="2649"/>
    </row>
    <row r="95" spans="1:29" ht="15.75" thickBot="1">
      <c r="A95" s="375"/>
      <c r="B95" s="482"/>
      <c r="C95" s="499"/>
      <c r="D95" s="475"/>
      <c r="E95" s="475"/>
      <c r="F95" s="475"/>
      <c r="G95" s="475"/>
      <c r="H95" s="475"/>
      <c r="I95" s="475"/>
      <c r="J95" s="475"/>
      <c r="K95" s="475"/>
      <c r="L95" s="475"/>
      <c r="M95" s="476"/>
      <c r="N95" s="2684"/>
      <c r="O95" s="2684"/>
      <c r="P95" s="2675"/>
      <c r="Q95" s="2670"/>
      <c r="R95" s="2649"/>
      <c r="S95" s="2649"/>
      <c r="T95" s="2649"/>
      <c r="U95" s="2649"/>
      <c r="V95" s="2649"/>
      <c r="W95" s="2649"/>
      <c r="X95" s="2649"/>
      <c r="Y95" s="2649"/>
      <c r="Z95" s="2649"/>
      <c r="AA95" s="2649"/>
      <c r="AB95" s="2649"/>
      <c r="AC95" s="2649"/>
    </row>
    <row r="96" spans="1:29" ht="15.75" thickTop="1">
      <c r="A96" s="375"/>
      <c r="B96" s="477">
        <f>B30</f>
        <v>111</v>
      </c>
      <c r="C96" s="493"/>
      <c r="D96" s="493"/>
      <c r="E96" s="493"/>
      <c r="F96" s="493"/>
      <c r="G96" s="521"/>
      <c r="H96" s="521"/>
      <c r="I96" s="521"/>
      <c r="J96" s="521"/>
      <c r="K96" s="522"/>
      <c r="L96" s="523"/>
      <c r="M96" s="524"/>
      <c r="N96" s="2683"/>
      <c r="O96" s="2683"/>
      <c r="P96" s="2675"/>
      <c r="Q96" s="2670"/>
      <c r="R96" s="2649"/>
      <c r="S96" s="2649"/>
      <c r="T96" s="2649"/>
      <c r="U96" s="2649"/>
      <c r="V96" s="2649"/>
      <c r="W96" s="2649"/>
      <c r="X96" s="2649"/>
      <c r="Y96" s="2649"/>
      <c r="Z96" s="2649"/>
      <c r="AA96" s="2649"/>
      <c r="AB96" s="2649"/>
      <c r="AC96" s="2649"/>
    </row>
    <row r="97" spans="1:29" ht="15.75" thickBot="1">
      <c r="A97" s="375"/>
      <c r="B97" s="482"/>
      <c r="C97" s="499"/>
      <c r="D97" s="475"/>
      <c r="E97" s="475"/>
      <c r="F97" s="475"/>
      <c r="G97" s="475"/>
      <c r="H97" s="475"/>
      <c r="I97" s="475"/>
      <c r="J97" s="475"/>
      <c r="K97" s="475"/>
      <c r="L97" s="475"/>
      <c r="M97" s="476"/>
      <c r="N97" s="2684"/>
      <c r="O97" s="2684"/>
      <c r="P97" s="2675"/>
      <c r="Q97" s="2670"/>
      <c r="R97" s="2649"/>
      <c r="S97" s="2649"/>
      <c r="T97" s="2649"/>
      <c r="U97" s="2649"/>
      <c r="V97" s="2649"/>
      <c r="W97" s="2649"/>
      <c r="X97" s="2649"/>
      <c r="Y97" s="2649"/>
      <c r="Z97" s="2649"/>
      <c r="AA97" s="2649"/>
      <c r="AB97" s="2649"/>
      <c r="AC97" s="2649"/>
    </row>
    <row r="98" spans="1:29" ht="15.75" thickTop="1">
      <c r="A98" s="375"/>
      <c r="B98" s="485">
        <f>B31</f>
        <v>111</v>
      </c>
      <c r="C98" s="493"/>
      <c r="D98" s="493"/>
      <c r="E98" s="493"/>
      <c r="F98" s="493"/>
      <c r="G98" s="525"/>
      <c r="H98" s="525"/>
      <c r="I98" s="525"/>
      <c r="J98" s="525"/>
      <c r="K98" s="526"/>
      <c r="L98" s="527"/>
      <c r="M98" s="528"/>
      <c r="N98" s="2683"/>
      <c r="O98" s="2683"/>
      <c r="P98" s="2675"/>
      <c r="Q98" s="2670"/>
      <c r="R98" s="2649"/>
      <c r="S98" s="2649"/>
      <c r="T98" s="2649"/>
      <c r="U98" s="2649"/>
      <c r="V98" s="2649"/>
      <c r="W98" s="2649"/>
      <c r="X98" s="2649"/>
      <c r="Y98" s="2649"/>
      <c r="Z98" s="2649"/>
      <c r="AA98" s="2649"/>
      <c r="AB98" s="2649"/>
      <c r="AC98" s="2649"/>
    </row>
    <row r="99" spans="1:29" ht="15.75" thickBot="1">
      <c r="A99" s="383"/>
      <c r="B99" s="508"/>
      <c r="C99" s="509"/>
      <c r="D99" s="509"/>
      <c r="E99" s="509"/>
      <c r="F99" s="509"/>
      <c r="G99" s="529"/>
      <c r="H99" s="529"/>
      <c r="I99" s="529"/>
      <c r="J99" s="529"/>
      <c r="K99" s="529"/>
      <c r="L99" s="529"/>
      <c r="M99" s="530"/>
      <c r="N99" s="2684"/>
      <c r="O99" s="2684"/>
      <c r="P99" s="2675"/>
      <c r="Q99" s="2670"/>
      <c r="R99" s="2649"/>
      <c r="S99" s="2649"/>
      <c r="T99" s="2649"/>
      <c r="U99" s="2649"/>
      <c r="V99" s="2649"/>
      <c r="W99" s="2649"/>
      <c r="X99" s="2649"/>
      <c r="Y99" s="2649"/>
      <c r="Z99" s="2649"/>
      <c r="AA99" s="2649"/>
      <c r="AB99" s="2649"/>
      <c r="AC99" s="2649"/>
    </row>
    <row r="100" spans="1:29">
      <c r="A100" s="387" t="s">
        <v>2139</v>
      </c>
      <c r="B100" s="468" t="s">
        <v>2257</v>
      </c>
      <c r="C100" s="470"/>
      <c r="D100" s="470"/>
      <c r="E100" s="470"/>
      <c r="F100" s="470"/>
      <c r="G100" s="470"/>
      <c r="H100" s="470"/>
      <c r="I100" s="470"/>
      <c r="J100" s="470"/>
      <c r="K100" s="471"/>
      <c r="L100" s="472"/>
      <c r="M100" s="473"/>
      <c r="N100" s="2683"/>
      <c r="O100" s="2683"/>
      <c r="P100" s="2675"/>
      <c r="Q100" s="2670"/>
      <c r="R100" s="2649"/>
      <c r="S100" s="2649"/>
      <c r="T100" s="2649"/>
      <c r="U100" s="2649"/>
      <c r="V100" s="2649"/>
      <c r="W100" s="2649"/>
      <c r="X100" s="2649"/>
      <c r="Y100" s="2649"/>
      <c r="Z100" s="2649"/>
      <c r="AA100" s="2649"/>
      <c r="AB100" s="2649"/>
      <c r="AC100" s="2649"/>
    </row>
    <row r="101" spans="1:29" ht="15.7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4"/>
      <c r="O101" s="2684"/>
      <c r="P101" s="2675"/>
      <c r="Q101" s="2670"/>
      <c r="R101" s="2649"/>
      <c r="S101" s="2649"/>
      <c r="T101" s="2649"/>
      <c r="U101" s="2649"/>
      <c r="V101" s="2649"/>
      <c r="W101" s="2649"/>
      <c r="X101" s="2649"/>
      <c r="Y101" s="2649"/>
      <c r="Z101" s="2649"/>
      <c r="AA101" s="2649"/>
      <c r="AB101" s="2649"/>
      <c r="AC101" s="2649"/>
    </row>
    <row r="102" spans="1:29" ht="15.75" thickTop="1">
      <c r="A102" s="375"/>
      <c r="B102" s="477" t="s">
        <v>2189</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2"/>
      <c r="O102" s="2682"/>
      <c r="P102" s="2675"/>
      <c r="Q102" s="2670"/>
      <c r="R102" s="2649"/>
      <c r="S102" s="2649"/>
      <c r="T102" s="2649"/>
      <c r="U102" s="2649"/>
      <c r="V102" s="2649"/>
      <c r="W102" s="2649"/>
      <c r="X102" s="2649"/>
      <c r="Y102" s="2649"/>
      <c r="Z102" s="2649"/>
      <c r="AA102" s="2649"/>
      <c r="AB102" s="2649"/>
      <c r="AC102" s="2649"/>
    </row>
    <row r="103" spans="1:29" s="416" customFormat="1">
      <c r="A103" s="414"/>
      <c r="B103" s="531"/>
      <c r="C103" s="9"/>
      <c r="D103" s="9"/>
      <c r="E103" s="9"/>
      <c r="F103" s="9"/>
      <c r="G103" s="9"/>
      <c r="H103" s="9"/>
      <c r="I103" s="9"/>
      <c r="J103" s="532"/>
      <c r="K103" s="532"/>
      <c r="L103" s="533"/>
      <c r="M103" s="534"/>
      <c r="N103" s="2685"/>
      <c r="O103" s="2685"/>
      <c r="P103" s="2676"/>
      <c r="Q103" s="2677"/>
      <c r="R103" s="2655"/>
      <c r="S103" s="2655"/>
      <c r="T103" s="2655"/>
      <c r="U103" s="2655"/>
      <c r="V103" s="2655"/>
      <c r="W103" s="2655"/>
      <c r="X103" s="2655"/>
      <c r="Y103" s="2655"/>
      <c r="Z103" s="2655"/>
      <c r="AA103" s="2655"/>
      <c r="AB103" s="2655"/>
      <c r="AC103" s="2655"/>
    </row>
    <row r="104" spans="1:29" s="416" customFormat="1" ht="15.75" thickBot="1">
      <c r="A104" s="492"/>
      <c r="B104" s="482"/>
      <c r="C104" s="499"/>
      <c r="D104" s="475"/>
      <c r="E104" s="475"/>
      <c r="F104" s="475"/>
      <c r="G104" s="475"/>
      <c r="H104" s="475"/>
      <c r="I104" s="475"/>
      <c r="J104" s="475"/>
      <c r="K104" s="475"/>
      <c r="L104" s="475"/>
      <c r="M104" s="476"/>
      <c r="N104" s="2684"/>
      <c r="O104" s="2684"/>
      <c r="P104" s="2676"/>
      <c r="Q104" s="2677"/>
      <c r="R104" s="2655"/>
      <c r="S104" s="2655"/>
      <c r="T104" s="2655"/>
      <c r="U104" s="2655"/>
      <c r="V104" s="2655"/>
      <c r="W104" s="2655"/>
      <c r="X104" s="2655"/>
      <c r="Y104" s="2655"/>
      <c r="Z104" s="2655"/>
      <c r="AA104" s="2655"/>
      <c r="AB104" s="2655"/>
      <c r="AC104" s="2655"/>
    </row>
    <row r="105" spans="1:29" ht="15" thickTop="1">
      <c r="A105" s="417"/>
      <c r="B105" s="477" t="s">
        <v>2190</v>
      </c>
      <c r="C105" s="493"/>
      <c r="D105" s="493"/>
      <c r="E105" s="521"/>
      <c r="F105" s="521"/>
      <c r="G105" s="521"/>
      <c r="H105" s="521"/>
      <c r="I105" s="521"/>
      <c r="J105" s="521"/>
      <c r="K105" s="522"/>
      <c r="L105" s="523"/>
      <c r="M105" s="524"/>
      <c r="N105" s="2683"/>
      <c r="O105" s="2683"/>
      <c r="P105" s="2675"/>
      <c r="Q105" s="2670"/>
      <c r="R105" s="2649"/>
      <c r="S105" s="2649"/>
      <c r="T105" s="2649"/>
      <c r="U105" s="2649"/>
      <c r="V105" s="2649"/>
      <c r="W105" s="2649"/>
      <c r="X105" s="2649"/>
      <c r="Y105" s="2649"/>
      <c r="Z105" s="2649"/>
      <c r="AA105" s="2649"/>
      <c r="AB105" s="2649"/>
      <c r="AC105" s="2649"/>
    </row>
    <row r="106" spans="1:29" ht="15.7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4"/>
      <c r="O106" s="2684"/>
      <c r="P106" s="2675"/>
      <c r="Q106" s="2670"/>
      <c r="R106" s="2649"/>
      <c r="S106" s="2649"/>
      <c r="T106" s="2649"/>
      <c r="U106" s="2649"/>
      <c r="V106" s="2649"/>
      <c r="W106" s="2649"/>
      <c r="X106" s="2649"/>
      <c r="Y106" s="2649"/>
      <c r="Z106" s="2649"/>
      <c r="AA106" s="2649"/>
      <c r="AB106" s="2649"/>
      <c r="AC106" s="2649"/>
    </row>
    <row r="107" spans="1:29" ht="15" thickTop="1">
      <c r="A107" s="417"/>
      <c r="B107" s="477" t="s">
        <v>2192</v>
      </c>
      <c r="C107" s="493"/>
      <c r="D107" s="493"/>
      <c r="E107" s="493"/>
      <c r="F107" s="521"/>
      <c r="G107" s="521"/>
      <c r="H107" s="521"/>
      <c r="I107" s="521"/>
      <c r="J107" s="521"/>
      <c r="K107" s="522"/>
      <c r="L107" s="523"/>
      <c r="M107" s="524"/>
      <c r="N107" s="2683"/>
      <c r="O107" s="2683"/>
      <c r="P107" s="2675"/>
      <c r="Q107" s="2670"/>
      <c r="R107" s="2649"/>
      <c r="S107" s="2649"/>
      <c r="T107" s="2649"/>
      <c r="U107" s="2649"/>
      <c r="V107" s="2649"/>
      <c r="W107" s="2649"/>
      <c r="X107" s="2649"/>
      <c r="Y107" s="2649"/>
      <c r="Z107" s="2649"/>
      <c r="AA107" s="2649"/>
      <c r="AB107" s="2649"/>
      <c r="AC107" s="2649"/>
    </row>
    <row r="108" spans="1:29" ht="15.7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4"/>
      <c r="O108" s="2684"/>
      <c r="P108" s="2675"/>
      <c r="Q108" s="2670"/>
      <c r="R108" s="2649"/>
      <c r="S108" s="2649"/>
      <c r="T108" s="2649"/>
      <c r="U108" s="2649"/>
      <c r="V108" s="2649"/>
      <c r="W108" s="2649"/>
      <c r="X108" s="2649"/>
      <c r="Y108" s="2649"/>
      <c r="Z108" s="2649"/>
      <c r="AA108" s="2649"/>
      <c r="AB108" s="2649"/>
      <c r="AC108" s="2649"/>
    </row>
    <row r="109" spans="1:29" ht="15" thickTop="1">
      <c r="A109" s="417"/>
      <c r="B109" s="477" t="s">
        <v>1635</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3"/>
      <c r="O109" s="2683"/>
      <c r="P109" s="2675"/>
      <c r="Q109" s="2670"/>
      <c r="R109" s="2649"/>
      <c r="S109" s="2649"/>
      <c r="T109" s="2649"/>
      <c r="U109" s="2649"/>
      <c r="V109" s="2649"/>
      <c r="W109" s="2649"/>
      <c r="X109" s="2649"/>
      <c r="Y109" s="2649"/>
      <c r="Z109" s="2649"/>
      <c r="AA109" s="2649"/>
      <c r="AB109" s="2649"/>
      <c r="AC109" s="2649"/>
    </row>
    <row r="110" spans="1:29">
      <c r="A110" s="417"/>
      <c r="B110" s="485"/>
      <c r="C110" s="538">
        <v>0.5</v>
      </c>
      <c r="D110" s="538">
        <v>0.6</v>
      </c>
      <c r="E110" s="538">
        <v>0.7</v>
      </c>
      <c r="F110" s="538">
        <v>0.8</v>
      </c>
      <c r="G110" s="538">
        <v>0.9</v>
      </c>
      <c r="H110" s="538">
        <v>1.0001</v>
      </c>
      <c r="I110" s="556"/>
      <c r="J110" s="556"/>
      <c r="K110" s="557"/>
      <c r="L110" s="558"/>
      <c r="M110" s="559"/>
      <c r="N110" s="2683"/>
      <c r="O110" s="2683"/>
      <c r="P110" s="2675"/>
      <c r="Q110" s="2670"/>
      <c r="R110" s="2649"/>
      <c r="S110" s="2649"/>
      <c r="T110" s="2649"/>
      <c r="U110" s="2649"/>
      <c r="V110" s="2649"/>
      <c r="W110" s="2649"/>
      <c r="X110" s="2649"/>
      <c r="Y110" s="2649"/>
      <c r="Z110" s="2649"/>
      <c r="AA110" s="2649"/>
      <c r="AB110" s="2649"/>
      <c r="AC110" s="2649"/>
    </row>
    <row r="111" spans="1:29" ht="15.7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4"/>
      <c r="O111" s="2684"/>
      <c r="P111" s="2675"/>
      <c r="Q111" s="2670"/>
      <c r="R111" s="2649"/>
      <c r="S111" s="2649"/>
      <c r="T111" s="2649"/>
      <c r="U111" s="2649"/>
      <c r="V111" s="2649"/>
      <c r="W111" s="2649"/>
      <c r="X111" s="2649"/>
      <c r="Y111" s="2649"/>
      <c r="Z111" s="2649"/>
      <c r="AA111" s="2649"/>
      <c r="AB111" s="2649"/>
      <c r="AC111" s="2649"/>
    </row>
    <row r="112" spans="1:29" s="416" customFormat="1" ht="15" thickTop="1">
      <c r="A112" s="414"/>
      <c r="B112" s="477" t="s">
        <v>2194</v>
      </c>
      <c r="C112" s="493"/>
      <c r="D112" s="493"/>
      <c r="E112" s="493"/>
      <c r="F112" s="493"/>
      <c r="G112" s="493"/>
      <c r="H112" s="521"/>
      <c r="I112" s="521"/>
      <c r="J112" s="521"/>
      <c r="K112" s="522"/>
      <c r="L112" s="523"/>
      <c r="M112" s="524"/>
      <c r="N112" s="2685"/>
      <c r="O112" s="2685"/>
      <c r="P112" s="2676"/>
      <c r="Q112" s="2677"/>
      <c r="R112" s="2655"/>
      <c r="S112" s="2655"/>
      <c r="T112" s="2655"/>
      <c r="U112" s="2655"/>
      <c r="V112" s="2655"/>
      <c r="W112" s="2655"/>
      <c r="X112" s="2655"/>
      <c r="Y112" s="2655"/>
      <c r="Z112" s="2655"/>
      <c r="AA112" s="2655"/>
      <c r="AB112" s="2655"/>
      <c r="AC112" s="2655"/>
    </row>
    <row r="113" spans="1:29" s="416"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85"/>
      <c r="O113" s="2685"/>
      <c r="P113" s="2676"/>
      <c r="Q113" s="2677"/>
      <c r="R113" s="2655"/>
      <c r="S113" s="2655"/>
      <c r="T113" s="2655"/>
      <c r="U113" s="2655"/>
      <c r="V113" s="2655"/>
      <c r="W113" s="2655"/>
      <c r="X113" s="2655"/>
      <c r="Y113" s="2655"/>
      <c r="Z113" s="2655"/>
      <c r="AA113" s="2655"/>
      <c r="AB113" s="2655"/>
      <c r="AC113" s="2655"/>
    </row>
    <row r="114" spans="1:29" ht="15" thickTop="1">
      <c r="A114" s="417"/>
      <c r="B114" s="477" t="s">
        <v>2258</v>
      </c>
      <c r="C114" s="493"/>
      <c r="D114" s="493"/>
      <c r="E114" s="521"/>
      <c r="F114" s="521"/>
      <c r="G114" s="521"/>
      <c r="H114" s="521"/>
      <c r="I114" s="521"/>
      <c r="J114" s="521"/>
      <c r="K114" s="522"/>
      <c r="L114" s="523"/>
      <c r="M114" s="524"/>
      <c r="N114" s="2683"/>
      <c r="O114" s="2683"/>
      <c r="P114" s="2675"/>
      <c r="Q114" s="2670"/>
      <c r="R114" s="2649"/>
      <c r="S114" s="2649"/>
      <c r="T114" s="2649"/>
      <c r="U114" s="2649"/>
      <c r="V114" s="2649"/>
      <c r="W114" s="2649"/>
      <c r="X114" s="2649"/>
      <c r="Y114" s="2649"/>
      <c r="Z114" s="2649"/>
      <c r="AA114" s="2649"/>
      <c r="AB114" s="2649"/>
      <c r="AC114" s="2649"/>
    </row>
    <row r="115" spans="1:29" ht="15.7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4"/>
      <c r="O115" s="2684"/>
      <c r="P115" s="2675"/>
      <c r="Q115" s="2670"/>
      <c r="R115" s="2649"/>
      <c r="S115" s="2649"/>
      <c r="T115" s="2649"/>
      <c r="U115" s="2649"/>
      <c r="V115" s="2649"/>
      <c r="W115" s="2649"/>
      <c r="X115" s="2649"/>
      <c r="Y115" s="2649"/>
      <c r="Z115" s="2649"/>
      <c r="AA115" s="2649"/>
      <c r="AB115" s="2649"/>
      <c r="AC115" s="2649"/>
    </row>
    <row r="116" spans="1:29" ht="15" thickTop="1">
      <c r="A116" s="417"/>
      <c r="B116" s="477" t="s">
        <v>2259</v>
      </c>
      <c r="C116" s="493"/>
      <c r="D116" s="493"/>
      <c r="E116" s="493"/>
      <c r="F116" s="493"/>
      <c r="G116" s="493"/>
      <c r="H116" s="521"/>
      <c r="I116" s="521"/>
      <c r="J116" s="521"/>
      <c r="K116" s="522"/>
      <c r="L116" s="523"/>
      <c r="M116" s="524"/>
      <c r="N116" s="2683"/>
      <c r="O116" s="2683"/>
      <c r="P116" s="2675"/>
      <c r="Q116" s="2670"/>
      <c r="R116" s="2649"/>
      <c r="S116" s="2649"/>
      <c r="T116" s="2649"/>
      <c r="U116" s="2649"/>
      <c r="V116" s="2649"/>
      <c r="W116" s="2649"/>
      <c r="X116" s="2649"/>
      <c r="Y116" s="2649"/>
      <c r="Z116" s="2649"/>
      <c r="AA116" s="2649"/>
      <c r="AB116" s="2649"/>
      <c r="AC116" s="2649"/>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4"/>
      <c r="O117" s="2684"/>
      <c r="P117" s="2675"/>
      <c r="Q117" s="2670"/>
      <c r="R117" s="2649"/>
      <c r="S117" s="2649"/>
      <c r="T117" s="2649"/>
      <c r="U117" s="2649"/>
      <c r="V117" s="2649"/>
      <c r="W117" s="2649"/>
      <c r="X117" s="2649"/>
      <c r="Y117" s="2649"/>
      <c r="Z117" s="2649"/>
      <c r="AA117" s="2649"/>
      <c r="AB117" s="2649"/>
      <c r="AC117" s="2649"/>
    </row>
    <row r="118" spans="1:29" ht="15" thickTop="1">
      <c r="A118" s="417"/>
      <c r="B118" s="477" t="s">
        <v>2260</v>
      </c>
      <c r="C118" s="560"/>
      <c r="D118" s="560"/>
      <c r="E118" s="560"/>
      <c r="F118" s="560"/>
      <c r="G118" s="560"/>
      <c r="H118" s="494"/>
      <c r="I118" s="494"/>
      <c r="J118" s="494"/>
      <c r="K118" s="494"/>
      <c r="L118" s="495"/>
      <c r="M118" s="496"/>
      <c r="N118" s="2683"/>
      <c r="O118" s="2683"/>
      <c r="P118" s="2675"/>
      <c r="Q118" s="2670"/>
      <c r="R118" s="2649"/>
      <c r="S118" s="2649"/>
      <c r="T118" s="2649"/>
      <c r="U118" s="2649"/>
      <c r="V118" s="2649"/>
      <c r="W118" s="2649"/>
      <c r="X118" s="2649"/>
      <c r="Y118" s="2649"/>
      <c r="Z118" s="2649"/>
      <c r="AA118" s="2649"/>
      <c r="AB118" s="2649"/>
      <c r="AC118" s="2649"/>
    </row>
    <row r="119" spans="1:29" ht="15.75" thickBot="1">
      <c r="A119" s="375"/>
      <c r="B119" s="482"/>
      <c r="C119" s="499"/>
      <c r="D119" s="475"/>
      <c r="E119" s="475"/>
      <c r="F119" s="475"/>
      <c r="G119" s="475"/>
      <c r="H119" s="475"/>
      <c r="I119" s="475"/>
      <c r="J119" s="475"/>
      <c r="K119" s="475"/>
      <c r="L119" s="475"/>
      <c r="M119" s="476"/>
      <c r="N119" s="2684"/>
      <c r="O119" s="2684"/>
      <c r="P119" s="2675"/>
      <c r="Q119" s="2670"/>
      <c r="R119" s="2649"/>
      <c r="S119" s="2649"/>
      <c r="T119" s="2649"/>
      <c r="U119" s="2649"/>
      <c r="V119" s="2649"/>
      <c r="W119" s="2649"/>
      <c r="X119" s="2649"/>
      <c r="Y119" s="2649"/>
      <c r="Z119" s="2649"/>
      <c r="AA119" s="2649"/>
      <c r="AB119" s="2649"/>
      <c r="AC119" s="2649"/>
    </row>
    <row r="120" spans="1:29" s="416" customFormat="1" ht="15" thickTop="1">
      <c r="A120" s="414"/>
      <c r="B120" s="477" t="s">
        <v>2261</v>
      </c>
      <c r="C120" s="521"/>
      <c r="D120" s="521"/>
      <c r="E120" s="521"/>
      <c r="F120" s="521"/>
      <c r="G120" s="494"/>
      <c r="H120" s="494"/>
      <c r="I120" s="494"/>
      <c r="J120" s="494"/>
      <c r="K120" s="494"/>
      <c r="L120" s="495"/>
      <c r="M120" s="496"/>
      <c r="N120" s="2685"/>
      <c r="O120" s="2685"/>
      <c r="P120" s="2676"/>
      <c r="Q120" s="2677"/>
      <c r="R120" s="2655"/>
      <c r="S120" s="2655"/>
      <c r="T120" s="2655"/>
      <c r="U120" s="2655"/>
      <c r="V120" s="2655"/>
      <c r="W120" s="2655"/>
      <c r="X120" s="2655"/>
      <c r="Y120" s="2655"/>
      <c r="Z120" s="2655"/>
      <c r="AA120" s="2655"/>
      <c r="AB120" s="2655"/>
      <c r="AC120" s="2655"/>
    </row>
    <row r="121" spans="1:29" s="416" customFormat="1" ht="15.7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85"/>
      <c r="O121" s="2685"/>
      <c r="P121" s="2676"/>
      <c r="Q121" s="2677"/>
      <c r="R121" s="2655"/>
      <c r="S121" s="2655"/>
      <c r="T121" s="2655"/>
      <c r="U121" s="2655"/>
      <c r="V121" s="2655"/>
      <c r="W121" s="2655"/>
      <c r="X121" s="2655"/>
      <c r="Y121" s="2655"/>
      <c r="Z121" s="2655"/>
      <c r="AA121" s="2655"/>
      <c r="AB121" s="2655"/>
      <c r="AC121" s="2655"/>
    </row>
    <row r="122" spans="1:29" ht="15" thickTop="1">
      <c r="A122" s="417"/>
      <c r="B122" s="477" t="s">
        <v>2196</v>
      </c>
      <c r="C122" s="493"/>
      <c r="D122" s="493"/>
      <c r="E122" s="493"/>
      <c r="F122" s="521"/>
      <c r="G122" s="521"/>
      <c r="H122" s="521"/>
      <c r="I122" s="521"/>
      <c r="J122" s="521"/>
      <c r="K122" s="522"/>
      <c r="L122" s="523"/>
      <c r="M122" s="524"/>
      <c r="N122" s="2683"/>
      <c r="O122" s="2683"/>
      <c r="P122" s="2675"/>
      <c r="Q122" s="2670"/>
      <c r="R122" s="2649"/>
      <c r="S122" s="2649"/>
      <c r="T122" s="2649"/>
      <c r="U122" s="2649"/>
      <c r="V122" s="2649"/>
      <c r="W122" s="2649"/>
      <c r="X122" s="2649"/>
      <c r="Y122" s="2649"/>
      <c r="Z122" s="2649"/>
      <c r="AA122" s="2649"/>
      <c r="AB122" s="2649"/>
      <c r="AC122" s="2649"/>
    </row>
    <row r="123" spans="1:29" ht="15.7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4"/>
      <c r="O123" s="2684"/>
      <c r="P123" s="2675"/>
      <c r="Q123" s="2670"/>
      <c r="R123" s="2649"/>
      <c r="S123" s="2649"/>
      <c r="T123" s="2649"/>
      <c r="U123" s="2649"/>
      <c r="V123" s="2649"/>
      <c r="W123" s="2649"/>
      <c r="X123" s="2649"/>
      <c r="Y123" s="2649"/>
      <c r="Z123" s="2649"/>
      <c r="AA123" s="2649"/>
      <c r="AB123" s="2649"/>
      <c r="AC123" s="2649"/>
    </row>
    <row r="124" spans="1:29" ht="15" thickTop="1">
      <c r="A124" s="417"/>
      <c r="B124" s="477" t="s">
        <v>2197</v>
      </c>
      <c r="C124" s="517" t="s">
        <v>2173</v>
      </c>
      <c r="D124" s="517" t="s">
        <v>2174</v>
      </c>
      <c r="E124" s="517" t="s">
        <v>2175</v>
      </c>
      <c r="F124" s="517" t="s">
        <v>2176</v>
      </c>
      <c r="G124" s="517" t="s">
        <v>2177</v>
      </c>
      <c r="H124" s="478"/>
      <c r="I124" s="478"/>
      <c r="J124" s="478"/>
      <c r="K124" s="479"/>
      <c r="L124" s="480"/>
      <c r="M124" s="481"/>
      <c r="N124" s="2683"/>
      <c r="O124" s="2683"/>
      <c r="P124" s="2676"/>
      <c r="Q124" s="2670"/>
      <c r="R124" s="2649"/>
      <c r="S124" s="2649"/>
      <c r="T124" s="2649"/>
      <c r="U124" s="2649"/>
      <c r="V124" s="2649"/>
      <c r="W124" s="2649"/>
      <c r="X124" s="2649"/>
      <c r="Y124" s="2649"/>
      <c r="Z124" s="2649"/>
      <c r="AA124" s="2649"/>
      <c r="AB124" s="2649"/>
      <c r="AC124" s="2649"/>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4"/>
      <c r="O125" s="2684"/>
      <c r="P125" s="2675"/>
      <c r="Q125" s="2670"/>
      <c r="R125" s="2649"/>
      <c r="S125" s="2649"/>
      <c r="T125" s="2649"/>
      <c r="U125" s="2649"/>
      <c r="V125" s="2649"/>
      <c r="W125" s="2649"/>
      <c r="X125" s="2649"/>
      <c r="Y125" s="2649"/>
      <c r="Z125" s="2649"/>
      <c r="AA125" s="2649"/>
      <c r="AB125" s="2649"/>
      <c r="AC125" s="2649"/>
    </row>
    <row r="126" spans="1:29" s="416" customFormat="1" ht="15" thickTop="1">
      <c r="A126" s="414"/>
      <c r="B126" s="477">
        <f>B44</f>
        <v>111</v>
      </c>
      <c r="C126" s="493"/>
      <c r="D126" s="493"/>
      <c r="E126" s="493"/>
      <c r="F126" s="493"/>
      <c r="G126" s="493"/>
      <c r="H126" s="494"/>
      <c r="I126" s="494"/>
      <c r="J126" s="494"/>
      <c r="K126" s="494"/>
      <c r="L126" s="495"/>
      <c r="M126" s="496"/>
      <c r="N126" s="2685"/>
      <c r="O126" s="2685"/>
      <c r="P126" s="2676"/>
      <c r="Q126" s="2677"/>
      <c r="R126" s="2655"/>
      <c r="S126" s="2655"/>
      <c r="T126" s="2655"/>
      <c r="U126" s="2655"/>
      <c r="V126" s="2655"/>
      <c r="W126" s="2655"/>
      <c r="X126" s="2655"/>
      <c r="Y126" s="2655"/>
      <c r="Z126" s="2655"/>
      <c r="AA126" s="2655"/>
      <c r="AB126" s="2655"/>
      <c r="AC126" s="2655"/>
    </row>
    <row r="127" spans="1:29" s="416" customFormat="1" ht="15.75" thickBot="1">
      <c r="A127" s="492"/>
      <c r="B127" s="482"/>
      <c r="C127" s="499"/>
      <c r="D127" s="475"/>
      <c r="E127" s="475"/>
      <c r="F127" s="475"/>
      <c r="G127" s="499"/>
      <c r="H127" s="501"/>
      <c r="I127" s="501"/>
      <c r="J127" s="501"/>
      <c r="K127" s="501"/>
      <c r="L127" s="501"/>
      <c r="M127" s="502"/>
      <c r="N127" s="2685"/>
      <c r="O127" s="2685"/>
      <c r="P127" s="2676"/>
      <c r="Q127" s="2677"/>
      <c r="R127" s="2655"/>
      <c r="S127" s="2655"/>
      <c r="T127" s="2655"/>
      <c r="U127" s="2655"/>
      <c r="V127" s="2655"/>
      <c r="W127" s="2655"/>
      <c r="X127" s="2655"/>
      <c r="Y127" s="2655"/>
      <c r="Z127" s="2655"/>
      <c r="AA127" s="2655"/>
      <c r="AB127" s="2655"/>
      <c r="AC127" s="2655"/>
    </row>
    <row r="128" spans="1:29" ht="15" thickTop="1">
      <c r="A128" s="417"/>
      <c r="B128" s="477">
        <f>B45</f>
        <v>111</v>
      </c>
      <c r="C128" s="493"/>
      <c r="D128" s="493"/>
      <c r="E128" s="493"/>
      <c r="F128" s="493"/>
      <c r="G128" s="521"/>
      <c r="H128" s="521"/>
      <c r="I128" s="521"/>
      <c r="J128" s="521"/>
      <c r="K128" s="522"/>
      <c r="L128" s="523"/>
      <c r="M128" s="524"/>
      <c r="N128" s="2683"/>
      <c r="O128" s="2683"/>
      <c r="P128" s="2675"/>
      <c r="Q128" s="2670"/>
      <c r="R128" s="2649"/>
      <c r="S128" s="2649"/>
      <c r="T128" s="2649"/>
      <c r="U128" s="2649"/>
      <c r="V128" s="2649"/>
      <c r="W128" s="2649"/>
      <c r="X128" s="2649"/>
      <c r="Y128" s="2649"/>
      <c r="Z128" s="2649"/>
      <c r="AA128" s="2649"/>
      <c r="AB128" s="2649"/>
      <c r="AC128" s="2649"/>
    </row>
    <row r="129" spans="1:29" ht="15.75" thickBot="1">
      <c r="A129" s="375"/>
      <c r="B129" s="482"/>
      <c r="C129" s="499"/>
      <c r="D129" s="475"/>
      <c r="E129" s="475"/>
      <c r="F129" s="475"/>
      <c r="G129" s="475"/>
      <c r="H129" s="475"/>
      <c r="I129" s="475"/>
      <c r="J129" s="475"/>
      <c r="K129" s="475"/>
      <c r="L129" s="475"/>
      <c r="M129" s="476"/>
      <c r="N129" s="2684"/>
      <c r="O129" s="2684"/>
      <c r="P129" s="2675"/>
      <c r="Q129" s="2670"/>
      <c r="R129" s="2649"/>
      <c r="S129" s="2649"/>
      <c r="T129" s="2649"/>
      <c r="U129" s="2649"/>
      <c r="V129" s="2649"/>
      <c r="W129" s="2649"/>
      <c r="X129" s="2649"/>
      <c r="Y129" s="2649"/>
      <c r="Z129" s="2649"/>
      <c r="AA129" s="2649"/>
      <c r="AB129" s="2649"/>
      <c r="AC129" s="2649"/>
    </row>
    <row r="130" spans="1:29" ht="15" thickTop="1">
      <c r="A130" s="417"/>
      <c r="B130" s="485">
        <f>B46</f>
        <v>111</v>
      </c>
      <c r="C130" s="493"/>
      <c r="D130" s="493"/>
      <c r="E130" s="493"/>
      <c r="F130" s="493"/>
      <c r="G130" s="525"/>
      <c r="H130" s="525"/>
      <c r="I130" s="525"/>
      <c r="J130" s="525"/>
      <c r="K130" s="34"/>
      <c r="L130" s="465"/>
      <c r="M130" s="528"/>
      <c r="N130" s="2683"/>
      <c r="O130" s="2683"/>
      <c r="P130" s="2675"/>
      <c r="Q130" s="2670"/>
      <c r="R130" s="2649"/>
      <c r="S130" s="2649"/>
      <c r="T130" s="2649"/>
      <c r="U130" s="2649"/>
      <c r="V130" s="2649"/>
      <c r="W130" s="2649"/>
      <c r="X130" s="2649"/>
      <c r="Y130" s="2649"/>
      <c r="Z130" s="2649"/>
      <c r="AA130" s="2649"/>
      <c r="AB130" s="2649"/>
      <c r="AC130" s="2649"/>
    </row>
    <row r="131" spans="1:29" ht="15.75" thickBot="1">
      <c r="A131" s="383"/>
      <c r="B131" s="508"/>
      <c r="C131" s="509"/>
      <c r="D131" s="509"/>
      <c r="E131" s="509"/>
      <c r="F131" s="509"/>
      <c r="G131" s="529"/>
      <c r="H131" s="529"/>
      <c r="I131" s="529"/>
      <c r="J131" s="529"/>
      <c r="K131" s="529"/>
      <c r="L131" s="529"/>
      <c r="M131" s="530"/>
      <c r="N131" s="2684"/>
      <c r="O131" s="2684"/>
      <c r="P131" s="2675"/>
      <c r="Q131" s="2670"/>
      <c r="R131" s="2649"/>
      <c r="S131" s="2649"/>
      <c r="T131" s="2649"/>
      <c r="U131" s="2649"/>
      <c r="V131" s="2649"/>
      <c r="W131" s="2649"/>
      <c r="X131" s="2649"/>
      <c r="Y131" s="2649"/>
      <c r="Z131" s="2649"/>
      <c r="AA131" s="2649"/>
      <c r="AB131" s="2649"/>
      <c r="AC131" s="264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2104</v>
      </c>
      <c r="B1" s="1938" t="s">
        <v>2262</v>
      </c>
      <c r="C1" s="1256" t="s">
        <v>2106</v>
      </c>
      <c r="D1" s="1257"/>
      <c r="E1" s="1266"/>
      <c r="F1" s="1865"/>
      <c r="G1" s="1267" t="s">
        <v>2219</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1903</v>
      </c>
      <c r="B2" s="1195" t="e">
        <f ca="1">IF(C2="——",ROUND(C50*D3/10000,0),ROUND(C50*D3/10000,0)-D2)</f>
        <v>#DIV/0!</v>
      </c>
      <c r="C2" s="1867"/>
      <c r="D2" s="1160" t="e">
        <f ca="1">SUMIF(INDIRECT("'"&amp;F2&amp;"'"&amp;"!A:A"),"承租人权益价值",INDIRECT("'"&amp;F2&amp;"'"&amp;"!c:c"))</f>
        <v>#REF!</v>
      </c>
      <c r="E2" s="1868" t="s">
        <v>1904</v>
      </c>
      <c r="F2" s="1869"/>
      <c r="G2" s="962"/>
      <c r="H2" s="962"/>
      <c r="I2" s="962"/>
      <c r="J2" s="962"/>
      <c r="K2" s="962"/>
      <c r="L2" s="2665"/>
      <c r="M2" s="2666"/>
      <c r="N2" s="2666"/>
      <c r="O2" s="2666"/>
      <c r="P2" s="347"/>
      <c r="Q2" s="347"/>
      <c r="R2" s="347"/>
      <c r="S2" s="347"/>
      <c r="T2" s="347"/>
      <c r="U2" s="347"/>
      <c r="V2" s="347"/>
      <c r="W2" s="347"/>
      <c r="X2" s="347"/>
      <c r="Y2" s="347"/>
      <c r="Z2" s="347"/>
      <c r="AA2" s="347"/>
      <c r="AB2" s="347"/>
      <c r="AC2" s="672"/>
    </row>
    <row r="3" spans="1:29" s="348" customFormat="1" ht="28.5" customHeight="1" thickBot="1">
      <c r="A3" s="201" t="s">
        <v>1905</v>
      </c>
      <c r="B3" s="544" t="e">
        <f ca="1">IF(C2="——",C50,ROUND(B2*10000/D3,0))</f>
        <v>#DIV/0!</v>
      </c>
      <c r="C3" s="350" t="s">
        <v>2220</v>
      </c>
      <c r="D3" s="349">
        <f>IF(D1="",'数据-汇总表'!E3,SUMIF('数据-汇总表'!$C19:$C33,D1,'数据-汇总表'!$E19:$E33))</f>
        <v>176954.78</v>
      </c>
      <c r="E3" s="1935"/>
      <c r="F3" s="963"/>
      <c r="G3" s="962"/>
      <c r="H3" s="962"/>
      <c r="I3" s="962"/>
      <c r="J3" s="962"/>
      <c r="K3" s="964"/>
      <c r="L3" s="2665"/>
      <c r="M3" s="2666"/>
      <c r="N3" s="2666"/>
      <c r="O3" s="2666"/>
      <c r="P3" s="347"/>
      <c r="Q3" s="347"/>
      <c r="R3" s="347"/>
      <c r="S3" s="347"/>
      <c r="T3" s="347"/>
      <c r="U3" s="347"/>
      <c r="V3" s="347"/>
      <c r="W3" s="347"/>
      <c r="X3" s="347"/>
      <c r="Y3" s="347"/>
      <c r="Z3" s="347"/>
      <c r="AA3" s="347"/>
      <c r="AB3" s="347"/>
      <c r="AC3" s="672"/>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424" t="s">
        <v>2227</v>
      </c>
      <c r="Q4" s="3425"/>
      <c r="R4" s="3419" t="s">
        <v>2223</v>
      </c>
      <c r="S4" s="3420"/>
      <c r="T4" s="3419" t="s">
        <v>2224</v>
      </c>
      <c r="U4" s="3420"/>
      <c r="V4" s="3428" t="s">
        <v>2225</v>
      </c>
      <c r="W4" s="3428"/>
      <c r="X4" s="1939"/>
      <c r="Y4" s="3419" t="s">
        <v>2227</v>
      </c>
      <c r="Z4" s="3420"/>
      <c r="AA4" s="3418" t="s">
        <v>2223</v>
      </c>
      <c r="AB4" s="3418" t="s">
        <v>2224</v>
      </c>
      <c r="AC4" s="3421" t="s">
        <v>2225</v>
      </c>
    </row>
    <row r="5" spans="1:29" ht="15">
      <c r="A5" s="354"/>
      <c r="B5" s="355"/>
      <c r="C5" s="3354" t="s">
        <v>2118</v>
      </c>
      <c r="D5" s="3355"/>
      <c r="E5" s="3352" t="s">
        <v>2119</v>
      </c>
      <c r="F5" s="3353"/>
      <c r="G5" s="3354" t="s">
        <v>2120</v>
      </c>
      <c r="H5" s="3355"/>
      <c r="I5" s="3354" t="s">
        <v>2121</v>
      </c>
      <c r="J5" s="3355"/>
      <c r="K5" s="545"/>
      <c r="L5" s="2648"/>
      <c r="M5" s="2649"/>
      <c r="N5" s="2649"/>
      <c r="O5" s="2649"/>
      <c r="P5" s="3426"/>
      <c r="Q5" s="3368"/>
      <c r="R5" s="3350"/>
      <c r="S5" s="3351"/>
      <c r="T5" s="3350"/>
      <c r="U5" s="3351"/>
      <c r="V5" s="3373"/>
      <c r="W5" s="3373"/>
      <c r="X5" s="1394"/>
      <c r="Y5" s="3350"/>
      <c r="Z5" s="3351"/>
      <c r="AA5" s="3344"/>
      <c r="AB5" s="3344"/>
      <c r="AC5" s="3422"/>
    </row>
    <row r="6" spans="1:29" ht="15.75" thickBot="1">
      <c r="A6" s="356"/>
      <c r="B6" s="357"/>
      <c r="C6" s="3356" t="s">
        <v>2122</v>
      </c>
      <c r="D6" s="3357"/>
      <c r="E6" s="3358" t="s">
        <v>2122</v>
      </c>
      <c r="F6" s="3359"/>
      <c r="G6" s="3356" t="s">
        <v>2122</v>
      </c>
      <c r="H6" s="3357"/>
      <c r="I6" s="3356" t="s">
        <v>2122</v>
      </c>
      <c r="J6" s="3357"/>
      <c r="K6" s="545" t="s">
        <v>2123</v>
      </c>
      <c r="L6" s="2648"/>
      <c r="M6" s="2649"/>
      <c r="N6" s="2649"/>
      <c r="O6" s="2649"/>
      <c r="P6" s="3427"/>
      <c r="Q6" s="3370"/>
      <c r="R6" s="3350"/>
      <c r="S6" s="3351"/>
      <c r="T6" s="3371"/>
      <c r="U6" s="3372"/>
      <c r="V6" s="3373"/>
      <c r="W6" s="3373"/>
      <c r="X6" s="1394"/>
      <c r="Y6" s="3371"/>
      <c r="Z6" s="3372"/>
      <c r="AA6" s="3345"/>
      <c r="AB6" s="3345"/>
      <c r="AC6" s="3423"/>
    </row>
    <row r="7" spans="1:29" s="107" customFormat="1" ht="15.75" thickBot="1">
      <c r="A7" s="358" t="s">
        <v>2124</v>
      </c>
      <c r="B7" s="359"/>
      <c r="C7" s="360">
        <f>'数据-取费表'!B2</f>
        <v>44890</v>
      </c>
      <c r="D7" s="361">
        <v>100</v>
      </c>
      <c r="E7" s="362"/>
      <c r="F7" s="363">
        <f>SUMIF(59:59,YEAR(E7)&amp;"-"&amp;MONTH(E7),60:60)</f>
        <v>0</v>
      </c>
      <c r="G7" s="362"/>
      <c r="H7" s="361">
        <f>SUMIF(59:59,YEAR(G7)&amp;"-"&amp;MONTH(G7),60:60)</f>
        <v>0</v>
      </c>
      <c r="I7" s="362"/>
      <c r="J7" s="361">
        <f>SUMIF(59:59,YEAR(I7)&amp;"-"&amp;MONTH(I7),60:60)</f>
        <v>0</v>
      </c>
      <c r="K7" s="41"/>
      <c r="L7" s="2650"/>
      <c r="M7" s="2603"/>
      <c r="N7" s="2603"/>
      <c r="O7" s="2603"/>
      <c r="P7" s="3429" t="s">
        <v>2125</v>
      </c>
      <c r="Q7" s="3374"/>
      <c r="R7" s="673" t="s">
        <v>17</v>
      </c>
      <c r="S7" s="674">
        <f t="shared" ref="S7:S15" si="0">F7</f>
        <v>0</v>
      </c>
      <c r="T7" s="673" t="s">
        <v>17</v>
      </c>
      <c r="U7" s="674">
        <f t="shared" ref="U7:U15" si="1">H7</f>
        <v>0</v>
      </c>
      <c r="V7" s="673" t="s">
        <v>17</v>
      </c>
      <c r="W7" s="674">
        <f t="shared" ref="W7:W15" si="2">J7</f>
        <v>0</v>
      </c>
      <c r="X7" s="675"/>
      <c r="Y7" s="3346" t="s">
        <v>2125</v>
      </c>
      <c r="Z7" s="3347"/>
      <c r="AA7" s="53" t="e">
        <f>D7/F7</f>
        <v>#DIV/0!</v>
      </c>
      <c r="AB7" s="53" t="e">
        <f>D7/H7</f>
        <v>#DIV/0!</v>
      </c>
      <c r="AC7" s="887" t="e">
        <f>D7/J7</f>
        <v>#DIV/0!</v>
      </c>
    </row>
    <row r="8" spans="1:29" s="107" customFormat="1" ht="15.75" thickBot="1">
      <c r="A8" s="358" t="s">
        <v>2126</v>
      </c>
      <c r="B8" s="359"/>
      <c r="C8" s="364" t="s">
        <v>2228</v>
      </c>
      <c r="D8" s="361">
        <v>100</v>
      </c>
      <c r="E8" s="364"/>
      <c r="F8" s="363">
        <f>SUMIF(62:62,E8,63:63)-SUMIF(62:62,C8,63:63)+100</f>
        <v>0</v>
      </c>
      <c r="G8" s="364"/>
      <c r="H8" s="361">
        <f>SUMIF(62:62,G8,63:63)-SUMIF(62:62,C8,63:63)+100</f>
        <v>0</v>
      </c>
      <c r="I8" s="364"/>
      <c r="J8" s="361">
        <f>SUMIF(62:62,I8,63:63)-SUMIF(62:62,C8,63:63)+100</f>
        <v>0</v>
      </c>
      <c r="K8" s="41"/>
      <c r="L8" s="2650"/>
      <c r="M8" s="2603"/>
      <c r="N8" s="2603"/>
      <c r="O8" s="2603"/>
      <c r="P8" s="3429" t="s">
        <v>2128</v>
      </c>
      <c r="Q8" s="3347"/>
      <c r="R8" s="673" t="s">
        <v>17</v>
      </c>
      <c r="S8" s="674">
        <f t="shared" si="0"/>
        <v>0</v>
      </c>
      <c r="T8" s="673" t="s">
        <v>17</v>
      </c>
      <c r="U8" s="674">
        <f t="shared" si="1"/>
        <v>0</v>
      </c>
      <c r="V8" s="673" t="s">
        <v>17</v>
      </c>
      <c r="W8" s="674">
        <f t="shared" si="2"/>
        <v>0</v>
      </c>
      <c r="X8" s="675"/>
      <c r="Y8" s="3346" t="s">
        <v>2128</v>
      </c>
      <c r="Z8" s="3347"/>
      <c r="AA8" s="53" t="e">
        <f t="shared" ref="AA8:AA47" si="3">D8/F8</f>
        <v>#DIV/0!</v>
      </c>
      <c r="AB8" s="53" t="e">
        <f t="shared" ref="AB8:AB47" si="4">D8/H8</f>
        <v>#DIV/0!</v>
      </c>
      <c r="AC8" s="887" t="e">
        <f t="shared" ref="AC8:AC47" si="5">D8/J8</f>
        <v>#DIV/0!</v>
      </c>
    </row>
    <row r="9" spans="1:29" s="107" customFormat="1">
      <c r="A9" s="365" t="s">
        <v>2129</v>
      </c>
      <c r="B9" s="64" t="s">
        <v>2130</v>
      </c>
      <c r="C9" s="366"/>
      <c r="D9" s="63">
        <v>100</v>
      </c>
      <c r="E9" s="368"/>
      <c r="F9" s="63">
        <f>SUMIF(64:64,E9,65:65)-SUMIF(64:64,C9,65:65)+100</f>
        <v>100</v>
      </c>
      <c r="G9" s="367"/>
      <c r="H9" s="63">
        <f>SUMIF(64:64,G9,65:65)-SUMIF(64:64,C9,65:65)+100</f>
        <v>100</v>
      </c>
      <c r="I9" s="367"/>
      <c r="J9" s="63">
        <f>SUMIF(64:64,I9,65:65)-SUMIF(64:64,C9,65:65)+100</f>
        <v>100</v>
      </c>
      <c r="K9" s="41"/>
      <c r="L9" s="2650"/>
      <c r="M9" s="2603"/>
      <c r="N9" s="2603"/>
      <c r="O9" s="2603"/>
      <c r="P9" s="3384" t="s">
        <v>2131</v>
      </c>
      <c r="Q9" s="538" t="str">
        <f t="shared" ref="Q9:Q15" si="6">B9</f>
        <v>用途</v>
      </c>
      <c r="R9" s="673" t="s">
        <v>17</v>
      </c>
      <c r="S9" s="674">
        <f t="shared" si="0"/>
        <v>100</v>
      </c>
      <c r="T9" s="673" t="s">
        <v>17</v>
      </c>
      <c r="U9" s="674">
        <f t="shared" si="1"/>
        <v>100</v>
      </c>
      <c r="V9" s="673" t="s">
        <v>17</v>
      </c>
      <c r="W9" s="674">
        <f t="shared" si="2"/>
        <v>100</v>
      </c>
      <c r="X9" s="675"/>
      <c r="Y9" s="3316" t="s">
        <v>2132</v>
      </c>
      <c r="Z9" s="53" t="str">
        <f t="shared" ref="Z9:Z15" si="7">Q9</f>
        <v>用途</v>
      </c>
      <c r="AA9" s="53">
        <f t="shared" si="3"/>
        <v>1</v>
      </c>
      <c r="AB9" s="53">
        <f t="shared" si="4"/>
        <v>1</v>
      </c>
      <c r="AC9" s="887">
        <f t="shared" si="5"/>
        <v>1</v>
      </c>
    </row>
    <row r="10" spans="1:29" s="374" customFormat="1" ht="27">
      <c r="A10" s="369"/>
      <c r="B10" s="370" t="s">
        <v>2133</v>
      </c>
      <c r="C10" s="371"/>
      <c r="D10" s="124">
        <v>100</v>
      </c>
      <c r="E10" s="371"/>
      <c r="F10" s="124">
        <f>SUMIF(66:66,E10,67:67)-SUMIF(66:66,C10,67:67)+100</f>
        <v>100</v>
      </c>
      <c r="G10" s="372"/>
      <c r="H10" s="124">
        <f>SUMIF(66:66,G10,67:67)-SUMIF(66:66,C10,67:67)+100</f>
        <v>100</v>
      </c>
      <c r="I10" s="371"/>
      <c r="J10" s="124">
        <f>SUMIF(66:66,I10,67:67)-SUMIF(66:66,C10,67:67)+100</f>
        <v>100</v>
      </c>
      <c r="K10" s="546"/>
      <c r="L10" s="2651"/>
      <c r="M10" s="2652"/>
      <c r="N10" s="2652"/>
      <c r="O10" s="2652"/>
      <c r="P10" s="3384"/>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887">
        <f t="shared" si="5"/>
        <v>1</v>
      </c>
    </row>
    <row r="11" spans="1:29" ht="15">
      <c r="A11" s="375"/>
      <c r="B11" s="370" t="s">
        <v>2134</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3"/>
      <c r="M11" s="2649"/>
      <c r="N11" s="2649"/>
      <c r="O11" s="2649"/>
      <c r="P11" s="3384"/>
      <c r="Q11" s="538" t="str">
        <f t="shared" si="6"/>
        <v>容积率</v>
      </c>
      <c r="R11" s="673" t="s">
        <v>17</v>
      </c>
      <c r="S11" s="674" t="e">
        <f t="shared" si="0"/>
        <v>#N/A</v>
      </c>
      <c r="T11" s="673" t="s">
        <v>17</v>
      </c>
      <c r="U11" s="674" t="e">
        <f t="shared" si="1"/>
        <v>#N/A</v>
      </c>
      <c r="V11" s="673" t="s">
        <v>17</v>
      </c>
      <c r="W11" s="674" t="e">
        <f t="shared" si="2"/>
        <v>#N/A</v>
      </c>
      <c r="X11" s="675"/>
      <c r="Y11" s="3316"/>
      <c r="Z11" s="53" t="str">
        <f t="shared" si="7"/>
        <v>容积率</v>
      </c>
      <c r="AA11" s="53" t="e">
        <f t="shared" si="3"/>
        <v>#N/A</v>
      </c>
      <c r="AB11" s="53" t="e">
        <f t="shared" si="4"/>
        <v>#N/A</v>
      </c>
      <c r="AC11" s="887" t="e">
        <f t="shared" si="5"/>
        <v>#N/A</v>
      </c>
    </row>
    <row r="12" spans="1:29" s="107" customFormat="1" ht="15">
      <c r="A12" s="378"/>
      <c r="B12" s="455">
        <v>111</v>
      </c>
      <c r="C12" s="379"/>
      <c r="D12" s="380">
        <v>100</v>
      </c>
      <c r="E12" s="379"/>
      <c r="F12" s="124">
        <f>SUMIF(71:71,E12,72:72)-SUMIF(71:71,C12,72:72)+100</f>
        <v>100</v>
      </c>
      <c r="G12" s="1940"/>
      <c r="H12" s="124">
        <f>SUMIF(71:71,G12,72:72)-SUMIF(71:71,C12,72:72)+100</f>
        <v>100</v>
      </c>
      <c r="I12" s="379"/>
      <c r="J12" s="124">
        <f>SUMIF(71:71,I12,72:72)-SUMIF(71:71,C12,72:72)+100</f>
        <v>100</v>
      </c>
      <c r="K12" s="547"/>
      <c r="L12" s="2650"/>
      <c r="M12" s="2603"/>
      <c r="N12" s="2603"/>
      <c r="O12" s="2603"/>
      <c r="P12" s="3384"/>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887">
        <f>D12/J12</f>
        <v>1</v>
      </c>
    </row>
    <row r="13" spans="1:29" ht="15">
      <c r="A13" s="375"/>
      <c r="B13" s="455">
        <v>111</v>
      </c>
      <c r="C13" s="381"/>
      <c r="D13" s="382">
        <v>100</v>
      </c>
      <c r="E13" s="379"/>
      <c r="F13" s="124">
        <f>SUMIF(73:73,E13,74:74)-SUMIF(73:73,C13,74:74)+100</f>
        <v>100</v>
      </c>
      <c r="G13" s="1940"/>
      <c r="H13" s="382">
        <f>SUMIF(73:73,G13,74:74)-SUMIF(73:73,C13,74:74)+100</f>
        <v>100</v>
      </c>
      <c r="I13" s="379"/>
      <c r="J13" s="382">
        <f>SUMIF(73:73,I13,74:74)-SUMIF(73:73,C13,74:74)+100</f>
        <v>100</v>
      </c>
      <c r="K13" s="547"/>
      <c r="L13" s="2654"/>
      <c r="M13" s="2649"/>
      <c r="N13" s="2649"/>
      <c r="O13" s="2649"/>
      <c r="P13" s="3384"/>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887">
        <f t="shared" si="5"/>
        <v>1</v>
      </c>
    </row>
    <row r="14" spans="1:29" ht="15.75" thickBot="1">
      <c r="A14" s="383"/>
      <c r="B14" s="1879">
        <v>111</v>
      </c>
      <c r="C14" s="384"/>
      <c r="D14" s="385">
        <v>100</v>
      </c>
      <c r="E14" s="561"/>
      <c r="F14" s="385">
        <f>SUMIF(75:75,E14,76:76)-SUMIF(75:75,C14,76:76)+100</f>
        <v>100</v>
      </c>
      <c r="G14" s="1940"/>
      <c r="H14" s="385">
        <f>SUMIF(75:75,G14,76:76)-SUMIF(75:75,C14,76:76)+100</f>
        <v>100</v>
      </c>
      <c r="I14" s="379"/>
      <c r="J14" s="385">
        <f>SUMIF(75:75,I14,76:76)-SUMIF(75:75,C14,76:76)+100</f>
        <v>100</v>
      </c>
      <c r="K14" s="547"/>
      <c r="L14" s="2654"/>
      <c r="M14" s="2649"/>
      <c r="N14" s="2649"/>
      <c r="O14" s="2649"/>
      <c r="P14" s="3384"/>
      <c r="Q14" s="538">
        <f t="shared" si="6"/>
        <v>111</v>
      </c>
      <c r="R14" s="673" t="s">
        <v>17</v>
      </c>
      <c r="S14" s="674">
        <f t="shared" si="0"/>
        <v>100</v>
      </c>
      <c r="T14" s="673" t="s">
        <v>17</v>
      </c>
      <c r="U14" s="674">
        <f t="shared" si="1"/>
        <v>100</v>
      </c>
      <c r="V14" s="673" t="s">
        <v>17</v>
      </c>
      <c r="W14" s="674">
        <f t="shared" si="2"/>
        <v>100</v>
      </c>
      <c r="X14" s="675"/>
      <c r="Y14" s="3316"/>
      <c r="Z14" s="53">
        <f t="shared" si="7"/>
        <v>111</v>
      </c>
      <c r="AA14" s="53">
        <f t="shared" si="3"/>
        <v>1</v>
      </c>
      <c r="AB14" s="53">
        <f t="shared" si="4"/>
        <v>1</v>
      </c>
      <c r="AC14" s="887">
        <f t="shared" si="5"/>
        <v>1</v>
      </c>
    </row>
    <row r="15" spans="1:29" ht="71.25">
      <c r="A15" s="387" t="s">
        <v>2135</v>
      </c>
      <c r="B15" s="562" t="s">
        <v>2263</v>
      </c>
      <c r="C15" s="1941"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54"/>
      <c r="M15" s="2649"/>
      <c r="N15" s="2649"/>
      <c r="O15" s="2649"/>
      <c r="P15" s="3416" t="s">
        <v>2136</v>
      </c>
      <c r="Q15" s="1392" t="str">
        <f t="shared" si="6"/>
        <v>办公集聚程度</v>
      </c>
      <c r="R15" s="676" t="s">
        <v>17</v>
      </c>
      <c r="S15" s="677">
        <f t="shared" si="0"/>
        <v>100</v>
      </c>
      <c r="T15" s="676" t="s">
        <v>17</v>
      </c>
      <c r="U15" s="677">
        <f t="shared" si="1"/>
        <v>100</v>
      </c>
      <c r="V15" s="676" t="s">
        <v>17</v>
      </c>
      <c r="W15" s="677">
        <f t="shared" si="2"/>
        <v>100</v>
      </c>
      <c r="X15" s="1394"/>
      <c r="Y15" s="3375" t="s">
        <v>2136</v>
      </c>
      <c r="Z15" s="1393" t="str">
        <f t="shared" si="7"/>
        <v>办公集聚程度</v>
      </c>
      <c r="AA15" s="1393">
        <f t="shared" si="3"/>
        <v>1</v>
      </c>
      <c r="AB15" s="1393">
        <f t="shared" si="4"/>
        <v>1</v>
      </c>
      <c r="AC15" s="1942">
        <f t="shared" si="5"/>
        <v>1</v>
      </c>
    </row>
    <row r="16" spans="1:29" ht="15">
      <c r="A16" s="375"/>
      <c r="B16" s="563"/>
      <c r="C16" s="1888"/>
      <c r="D16" s="395"/>
      <c r="E16" s="394"/>
      <c r="F16" s="395"/>
      <c r="G16" s="1888"/>
      <c r="H16" s="397"/>
      <c r="I16" s="394"/>
      <c r="J16" s="395"/>
      <c r="K16" s="549"/>
      <c r="L16" s="2654"/>
      <c r="M16" s="2649"/>
      <c r="N16" s="2649"/>
      <c r="O16" s="2649"/>
      <c r="P16" s="3417"/>
      <c r="Q16" s="1392"/>
      <c r="R16" s="676"/>
      <c r="S16" s="677"/>
      <c r="T16" s="676"/>
      <c r="U16" s="677"/>
      <c r="V16" s="676"/>
      <c r="W16" s="677"/>
      <c r="X16" s="1394"/>
      <c r="Y16" s="3376"/>
      <c r="Z16" s="1393"/>
      <c r="AA16" s="1393">
        <v>1</v>
      </c>
      <c r="AB16" s="1393">
        <v>1</v>
      </c>
      <c r="AC16" s="1942">
        <v>1</v>
      </c>
    </row>
    <row r="17" spans="1:29" ht="71.25">
      <c r="A17" s="375"/>
      <c r="B17" s="564" t="s">
        <v>1704</v>
      </c>
      <c r="C17" s="1943"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54"/>
      <c r="M17" s="2649"/>
      <c r="N17" s="2649"/>
      <c r="O17" s="2649"/>
      <c r="P17" s="3417"/>
      <c r="Q17" s="1392" t="str">
        <f>B17</f>
        <v>交通便捷度</v>
      </c>
      <c r="R17" s="676" t="s">
        <v>17</v>
      </c>
      <c r="S17" s="677">
        <f>F17</f>
        <v>100</v>
      </c>
      <c r="T17" s="676" t="s">
        <v>17</v>
      </c>
      <c r="U17" s="677">
        <f>H17</f>
        <v>100</v>
      </c>
      <c r="V17" s="676" t="s">
        <v>17</v>
      </c>
      <c r="W17" s="677">
        <f>J17</f>
        <v>100</v>
      </c>
      <c r="X17" s="1394"/>
      <c r="Y17" s="3376"/>
      <c r="Z17" s="1393" t="str">
        <f>Q17</f>
        <v>交通便捷度</v>
      </c>
      <c r="AA17" s="1393">
        <f t="shared" si="3"/>
        <v>1</v>
      </c>
      <c r="AB17" s="1393">
        <f t="shared" si="4"/>
        <v>1</v>
      </c>
      <c r="AC17" s="1942">
        <f t="shared" si="5"/>
        <v>1</v>
      </c>
    </row>
    <row r="18" spans="1:29" ht="15">
      <c r="A18" s="375"/>
      <c r="B18" s="409"/>
      <c r="C18" s="1944"/>
      <c r="D18" s="397"/>
      <c r="E18" s="1886"/>
      <c r="F18" s="397"/>
      <c r="G18" s="1887"/>
      <c r="H18" s="395"/>
      <c r="I18" s="1887"/>
      <c r="J18" s="395"/>
      <c r="K18" s="549"/>
      <c r="L18" s="2654"/>
      <c r="M18" s="2649"/>
      <c r="N18" s="2649"/>
      <c r="O18" s="2649"/>
      <c r="P18" s="3417"/>
      <c r="Q18" s="1392"/>
      <c r="R18" s="676"/>
      <c r="S18" s="677"/>
      <c r="T18" s="676"/>
      <c r="U18" s="677"/>
      <c r="V18" s="676"/>
      <c r="W18" s="677"/>
      <c r="X18" s="1394"/>
      <c r="Y18" s="3376"/>
      <c r="Z18" s="1393"/>
      <c r="AA18" s="1393">
        <v>1</v>
      </c>
      <c r="AB18" s="1393">
        <v>1</v>
      </c>
      <c r="AC18" s="1942">
        <v>1</v>
      </c>
    </row>
    <row r="19" spans="1:29" ht="42.75">
      <c r="A19" s="375"/>
      <c r="B19" s="564" t="s">
        <v>2264</v>
      </c>
      <c r="C19" s="1943"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54"/>
      <c r="M19" s="2649"/>
      <c r="N19" s="2649"/>
      <c r="O19" s="2649"/>
      <c r="P19" s="3417"/>
      <c r="Q19" s="1392" t="str">
        <f>B19</f>
        <v>公共配套设施</v>
      </c>
      <c r="R19" s="676" t="s">
        <v>17</v>
      </c>
      <c r="S19" s="677">
        <f>F19</f>
        <v>100</v>
      </c>
      <c r="T19" s="676" t="s">
        <v>17</v>
      </c>
      <c r="U19" s="677">
        <f>H19</f>
        <v>100</v>
      </c>
      <c r="V19" s="676" t="s">
        <v>17</v>
      </c>
      <c r="W19" s="677">
        <f>J19</f>
        <v>100</v>
      </c>
      <c r="X19" s="1394"/>
      <c r="Y19" s="3376"/>
      <c r="Z19" s="1393" t="str">
        <f>Q19</f>
        <v>公共配套设施</v>
      </c>
      <c r="AA19" s="1393">
        <f t="shared" si="3"/>
        <v>1</v>
      </c>
      <c r="AB19" s="1393">
        <f t="shared" si="4"/>
        <v>1</v>
      </c>
      <c r="AC19" s="1942">
        <f t="shared" si="5"/>
        <v>1</v>
      </c>
    </row>
    <row r="20" spans="1:29" ht="15">
      <c r="A20" s="375"/>
      <c r="B20" s="409"/>
      <c r="C20" s="1888"/>
      <c r="D20" s="395"/>
      <c r="E20" s="1881"/>
      <c r="F20" s="395"/>
      <c r="G20" s="1882"/>
      <c r="H20" s="395"/>
      <c r="I20" s="1882"/>
      <c r="J20" s="395"/>
      <c r="K20" s="549"/>
      <c r="L20" s="2654"/>
      <c r="M20" s="2649"/>
      <c r="N20" s="2649"/>
      <c r="O20" s="2649"/>
      <c r="P20" s="3417"/>
      <c r="Q20" s="1392"/>
      <c r="R20" s="676"/>
      <c r="S20" s="677"/>
      <c r="T20" s="676"/>
      <c r="U20" s="677"/>
      <c r="V20" s="676"/>
      <c r="W20" s="677"/>
      <c r="X20" s="1394"/>
      <c r="Y20" s="3376"/>
      <c r="Z20" s="1393"/>
      <c r="AA20" s="1393">
        <v>1</v>
      </c>
      <c r="AB20" s="1393">
        <v>1</v>
      </c>
      <c r="AC20" s="1942">
        <v>1</v>
      </c>
    </row>
    <row r="21" spans="1:29" ht="28.5">
      <c r="A21" s="375"/>
      <c r="B21" s="565" t="s">
        <v>2265</v>
      </c>
      <c r="C21" s="1943"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54"/>
      <c r="M21" s="2649"/>
      <c r="N21" s="2649"/>
      <c r="O21" s="2649"/>
      <c r="P21" s="3417"/>
      <c r="Q21" s="1392" t="str">
        <f>B21</f>
        <v>基础设施水平</v>
      </c>
      <c r="R21" s="676" t="s">
        <v>17</v>
      </c>
      <c r="S21" s="677">
        <f>F21</f>
        <v>100</v>
      </c>
      <c r="T21" s="676" t="s">
        <v>17</v>
      </c>
      <c r="U21" s="677">
        <f>H21</f>
        <v>100</v>
      </c>
      <c r="V21" s="676" t="s">
        <v>17</v>
      </c>
      <c r="W21" s="677">
        <f>J21</f>
        <v>100</v>
      </c>
      <c r="X21" s="1394"/>
      <c r="Y21" s="3376"/>
      <c r="Z21" s="1393" t="str">
        <f>Q21</f>
        <v>基础设施水平</v>
      </c>
      <c r="AA21" s="1393">
        <f t="shared" ref="AA21" si="8">D21/F21</f>
        <v>1</v>
      </c>
      <c r="AB21" s="1393">
        <f t="shared" ref="AB21" si="9">D21/H21</f>
        <v>1</v>
      </c>
      <c r="AC21" s="1942">
        <f t="shared" ref="AC21" si="10">D21/J21</f>
        <v>1</v>
      </c>
    </row>
    <row r="22" spans="1:29" ht="15">
      <c r="A22" s="375"/>
      <c r="B22" s="565"/>
      <c r="C22" s="1944"/>
      <c r="D22" s="395"/>
      <c r="E22" s="394"/>
      <c r="F22" s="395"/>
      <c r="G22" s="1888"/>
      <c r="H22" s="395"/>
      <c r="I22" s="1888"/>
      <c r="J22" s="395"/>
      <c r="K22" s="1174"/>
      <c r="L22" s="2654"/>
      <c r="M22" s="2649"/>
      <c r="N22" s="2649"/>
      <c r="O22" s="2649"/>
      <c r="P22" s="3417"/>
      <c r="Q22" s="1392"/>
      <c r="R22" s="676"/>
      <c r="S22" s="677"/>
      <c r="T22" s="676"/>
      <c r="U22" s="677"/>
      <c r="V22" s="676"/>
      <c r="W22" s="677"/>
      <c r="X22" s="1394"/>
      <c r="Y22" s="3376"/>
      <c r="Z22" s="1393"/>
      <c r="AA22" s="1393">
        <v>1</v>
      </c>
      <c r="AB22" s="1393">
        <v>1</v>
      </c>
      <c r="AC22" s="1942">
        <v>1</v>
      </c>
    </row>
    <row r="23" spans="1:29" ht="42.75">
      <c r="A23" s="375"/>
      <c r="B23" s="564" t="s">
        <v>2266</v>
      </c>
      <c r="C23" s="1943"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54"/>
      <c r="M23" s="2649"/>
      <c r="N23" s="2649"/>
      <c r="O23" s="2649"/>
      <c r="P23" s="3417"/>
      <c r="Q23" s="1392" t="str">
        <f>B23</f>
        <v>环境质量</v>
      </c>
      <c r="R23" s="676" t="s">
        <v>17</v>
      </c>
      <c r="S23" s="677">
        <f>F23</f>
        <v>100</v>
      </c>
      <c r="T23" s="676" t="s">
        <v>17</v>
      </c>
      <c r="U23" s="677">
        <f>H23</f>
        <v>100</v>
      </c>
      <c r="V23" s="676" t="s">
        <v>17</v>
      </c>
      <c r="W23" s="677">
        <f>J23</f>
        <v>100</v>
      </c>
      <c r="X23" s="1394"/>
      <c r="Y23" s="3376"/>
      <c r="Z23" s="1393" t="str">
        <f>Q23</f>
        <v>环境质量</v>
      </c>
      <c r="AA23" s="1393">
        <f t="shared" si="3"/>
        <v>1</v>
      </c>
      <c r="AB23" s="1393">
        <f t="shared" si="4"/>
        <v>1</v>
      </c>
      <c r="AC23" s="1942">
        <f t="shared" si="5"/>
        <v>1</v>
      </c>
    </row>
    <row r="24" spans="1:29" ht="15">
      <c r="A24" s="375"/>
      <c r="B24" s="565"/>
      <c r="C24" s="1888"/>
      <c r="D24" s="395"/>
      <c r="E24" s="1881"/>
      <c r="F24" s="395"/>
      <c r="G24" s="1882"/>
      <c r="H24" s="395"/>
      <c r="I24" s="1882"/>
      <c r="J24" s="395"/>
      <c r="K24" s="549"/>
      <c r="L24" s="2654"/>
      <c r="M24" s="2649"/>
      <c r="N24" s="2649"/>
      <c r="O24" s="2649"/>
      <c r="P24" s="3417"/>
      <c r="Q24" s="1392"/>
      <c r="R24" s="676"/>
      <c r="S24" s="677"/>
      <c r="T24" s="676"/>
      <c r="U24" s="677"/>
      <c r="V24" s="676"/>
      <c r="W24" s="677"/>
      <c r="X24" s="1394"/>
      <c r="Y24" s="3376"/>
      <c r="Z24" s="1393"/>
      <c r="AA24" s="1393">
        <v>1</v>
      </c>
      <c r="AB24" s="1393">
        <v>1</v>
      </c>
      <c r="AC24" s="1942">
        <v>1</v>
      </c>
    </row>
    <row r="25" spans="1:29" ht="27">
      <c r="A25" s="354"/>
      <c r="B25" s="564" t="s">
        <v>2267</v>
      </c>
      <c r="C25" s="1892"/>
      <c r="D25" s="382">
        <v>100</v>
      </c>
      <c r="E25" s="381"/>
      <c r="F25" s="382">
        <f>SUMIF(87:87,E26,88:88)-SUMIF(87:87,C26,88:88)+100</f>
        <v>100</v>
      </c>
      <c r="G25" s="1892"/>
      <c r="H25" s="382">
        <f>SUMIF(87:87,G26,88:88)-SUMIF(87:87,C26,88:88)+100</f>
        <v>100</v>
      </c>
      <c r="I25" s="381"/>
      <c r="J25" s="382">
        <f>SUMIF(87:87,I26,88:88)-SUMIF(87:87,C26,88:88)+100</f>
        <v>100</v>
      </c>
      <c r="K25" s="548"/>
      <c r="L25" s="2654"/>
      <c r="M25" s="2649"/>
      <c r="N25" s="2649"/>
      <c r="O25" s="2649"/>
      <c r="P25" s="3417"/>
      <c r="Q25" s="1392" t="str">
        <f>B25</f>
        <v>毗邻道路的类型与等级</v>
      </c>
      <c r="R25" s="676" t="s">
        <v>17</v>
      </c>
      <c r="S25" s="677">
        <f>F25</f>
        <v>100</v>
      </c>
      <c r="T25" s="676" t="s">
        <v>17</v>
      </c>
      <c r="U25" s="677">
        <f>H25</f>
        <v>100</v>
      </c>
      <c r="V25" s="676" t="s">
        <v>17</v>
      </c>
      <c r="W25" s="677">
        <f>J25</f>
        <v>100</v>
      </c>
      <c r="X25" s="1394"/>
      <c r="Y25" s="3376"/>
      <c r="Z25" s="1393" t="str">
        <f>Q25</f>
        <v>毗邻道路的类型与等级</v>
      </c>
      <c r="AA25" s="1393">
        <f t="shared" si="3"/>
        <v>1</v>
      </c>
      <c r="AB25" s="1393">
        <f t="shared" si="4"/>
        <v>1</v>
      </c>
      <c r="AC25" s="1942">
        <f t="shared" si="5"/>
        <v>1</v>
      </c>
    </row>
    <row r="26" spans="1:29" ht="15">
      <c r="A26" s="354"/>
      <c r="B26" s="409"/>
      <c r="C26" s="566"/>
      <c r="D26" s="382"/>
      <c r="E26" s="550"/>
      <c r="F26" s="382"/>
      <c r="G26" s="566"/>
      <c r="H26" s="382"/>
      <c r="I26" s="550"/>
      <c r="J26" s="382"/>
      <c r="K26" s="549"/>
      <c r="L26" s="2654"/>
      <c r="M26" s="2649"/>
      <c r="N26" s="2649"/>
      <c r="O26" s="2649"/>
      <c r="P26" s="3417"/>
      <c r="Q26" s="1392"/>
      <c r="R26" s="676"/>
      <c r="S26" s="677"/>
      <c r="T26" s="676"/>
      <c r="U26" s="677"/>
      <c r="V26" s="676"/>
      <c r="W26" s="677"/>
      <c r="X26" s="1394"/>
      <c r="Y26" s="3376"/>
      <c r="Z26" s="1393"/>
      <c r="AA26" s="1393">
        <v>1</v>
      </c>
      <c r="AB26" s="1393">
        <v>1</v>
      </c>
      <c r="AC26" s="1942">
        <v>1</v>
      </c>
    </row>
    <row r="27" spans="1:29" ht="15">
      <c r="A27" s="375"/>
      <c r="B27" s="409" t="s">
        <v>2235</v>
      </c>
      <c r="C27" s="566"/>
      <c r="D27" s="382">
        <v>100</v>
      </c>
      <c r="E27" s="550"/>
      <c r="F27" s="382">
        <f>SUMIF(89:89,E27,90:90)-SUMIF(89:89,C27,90:90)+100</f>
        <v>100</v>
      </c>
      <c r="G27" s="566"/>
      <c r="H27" s="382">
        <f>SUMIF(89:89,G27,90:90)-SUMIF(89:89,C27,90:90)+100</f>
        <v>100</v>
      </c>
      <c r="I27" s="550"/>
      <c r="J27" s="382">
        <f>SUMIF(89:89,I27,90:90)-SUMIF(89:89,C27,90:90)+100</f>
        <v>100</v>
      </c>
      <c r="K27" s="546"/>
      <c r="L27" s="2654"/>
      <c r="M27" s="2649"/>
      <c r="N27" s="2649"/>
      <c r="O27" s="2649"/>
      <c r="P27" s="3417"/>
      <c r="Q27" s="1392" t="str">
        <f t="shared" ref="Q27:Q47" si="11">B27</f>
        <v>楼层</v>
      </c>
      <c r="R27" s="676" t="s">
        <v>17</v>
      </c>
      <c r="S27" s="677">
        <f>F27</f>
        <v>100</v>
      </c>
      <c r="T27" s="676" t="s">
        <v>17</v>
      </c>
      <c r="U27" s="677">
        <f>H27</f>
        <v>100</v>
      </c>
      <c r="V27" s="676" t="s">
        <v>17</v>
      </c>
      <c r="W27" s="677">
        <f>J27</f>
        <v>100</v>
      </c>
      <c r="X27" s="1394"/>
      <c r="Y27" s="3376"/>
      <c r="Z27" s="1393" t="str">
        <f>Q27</f>
        <v>楼层</v>
      </c>
      <c r="AA27" s="1393">
        <f t="shared" si="3"/>
        <v>1</v>
      </c>
      <c r="AB27" s="1393">
        <f t="shared" si="4"/>
        <v>1</v>
      </c>
      <c r="AC27" s="1942">
        <f t="shared" si="5"/>
        <v>1</v>
      </c>
    </row>
    <row r="28" spans="1:29" s="107" customFormat="1" ht="15">
      <c r="A28" s="378"/>
      <c r="B28" s="564" t="s">
        <v>2268</v>
      </c>
      <c r="C28" s="1945"/>
      <c r="D28" s="409">
        <v>100</v>
      </c>
      <c r="E28" s="1937"/>
      <c r="F28" s="409">
        <f>SUMIF(91:91,E28,92:92)-SUMIF(91:91,C28,92:92)+100</f>
        <v>100</v>
      </c>
      <c r="G28" s="1945"/>
      <c r="H28" s="409">
        <f>SUMIF(91:91,G28,92:92)-SUMIF(91:91,C28,92:92)+100</f>
        <v>100</v>
      </c>
      <c r="I28" s="1937"/>
      <c r="J28" s="409">
        <f>SUMIF(91:91,I28,92:92)-SUMIF(91:91,C28,92:92)+100</f>
        <v>100</v>
      </c>
      <c r="K28" s="546"/>
      <c r="L28" s="2650"/>
      <c r="M28" s="2603"/>
      <c r="N28" s="2603"/>
      <c r="O28" s="2603"/>
      <c r="P28" s="3417"/>
      <c r="Q28" s="538" t="str">
        <f t="shared" si="11"/>
        <v>朝向</v>
      </c>
      <c r="R28" s="673" t="s">
        <v>17</v>
      </c>
      <c r="S28" s="674">
        <f>F28</f>
        <v>100</v>
      </c>
      <c r="T28" s="673" t="s">
        <v>17</v>
      </c>
      <c r="U28" s="674">
        <f>H28</f>
        <v>100</v>
      </c>
      <c r="V28" s="673" t="s">
        <v>17</v>
      </c>
      <c r="W28" s="674">
        <f>J28</f>
        <v>100</v>
      </c>
      <c r="X28" s="675"/>
      <c r="Y28" s="3376"/>
      <c r="Z28" s="53" t="str">
        <f>Q28</f>
        <v>朝向</v>
      </c>
      <c r="AA28" s="1393">
        <f>D28/F28</f>
        <v>1</v>
      </c>
      <c r="AB28" s="1393">
        <f>D28/H28</f>
        <v>1</v>
      </c>
      <c r="AC28" s="1942">
        <f>D28/J28</f>
        <v>1</v>
      </c>
    </row>
    <row r="29" spans="1:29" ht="15">
      <c r="A29" s="375"/>
      <c r="B29" s="1209">
        <v>111</v>
      </c>
      <c r="C29" s="1892"/>
      <c r="D29" s="382">
        <v>100</v>
      </c>
      <c r="E29" s="379"/>
      <c r="F29" s="382">
        <f>SUMIF(93:93,E29,94:94)-SUMIF(93:93,C29,94:94)+100</f>
        <v>100</v>
      </c>
      <c r="G29" s="1940"/>
      <c r="H29" s="382">
        <f>SUMIF(93:93,G29,94:94)-SUMIF(93:93,C29,94:94)+100</f>
        <v>100</v>
      </c>
      <c r="I29" s="379"/>
      <c r="J29" s="382">
        <f>SUMIF(93:93,I29,94:94)-SUMIF(93:93,C29,94:94)+100</f>
        <v>100</v>
      </c>
      <c r="K29" s="547"/>
      <c r="L29" s="2654"/>
      <c r="M29" s="2649"/>
      <c r="N29" s="2649"/>
      <c r="O29" s="2649"/>
      <c r="P29" s="3417"/>
      <c r="Q29" s="1392">
        <f t="shared" si="11"/>
        <v>111</v>
      </c>
      <c r="R29" s="676" t="s">
        <v>17</v>
      </c>
      <c r="S29" s="677">
        <f t="shared" ref="S29:S47" si="12">F29</f>
        <v>100</v>
      </c>
      <c r="T29" s="676" t="s">
        <v>17</v>
      </c>
      <c r="U29" s="677">
        <f t="shared" ref="U29:U47" si="13">H29</f>
        <v>100</v>
      </c>
      <c r="V29" s="676" t="s">
        <v>17</v>
      </c>
      <c r="W29" s="677">
        <f t="shared" ref="W29:W47" si="14">J29</f>
        <v>100</v>
      </c>
      <c r="X29" s="1394"/>
      <c r="Y29" s="3376"/>
      <c r="Z29" s="1393">
        <f t="shared" ref="Z29:Z47" si="15">Q29</f>
        <v>111</v>
      </c>
      <c r="AA29" s="1393">
        <f t="shared" si="3"/>
        <v>1</v>
      </c>
      <c r="AB29" s="1393">
        <f t="shared" si="4"/>
        <v>1</v>
      </c>
      <c r="AC29" s="1942">
        <f t="shared" si="5"/>
        <v>1</v>
      </c>
    </row>
    <row r="30" spans="1:29" ht="15">
      <c r="A30" s="375"/>
      <c r="B30" s="1209">
        <v>111</v>
      </c>
      <c r="C30" s="1892"/>
      <c r="D30" s="382">
        <v>100</v>
      </c>
      <c r="E30" s="379"/>
      <c r="F30" s="382">
        <f>SUMIF(95:95,E30,96:96)-SUMIF(95:95,C30,96:96)+100</f>
        <v>100</v>
      </c>
      <c r="G30" s="1940"/>
      <c r="H30" s="382">
        <f>SUMIF(95:95,G30,96:96)-SUMIF(95:95,C30,96:96)+100</f>
        <v>100</v>
      </c>
      <c r="I30" s="379"/>
      <c r="J30" s="382">
        <f>SUMIF(95:95,I30,96:96)-SUMIF(95:95,C30,96:96)+100</f>
        <v>100</v>
      </c>
      <c r="K30" s="547"/>
      <c r="L30" s="2654"/>
      <c r="M30" s="2649"/>
      <c r="N30" s="2649"/>
      <c r="O30" s="2649"/>
      <c r="P30" s="3417"/>
      <c r="Q30" s="1392">
        <f t="shared" si="11"/>
        <v>111</v>
      </c>
      <c r="R30" s="676" t="s">
        <v>17</v>
      </c>
      <c r="S30" s="677">
        <f t="shared" si="12"/>
        <v>100</v>
      </c>
      <c r="T30" s="676" t="s">
        <v>17</v>
      </c>
      <c r="U30" s="677">
        <f t="shared" si="13"/>
        <v>100</v>
      </c>
      <c r="V30" s="676" t="s">
        <v>17</v>
      </c>
      <c r="W30" s="677">
        <f t="shared" si="14"/>
        <v>100</v>
      </c>
      <c r="X30" s="1394"/>
      <c r="Y30" s="3376"/>
      <c r="Z30" s="1393">
        <f t="shared" si="15"/>
        <v>111</v>
      </c>
      <c r="AA30" s="1393">
        <f t="shared" si="3"/>
        <v>1</v>
      </c>
      <c r="AB30" s="1393">
        <f t="shared" si="4"/>
        <v>1</v>
      </c>
      <c r="AC30" s="1942">
        <f t="shared" si="5"/>
        <v>1</v>
      </c>
    </row>
    <row r="31" spans="1:29" ht="15">
      <c r="A31" s="375"/>
      <c r="B31" s="1209">
        <v>111</v>
      </c>
      <c r="C31" s="1892"/>
      <c r="D31" s="382">
        <v>100</v>
      </c>
      <c r="E31" s="379"/>
      <c r="F31" s="382">
        <f>SUMIF(97:97,E31,98:98)-SUMIF(97:97,C31,98:98)+100</f>
        <v>100</v>
      </c>
      <c r="G31" s="1940"/>
      <c r="H31" s="382">
        <f>SUMIF(97:97,G31,98:98)-SUMIF(97:97,C31,98:98)+100</f>
        <v>100</v>
      </c>
      <c r="I31" s="379"/>
      <c r="J31" s="382">
        <f>SUMIF(97:97,I31,98:98)-SUMIF(97:97,C31,98:98)+100</f>
        <v>100</v>
      </c>
      <c r="K31" s="547"/>
      <c r="L31" s="2654"/>
      <c r="M31" s="2649"/>
      <c r="N31" s="2649"/>
      <c r="O31" s="2649"/>
      <c r="P31" s="3417"/>
      <c r="Q31" s="1392">
        <f t="shared" si="11"/>
        <v>111</v>
      </c>
      <c r="R31" s="676" t="s">
        <v>17</v>
      </c>
      <c r="S31" s="677">
        <f t="shared" si="12"/>
        <v>100</v>
      </c>
      <c r="T31" s="676" t="s">
        <v>17</v>
      </c>
      <c r="U31" s="677">
        <f t="shared" si="13"/>
        <v>100</v>
      </c>
      <c r="V31" s="676" t="s">
        <v>17</v>
      </c>
      <c r="W31" s="677">
        <f t="shared" si="14"/>
        <v>100</v>
      </c>
      <c r="X31" s="1394"/>
      <c r="Y31" s="3376"/>
      <c r="Z31" s="1393">
        <f t="shared" si="15"/>
        <v>111</v>
      </c>
      <c r="AA31" s="1393">
        <f t="shared" si="3"/>
        <v>1</v>
      </c>
      <c r="AB31" s="1393">
        <f t="shared" si="4"/>
        <v>1</v>
      </c>
      <c r="AC31" s="1942">
        <f t="shared" si="5"/>
        <v>1</v>
      </c>
    </row>
    <row r="32" spans="1:29" ht="15.75" thickBot="1">
      <c r="A32" s="383"/>
      <c r="B32" s="567">
        <v>111</v>
      </c>
      <c r="C32" s="1893"/>
      <c r="D32" s="385">
        <v>100</v>
      </c>
      <c r="E32" s="561"/>
      <c r="F32" s="385">
        <f>SUMIF(99:99,E32,100:100)-SUMIF(99:99,C32,100:100)+100</f>
        <v>100</v>
      </c>
      <c r="G32" s="1940"/>
      <c r="H32" s="385">
        <f>SUMIF(99:99,G32,100:100)-SUMIF(99:99,C32,100:100)+100</f>
        <v>100</v>
      </c>
      <c r="I32" s="379"/>
      <c r="J32" s="385">
        <f>SUMIF(99:99,I32,100:100)-SUMIF(99:99,C32,100:100)+100</f>
        <v>100</v>
      </c>
      <c r="K32" s="547"/>
      <c r="L32" s="2654"/>
      <c r="M32" s="2649"/>
      <c r="N32" s="2649"/>
      <c r="O32" s="2649"/>
      <c r="P32" s="3417"/>
      <c r="Q32" s="1392">
        <f t="shared" si="11"/>
        <v>111</v>
      </c>
      <c r="R32" s="676" t="s">
        <v>17</v>
      </c>
      <c r="S32" s="677">
        <f t="shared" si="12"/>
        <v>100</v>
      </c>
      <c r="T32" s="676" t="s">
        <v>17</v>
      </c>
      <c r="U32" s="677">
        <f t="shared" si="13"/>
        <v>100</v>
      </c>
      <c r="V32" s="676" t="s">
        <v>17</v>
      </c>
      <c r="W32" s="677">
        <f t="shared" si="14"/>
        <v>100</v>
      </c>
      <c r="X32" s="1394"/>
      <c r="Y32" s="3376"/>
      <c r="Z32" s="1393">
        <f t="shared" si="15"/>
        <v>111</v>
      </c>
      <c r="AA32" s="1393">
        <f t="shared" si="3"/>
        <v>1</v>
      </c>
      <c r="AB32" s="1393">
        <f t="shared" si="4"/>
        <v>1</v>
      </c>
      <c r="AC32" s="1942">
        <f t="shared" si="5"/>
        <v>1</v>
      </c>
    </row>
    <row r="33" spans="1:29" ht="15">
      <c r="A33" s="387" t="s">
        <v>2139</v>
      </c>
      <c r="B33" s="64" t="s">
        <v>2269</v>
      </c>
      <c r="C33" s="1894"/>
      <c r="D33" s="413">
        <v>100</v>
      </c>
      <c r="E33" s="1894"/>
      <c r="F33" s="408">
        <f>SUMIF(101:101,E33,102:102)-SUMIF(101:101,C33,102:102)+100</f>
        <v>100</v>
      </c>
      <c r="G33" s="1894"/>
      <c r="H33" s="382">
        <f>SUMIF(101:101,G33,102:102)-SUMIF(101:101,C33,102:102)+100</f>
        <v>100</v>
      </c>
      <c r="I33" s="1894"/>
      <c r="J33" s="413">
        <f>SUMIF(101:101,I33,102:102)-SUMIF(101:101,C33,102:102)+100</f>
        <v>100</v>
      </c>
      <c r="K33" s="546"/>
      <c r="L33" s="2654"/>
      <c r="M33" s="2649"/>
      <c r="N33" s="2649"/>
      <c r="O33" s="2649"/>
      <c r="P33" s="3412" t="s">
        <v>2141</v>
      </c>
      <c r="Q33" s="1392" t="str">
        <f t="shared" si="11"/>
        <v>建筑类型</v>
      </c>
      <c r="R33" s="676" t="s">
        <v>17</v>
      </c>
      <c r="S33" s="677">
        <f t="shared" si="12"/>
        <v>100</v>
      </c>
      <c r="T33" s="676" t="s">
        <v>17</v>
      </c>
      <c r="U33" s="677">
        <f t="shared" si="13"/>
        <v>100</v>
      </c>
      <c r="V33" s="676" t="s">
        <v>17</v>
      </c>
      <c r="W33" s="677">
        <f t="shared" si="14"/>
        <v>100</v>
      </c>
      <c r="X33" s="1394"/>
      <c r="Y33" s="3378" t="s">
        <v>2141</v>
      </c>
      <c r="Z33" s="1393" t="str">
        <f t="shared" si="15"/>
        <v>建筑类型</v>
      </c>
      <c r="AA33" s="1393">
        <f t="shared" si="3"/>
        <v>1</v>
      </c>
      <c r="AB33" s="1393">
        <f t="shared" si="4"/>
        <v>1</v>
      </c>
      <c r="AC33" s="1942">
        <f t="shared" si="5"/>
        <v>1</v>
      </c>
    </row>
    <row r="34" spans="1:29" s="416" customFormat="1" ht="15">
      <c r="A34" s="414"/>
      <c r="B34" s="370" t="s">
        <v>2142</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3"/>
      <c r="M34" s="2655"/>
      <c r="N34" s="2655"/>
      <c r="O34" s="2655"/>
      <c r="P34" s="3413"/>
      <c r="Q34" s="539" t="str">
        <f t="shared" si="11"/>
        <v>项目建筑规模</v>
      </c>
      <c r="R34" s="678" t="s">
        <v>17</v>
      </c>
      <c r="S34" s="679" t="e">
        <f t="shared" si="12"/>
        <v>#N/A</v>
      </c>
      <c r="T34" s="678" t="s">
        <v>17</v>
      </c>
      <c r="U34" s="679" t="e">
        <f t="shared" si="13"/>
        <v>#N/A</v>
      </c>
      <c r="V34" s="678" t="s">
        <v>17</v>
      </c>
      <c r="W34" s="679" t="e">
        <f t="shared" si="14"/>
        <v>#N/A</v>
      </c>
      <c r="X34" s="680"/>
      <c r="Y34" s="3378"/>
      <c r="Z34" s="681" t="str">
        <f t="shared" si="15"/>
        <v>项目建筑规模</v>
      </c>
      <c r="AA34" s="1393" t="e">
        <f t="shared" si="3"/>
        <v>#N/A</v>
      </c>
      <c r="AB34" s="1393" t="e">
        <f t="shared" si="4"/>
        <v>#N/A</v>
      </c>
      <c r="AC34" s="1942" t="e">
        <f t="shared" si="5"/>
        <v>#N/A</v>
      </c>
    </row>
    <row r="35" spans="1:29" ht="15">
      <c r="A35" s="417"/>
      <c r="B35" s="370" t="s">
        <v>2143</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4"/>
      <c r="M35" s="2649"/>
      <c r="N35" s="2649"/>
      <c r="O35" s="2649"/>
      <c r="P35" s="3413"/>
      <c r="Q35" s="1392" t="str">
        <f t="shared" si="11"/>
        <v>建筑结构</v>
      </c>
      <c r="R35" s="676" t="s">
        <v>17</v>
      </c>
      <c r="S35" s="677">
        <f t="shared" si="12"/>
        <v>100</v>
      </c>
      <c r="T35" s="676" t="s">
        <v>17</v>
      </c>
      <c r="U35" s="677">
        <f t="shared" si="13"/>
        <v>100</v>
      </c>
      <c r="V35" s="676" t="s">
        <v>17</v>
      </c>
      <c r="W35" s="677">
        <f t="shared" si="14"/>
        <v>100</v>
      </c>
      <c r="X35" s="1394"/>
      <c r="Y35" s="3378"/>
      <c r="Z35" s="1393" t="str">
        <f t="shared" si="15"/>
        <v>建筑结构</v>
      </c>
      <c r="AA35" s="1393">
        <f t="shared" si="3"/>
        <v>1</v>
      </c>
      <c r="AB35" s="1393">
        <f t="shared" si="4"/>
        <v>1</v>
      </c>
      <c r="AC35" s="1942">
        <f t="shared" si="5"/>
        <v>1</v>
      </c>
    </row>
    <row r="36" spans="1:29" ht="15">
      <c r="A36" s="417"/>
      <c r="B36" s="370" t="s">
        <v>2237</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4"/>
      <c r="M36" s="2649"/>
      <c r="N36" s="2649"/>
      <c r="O36" s="2649"/>
      <c r="P36" s="3413"/>
      <c r="Q36" s="1392" t="str">
        <f t="shared" si="11"/>
        <v>公共部分装修</v>
      </c>
      <c r="R36" s="676" t="s">
        <v>17</v>
      </c>
      <c r="S36" s="677">
        <f t="shared" si="12"/>
        <v>100</v>
      </c>
      <c r="T36" s="676" t="s">
        <v>17</v>
      </c>
      <c r="U36" s="677">
        <f t="shared" si="13"/>
        <v>100</v>
      </c>
      <c r="V36" s="676" t="s">
        <v>17</v>
      </c>
      <c r="W36" s="677">
        <f t="shared" si="14"/>
        <v>100</v>
      </c>
      <c r="X36" s="1394"/>
      <c r="Y36" s="3378"/>
      <c r="Z36" s="1393" t="str">
        <f t="shared" si="15"/>
        <v>公共部分装修</v>
      </c>
      <c r="AA36" s="1393">
        <f t="shared" si="3"/>
        <v>1</v>
      </c>
      <c r="AB36" s="1393">
        <f t="shared" si="4"/>
        <v>1</v>
      </c>
      <c r="AC36" s="1942">
        <f t="shared" si="5"/>
        <v>1</v>
      </c>
    </row>
    <row r="37" spans="1:29" ht="15">
      <c r="A37" s="417"/>
      <c r="B37" s="370" t="s">
        <v>2238</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4"/>
      <c r="M37" s="2649"/>
      <c r="N37" s="2649"/>
      <c r="O37" s="2649"/>
      <c r="P37" s="3413"/>
      <c r="Q37" s="1392" t="str">
        <f t="shared" si="11"/>
        <v>成新度</v>
      </c>
      <c r="R37" s="676" t="s">
        <v>17</v>
      </c>
      <c r="S37" s="677" t="e">
        <f t="shared" si="12"/>
        <v>#N/A</v>
      </c>
      <c r="T37" s="676" t="s">
        <v>17</v>
      </c>
      <c r="U37" s="677" t="e">
        <f t="shared" si="13"/>
        <v>#N/A</v>
      </c>
      <c r="V37" s="676" t="s">
        <v>17</v>
      </c>
      <c r="W37" s="677" t="e">
        <f t="shared" si="14"/>
        <v>#N/A</v>
      </c>
      <c r="X37" s="1394"/>
      <c r="Y37" s="3378"/>
      <c r="Z37" s="1393" t="str">
        <f t="shared" si="15"/>
        <v>成新度</v>
      </c>
      <c r="AA37" s="1393" t="e">
        <f t="shared" si="3"/>
        <v>#N/A</v>
      </c>
      <c r="AB37" s="1393" t="e">
        <f t="shared" si="4"/>
        <v>#N/A</v>
      </c>
      <c r="AC37" s="1942" t="e">
        <f t="shared" si="5"/>
        <v>#N/A</v>
      </c>
    </row>
    <row r="38" spans="1:29" s="107" customFormat="1" ht="15">
      <c r="A38" s="418"/>
      <c r="B38" s="370" t="s">
        <v>2270</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50"/>
      <c r="M38" s="2603"/>
      <c r="N38" s="2603"/>
      <c r="O38" s="2603"/>
      <c r="P38" s="3413"/>
      <c r="Q38" s="538" t="str">
        <f t="shared" si="11"/>
        <v>写字楼等级</v>
      </c>
      <c r="R38" s="673" t="s">
        <v>17</v>
      </c>
      <c r="S38" s="674">
        <f t="shared" si="12"/>
        <v>100</v>
      </c>
      <c r="T38" s="673" t="s">
        <v>17</v>
      </c>
      <c r="U38" s="674">
        <f t="shared" si="13"/>
        <v>100</v>
      </c>
      <c r="V38" s="673" t="s">
        <v>17</v>
      </c>
      <c r="W38" s="674">
        <f t="shared" si="14"/>
        <v>100</v>
      </c>
      <c r="X38" s="675"/>
      <c r="Y38" s="3378"/>
      <c r="Z38" s="53" t="str">
        <f t="shared" si="15"/>
        <v>写字楼等级</v>
      </c>
      <c r="AA38" s="53">
        <f t="shared" si="3"/>
        <v>1</v>
      </c>
      <c r="AB38" s="53">
        <f t="shared" si="4"/>
        <v>1</v>
      </c>
      <c r="AC38" s="887">
        <f t="shared" si="5"/>
        <v>1</v>
      </c>
    </row>
    <row r="39" spans="1:29" ht="15">
      <c r="A39" s="417"/>
      <c r="B39" s="370" t="s">
        <v>2271</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4"/>
      <c r="M39" s="2649"/>
      <c r="N39" s="2649"/>
      <c r="O39" s="2649"/>
      <c r="P39" s="3413" t="s">
        <v>2141</v>
      </c>
      <c r="Q39" s="1392" t="str">
        <f t="shared" si="11"/>
        <v>物业管理</v>
      </c>
      <c r="R39" s="676" t="s">
        <v>17</v>
      </c>
      <c r="S39" s="677">
        <f t="shared" si="12"/>
        <v>100</v>
      </c>
      <c r="T39" s="676" t="s">
        <v>17</v>
      </c>
      <c r="U39" s="677">
        <f t="shared" si="13"/>
        <v>100</v>
      </c>
      <c r="V39" s="676" t="s">
        <v>17</v>
      </c>
      <c r="W39" s="677">
        <f t="shared" si="14"/>
        <v>100</v>
      </c>
      <c r="X39" s="1394"/>
      <c r="Y39" s="3378" t="s">
        <v>2141</v>
      </c>
      <c r="Z39" s="1393" t="str">
        <f t="shared" si="15"/>
        <v>物业管理</v>
      </c>
      <c r="AA39" s="1393">
        <f t="shared" si="3"/>
        <v>1</v>
      </c>
      <c r="AB39" s="1393">
        <f t="shared" si="4"/>
        <v>1</v>
      </c>
      <c r="AC39" s="1942">
        <f t="shared" si="5"/>
        <v>1</v>
      </c>
    </row>
    <row r="40" spans="1:29" ht="15">
      <c r="A40" s="417"/>
      <c r="B40" s="370" t="s">
        <v>2239</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4"/>
      <c r="M40" s="2649"/>
      <c r="N40" s="2649"/>
      <c r="O40" s="2649"/>
      <c r="P40" s="3413"/>
      <c r="Q40" s="1392" t="str">
        <f t="shared" si="11"/>
        <v>市政基础设施</v>
      </c>
      <c r="R40" s="676" t="s">
        <v>17</v>
      </c>
      <c r="S40" s="677">
        <f t="shared" si="12"/>
        <v>100</v>
      </c>
      <c r="T40" s="676" t="s">
        <v>17</v>
      </c>
      <c r="U40" s="677">
        <f t="shared" si="13"/>
        <v>100</v>
      </c>
      <c r="V40" s="676" t="s">
        <v>17</v>
      </c>
      <c r="W40" s="677">
        <f t="shared" si="14"/>
        <v>100</v>
      </c>
      <c r="X40" s="1394"/>
      <c r="Y40" s="3378"/>
      <c r="Z40" s="1393" t="str">
        <f t="shared" si="15"/>
        <v>市政基础设施</v>
      </c>
      <c r="AA40" s="1393">
        <f t="shared" si="3"/>
        <v>1</v>
      </c>
      <c r="AB40" s="1393">
        <f t="shared" si="4"/>
        <v>1</v>
      </c>
      <c r="AC40" s="1942">
        <f t="shared" si="5"/>
        <v>1</v>
      </c>
    </row>
    <row r="41" spans="1:29" ht="15">
      <c r="A41" s="417"/>
      <c r="B41" s="370" t="s">
        <v>2241</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4"/>
      <c r="M41" s="2649"/>
      <c r="N41" s="2649"/>
      <c r="O41" s="2649"/>
      <c r="P41" s="3413"/>
      <c r="Q41" s="1392" t="str">
        <f t="shared" si="11"/>
        <v>层高</v>
      </c>
      <c r="R41" s="676" t="s">
        <v>17</v>
      </c>
      <c r="S41" s="677">
        <f t="shared" si="12"/>
        <v>100</v>
      </c>
      <c r="T41" s="676" t="s">
        <v>17</v>
      </c>
      <c r="U41" s="677">
        <f t="shared" si="13"/>
        <v>100</v>
      </c>
      <c r="V41" s="676" t="s">
        <v>17</v>
      </c>
      <c r="W41" s="677">
        <f t="shared" si="14"/>
        <v>100</v>
      </c>
      <c r="X41" s="1394"/>
      <c r="Y41" s="3378"/>
      <c r="Z41" s="1393" t="str">
        <f t="shared" si="15"/>
        <v>层高</v>
      </c>
      <c r="AA41" s="1393">
        <f t="shared" si="3"/>
        <v>1</v>
      </c>
      <c r="AB41" s="1393">
        <f t="shared" si="4"/>
        <v>1</v>
      </c>
      <c r="AC41" s="1942">
        <f t="shared" si="5"/>
        <v>1</v>
      </c>
    </row>
    <row r="42" spans="1:29" s="416" customFormat="1" ht="15">
      <c r="A42" s="414"/>
      <c r="B42" s="408" t="s">
        <v>2272</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3"/>
      <c r="M42" s="2655"/>
      <c r="N42" s="2655"/>
      <c r="O42" s="2655"/>
      <c r="P42" s="3413"/>
      <c r="Q42" s="539" t="str">
        <f t="shared" si="11"/>
        <v>单套建筑面积</v>
      </c>
      <c r="R42" s="678" t="s">
        <v>17</v>
      </c>
      <c r="S42" s="679">
        <f t="shared" si="12"/>
        <v>100</v>
      </c>
      <c r="T42" s="678" t="s">
        <v>17</v>
      </c>
      <c r="U42" s="679">
        <f t="shared" si="13"/>
        <v>100</v>
      </c>
      <c r="V42" s="678" t="s">
        <v>17</v>
      </c>
      <c r="W42" s="679">
        <f t="shared" si="14"/>
        <v>100</v>
      </c>
      <c r="X42" s="680"/>
      <c r="Y42" s="3378"/>
      <c r="Z42" s="681" t="str">
        <f t="shared" si="15"/>
        <v>单套建筑面积</v>
      </c>
      <c r="AA42" s="1393">
        <f t="shared" si="3"/>
        <v>1</v>
      </c>
      <c r="AB42" s="1393">
        <f t="shared" si="4"/>
        <v>1</v>
      </c>
      <c r="AC42" s="1942">
        <f t="shared" si="5"/>
        <v>1</v>
      </c>
    </row>
    <row r="43" spans="1:29" ht="15">
      <c r="A43" s="417"/>
      <c r="B43" s="370" t="s">
        <v>2244</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4"/>
      <c r="M43" s="2649"/>
      <c r="N43" s="2649"/>
      <c r="O43" s="2649"/>
      <c r="P43" s="3413"/>
      <c r="Q43" s="1392" t="str">
        <f t="shared" si="11"/>
        <v>内部装修</v>
      </c>
      <c r="R43" s="676" t="s">
        <v>17</v>
      </c>
      <c r="S43" s="677">
        <f t="shared" si="12"/>
        <v>100</v>
      </c>
      <c r="T43" s="676" t="s">
        <v>17</v>
      </c>
      <c r="U43" s="677">
        <f t="shared" si="13"/>
        <v>100</v>
      </c>
      <c r="V43" s="676" t="s">
        <v>17</v>
      </c>
      <c r="W43" s="677">
        <f t="shared" si="14"/>
        <v>100</v>
      </c>
      <c r="X43" s="1394"/>
      <c r="Y43" s="3378"/>
      <c r="Z43" s="1393" t="str">
        <f t="shared" si="15"/>
        <v>内部装修</v>
      </c>
      <c r="AA43" s="1393">
        <f t="shared" si="3"/>
        <v>1</v>
      </c>
      <c r="AB43" s="1393">
        <f t="shared" si="4"/>
        <v>1</v>
      </c>
      <c r="AC43" s="1942">
        <f t="shared" si="5"/>
        <v>1</v>
      </c>
    </row>
    <row r="44" spans="1:29" ht="15">
      <c r="A44" s="417"/>
      <c r="B44" s="370" t="s">
        <v>2152</v>
      </c>
      <c r="C44" s="407"/>
      <c r="D44" s="382">
        <v>100</v>
      </c>
      <c r="E44" s="1890"/>
      <c r="F44" s="408">
        <f>SUMIF(125:125,E44,126:126)-SUMIF(125:125,C44,126:126)+100</f>
        <v>100</v>
      </c>
      <c r="G44" s="1890"/>
      <c r="H44" s="382">
        <f>SUMIF(125:125,G44,126:126)-SUMIF(125:125,C44,126:126)+100</f>
        <v>100</v>
      </c>
      <c r="I44" s="1890"/>
      <c r="J44" s="382">
        <f>SUMIF(125:125,I44,126:126)-SUMIF(125:125,C44,126:126)+100</f>
        <v>100</v>
      </c>
      <c r="K44" s="546"/>
      <c r="L44" s="2654"/>
      <c r="M44" s="2649"/>
      <c r="N44" s="2649"/>
      <c r="O44" s="2649"/>
      <c r="P44" s="3413"/>
      <c r="Q44" s="1392" t="str">
        <f t="shared" si="11"/>
        <v>内部装修维护情况</v>
      </c>
      <c r="R44" s="676" t="s">
        <v>17</v>
      </c>
      <c r="S44" s="677">
        <f t="shared" si="12"/>
        <v>100</v>
      </c>
      <c r="T44" s="676" t="s">
        <v>17</v>
      </c>
      <c r="U44" s="677">
        <f t="shared" si="13"/>
        <v>100</v>
      </c>
      <c r="V44" s="676" t="s">
        <v>17</v>
      </c>
      <c r="W44" s="677">
        <f t="shared" si="14"/>
        <v>100</v>
      </c>
      <c r="X44" s="1394"/>
      <c r="Y44" s="3378"/>
      <c r="Z44" s="1393" t="str">
        <f t="shared" si="15"/>
        <v>内部装修维护情况</v>
      </c>
      <c r="AA44" s="1393">
        <f t="shared" si="3"/>
        <v>1</v>
      </c>
      <c r="AB44" s="1393">
        <f t="shared" si="4"/>
        <v>1</v>
      </c>
      <c r="AC44" s="1942">
        <f t="shared" si="5"/>
        <v>1</v>
      </c>
    </row>
    <row r="45" spans="1:29" s="107" customFormat="1" ht="15">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0"/>
      <c r="M45" s="2603"/>
      <c r="N45" s="2603"/>
      <c r="O45" s="2603"/>
      <c r="P45" s="3413"/>
      <c r="Q45" s="538">
        <f t="shared" si="11"/>
        <v>111</v>
      </c>
      <c r="R45" s="673" t="s">
        <v>17</v>
      </c>
      <c r="S45" s="674">
        <f t="shared" si="12"/>
        <v>100</v>
      </c>
      <c r="T45" s="673" t="s">
        <v>17</v>
      </c>
      <c r="U45" s="674">
        <f t="shared" si="13"/>
        <v>100</v>
      </c>
      <c r="V45" s="673" t="s">
        <v>17</v>
      </c>
      <c r="W45" s="674">
        <f t="shared" si="14"/>
        <v>100</v>
      </c>
      <c r="X45" s="675"/>
      <c r="Y45" s="3378"/>
      <c r="Z45" s="53">
        <f t="shared" si="15"/>
        <v>111</v>
      </c>
      <c r="AA45" s="53">
        <f t="shared" si="3"/>
        <v>1</v>
      </c>
      <c r="AB45" s="53">
        <f t="shared" si="4"/>
        <v>1</v>
      </c>
      <c r="AC45" s="887">
        <f t="shared" si="5"/>
        <v>1</v>
      </c>
    </row>
    <row r="46" spans="1:29" ht="15">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4"/>
      <c r="M46" s="2649"/>
      <c r="N46" s="2649"/>
      <c r="O46" s="2649"/>
      <c r="P46" s="3413"/>
      <c r="Q46" s="1392">
        <f t="shared" si="11"/>
        <v>111</v>
      </c>
      <c r="R46" s="676" t="s">
        <v>17</v>
      </c>
      <c r="S46" s="677">
        <f t="shared" si="12"/>
        <v>100</v>
      </c>
      <c r="T46" s="676" t="s">
        <v>17</v>
      </c>
      <c r="U46" s="677">
        <f t="shared" si="13"/>
        <v>100</v>
      </c>
      <c r="V46" s="676" t="s">
        <v>17</v>
      </c>
      <c r="W46" s="677">
        <f t="shared" si="14"/>
        <v>100</v>
      </c>
      <c r="X46" s="1394"/>
      <c r="Y46" s="3378"/>
      <c r="Z46" s="1393">
        <f t="shared" si="15"/>
        <v>111</v>
      </c>
      <c r="AA46" s="1393">
        <f t="shared" si="3"/>
        <v>1</v>
      </c>
      <c r="AB46" s="1393">
        <f t="shared" si="4"/>
        <v>1</v>
      </c>
      <c r="AC46" s="1942">
        <f t="shared" si="5"/>
        <v>1</v>
      </c>
    </row>
    <row r="47" spans="1:29" ht="15.75" thickBot="1">
      <c r="A47" s="423"/>
      <c r="B47" s="1879">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4"/>
      <c r="M47" s="2649"/>
      <c r="N47" s="2649"/>
      <c r="O47" s="2649"/>
      <c r="P47" s="3414"/>
      <c r="Q47" s="1392">
        <f t="shared" si="11"/>
        <v>111</v>
      </c>
      <c r="R47" s="676" t="s">
        <v>17</v>
      </c>
      <c r="S47" s="677">
        <f t="shared" si="12"/>
        <v>100</v>
      </c>
      <c r="T47" s="676" t="s">
        <v>17</v>
      </c>
      <c r="U47" s="677">
        <f t="shared" si="13"/>
        <v>100</v>
      </c>
      <c r="V47" s="676" t="s">
        <v>17</v>
      </c>
      <c r="W47" s="677">
        <f t="shared" si="14"/>
        <v>100</v>
      </c>
      <c r="X47" s="1394"/>
      <c r="Y47" s="3415"/>
      <c r="Z47" s="1393">
        <f t="shared" si="15"/>
        <v>111</v>
      </c>
      <c r="AA47" s="1393">
        <f t="shared" si="3"/>
        <v>1</v>
      </c>
      <c r="AB47" s="1393">
        <f t="shared" si="4"/>
        <v>1</v>
      </c>
      <c r="AC47" s="1942">
        <f t="shared" si="5"/>
        <v>1</v>
      </c>
    </row>
    <row r="48" spans="1:29" ht="15">
      <c r="A48" s="424" t="s">
        <v>2153</v>
      </c>
      <c r="B48" s="425"/>
      <c r="C48" s="1191" t="s">
        <v>1</v>
      </c>
      <c r="D48" s="426"/>
      <c r="E48" s="427"/>
      <c r="F48" s="428"/>
      <c r="G48" s="429"/>
      <c r="H48" s="430"/>
      <c r="I48" s="427"/>
      <c r="J48" s="430"/>
      <c r="K48" s="683"/>
      <c r="L48" s="2656"/>
      <c r="M48" s="2649"/>
      <c r="N48" s="2649"/>
      <c r="O48" s="2649"/>
      <c r="P48" s="3384" t="str">
        <f>A48</f>
        <v>成交单价（元/平方米）</v>
      </c>
      <c r="Q48" s="3360"/>
      <c r="R48" s="3373">
        <f>E48</f>
        <v>0</v>
      </c>
      <c r="S48" s="3373"/>
      <c r="T48" s="3373">
        <f>G48</f>
        <v>0</v>
      </c>
      <c r="U48" s="3373"/>
      <c r="V48" s="3373">
        <f>I48</f>
        <v>0</v>
      </c>
      <c r="W48" s="3373"/>
      <c r="X48" s="393"/>
      <c r="Y48" s="682"/>
      <c r="Z48" s="393"/>
      <c r="AA48" s="393"/>
      <c r="AB48" s="393"/>
      <c r="AC48" s="563"/>
    </row>
    <row r="49" spans="1:29" ht="15.75" thickBot="1">
      <c r="A49" s="431" t="s">
        <v>2245</v>
      </c>
      <c r="B49" s="432"/>
      <c r="C49" s="1192" t="e">
        <f>R50</f>
        <v>#DIV/0!</v>
      </c>
      <c r="D49" s="2301" t="s">
        <v>2634</v>
      </c>
      <c r="E49" s="1193" t="e">
        <f>R49</f>
        <v>#DIV/0!</v>
      </c>
      <c r="F49" s="2302"/>
      <c r="G49" s="1192" t="e">
        <f>T49</f>
        <v>#DIV/0!</v>
      </c>
      <c r="H49" s="2302"/>
      <c r="I49" s="1193" t="e">
        <f>V49</f>
        <v>#DIV/0!</v>
      </c>
      <c r="J49" s="2302"/>
      <c r="K49" s="2304">
        <f>F49+H49+J49</f>
        <v>0</v>
      </c>
      <c r="L49" s="2656"/>
      <c r="M49" s="2649"/>
      <c r="N49" s="2649"/>
      <c r="O49" s="2649"/>
      <c r="P49" s="3384" t="str">
        <f>A49</f>
        <v>比较价值（元/平方米）</v>
      </c>
      <c r="Q49" s="3360"/>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93"/>
      <c r="Y49" s="393"/>
      <c r="Z49" s="393"/>
      <c r="AA49" s="393"/>
      <c r="AB49" s="393"/>
      <c r="AC49" s="563"/>
    </row>
    <row r="50" spans="1:29" ht="15.75" thickBot="1">
      <c r="A50" s="435" t="s">
        <v>2246</v>
      </c>
      <c r="B50" s="436"/>
      <c r="C50" s="357" t="e">
        <f>R50</f>
        <v>#DIV/0!</v>
      </c>
      <c r="D50" s="357"/>
      <c r="E50" s="357"/>
      <c r="F50" s="357"/>
      <c r="G50" s="357"/>
      <c r="H50" s="357"/>
      <c r="I50" s="357"/>
      <c r="J50" s="437"/>
      <c r="K50" s="684"/>
      <c r="L50" s="2656"/>
      <c r="M50" s="2649"/>
      <c r="N50" s="2649"/>
      <c r="O50" s="2649"/>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928"/>
      <c r="Y50" s="1928"/>
      <c r="Z50" s="1928"/>
      <c r="AA50" s="1928"/>
      <c r="AB50" s="1928"/>
      <c r="AC50" s="1929"/>
    </row>
    <row r="51" spans="1:29">
      <c r="A51" s="2649"/>
      <c r="B51" s="2649"/>
      <c r="C51" s="2649"/>
      <c r="D51" s="2649"/>
      <c r="E51" s="2649"/>
      <c r="F51" s="2649"/>
      <c r="G51" s="2660"/>
      <c r="H51" s="2649"/>
      <c r="I51" s="2649"/>
      <c r="J51" s="2649"/>
      <c r="K51" s="2661"/>
      <c r="L51" s="2657"/>
      <c r="M51" s="2649"/>
      <c r="N51" s="2649"/>
      <c r="O51" s="2649"/>
      <c r="P51" s="2686"/>
      <c r="Q51" s="2649"/>
      <c r="R51" s="2649"/>
      <c r="S51" s="2649"/>
      <c r="T51" s="2649"/>
      <c r="U51" s="2649"/>
      <c r="V51" s="2649"/>
      <c r="W51" s="2649"/>
      <c r="X51" s="2649"/>
      <c r="Y51" s="2649"/>
      <c r="Z51" s="2649"/>
      <c r="AA51" s="2649"/>
      <c r="AB51" s="2649"/>
      <c r="AC51" s="2649"/>
    </row>
    <row r="52" spans="1:29">
      <c r="A52" s="2649"/>
      <c r="B52" s="2649"/>
      <c r="C52" s="2649"/>
      <c r="D52" s="2649"/>
      <c r="E52" s="2649"/>
      <c r="F52" s="2649"/>
      <c r="G52" s="2649"/>
      <c r="H52" s="2649"/>
      <c r="I52" s="2649"/>
      <c r="J52" s="2649"/>
      <c r="K52" s="2661"/>
      <c r="L52" s="2657"/>
      <c r="M52" s="2649"/>
      <c r="N52" s="2649"/>
      <c r="O52" s="2649"/>
      <c r="P52" s="2686"/>
      <c r="Q52" s="2649"/>
      <c r="R52" s="2649"/>
      <c r="S52" s="2649"/>
      <c r="T52" s="2649"/>
      <c r="U52" s="2649"/>
      <c r="V52" s="2649"/>
      <c r="W52" s="2649"/>
      <c r="X52" s="2649"/>
      <c r="Y52" s="2649"/>
      <c r="Z52" s="2649"/>
      <c r="AA52" s="2649"/>
      <c r="AB52" s="2649"/>
      <c r="AC52" s="2649"/>
    </row>
    <row r="53" spans="1:29" ht="13.5" customHeight="1">
      <c r="A53" s="2649"/>
      <c r="B53" s="2649"/>
      <c r="C53" s="440" t="s">
        <v>2247</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1"/>
      <c r="L53" s="2657"/>
      <c r="M53" s="2649"/>
      <c r="N53" s="2649"/>
      <c r="O53" s="2649"/>
      <c r="P53" s="2686"/>
      <c r="Q53" s="2649"/>
      <c r="R53" s="2649"/>
      <c r="S53" s="2649"/>
      <c r="T53" s="2649"/>
      <c r="U53" s="2649"/>
      <c r="V53" s="2649"/>
      <c r="W53" s="2649"/>
      <c r="X53" s="2649"/>
      <c r="Y53" s="2649"/>
      <c r="Z53" s="2649"/>
      <c r="AA53" s="2649"/>
      <c r="AB53" s="2649"/>
      <c r="AC53" s="2649"/>
    </row>
    <row r="54" spans="1:29" ht="13.5" customHeight="1">
      <c r="A54" s="2649"/>
      <c r="B54" s="2649"/>
      <c r="C54" s="440" t="s">
        <v>2248</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1"/>
      <c r="L54" s="2657"/>
      <c r="M54" s="2649"/>
      <c r="N54" s="2649"/>
      <c r="O54" s="2649"/>
      <c r="P54" s="2686"/>
      <c r="Q54" s="2649"/>
      <c r="R54" s="2649"/>
      <c r="S54" s="2649"/>
      <c r="T54" s="2649"/>
      <c r="U54" s="2649"/>
      <c r="V54" s="2649"/>
      <c r="W54" s="2649"/>
      <c r="X54" s="2649"/>
      <c r="Y54" s="2649"/>
      <c r="Z54" s="2649"/>
      <c r="AA54" s="2649"/>
      <c r="AB54" s="2649"/>
      <c r="AC54" s="2649"/>
    </row>
    <row r="55" spans="1:29" s="445" customFormat="1" ht="13.5" customHeight="1">
      <c r="A55" s="2659"/>
      <c r="B55" s="2659"/>
      <c r="C55" s="440" t="s">
        <v>2249</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4"/>
      <c r="L55" s="2658"/>
      <c r="M55" s="2659"/>
      <c r="N55" s="2659"/>
      <c r="O55" s="2659"/>
      <c r="P55" s="2687"/>
      <c r="Q55" s="2659"/>
      <c r="R55" s="2659"/>
      <c r="S55" s="2659"/>
      <c r="T55" s="2659"/>
      <c r="U55" s="2659"/>
      <c r="V55" s="2659"/>
      <c r="W55" s="2659"/>
      <c r="X55" s="2659"/>
      <c r="Y55" s="2659"/>
      <c r="Z55" s="2659"/>
      <c r="AA55" s="2659"/>
      <c r="AB55" s="2659"/>
      <c r="AC55" s="2659"/>
    </row>
    <row r="56" spans="1:29" s="445" customFormat="1">
      <c r="A56" s="2659"/>
      <c r="B56" s="2662"/>
      <c r="C56" s="2663"/>
      <c r="D56" s="2659"/>
      <c r="E56" s="2659"/>
      <c r="F56" s="2659"/>
      <c r="G56" s="2659"/>
      <c r="H56" s="2659"/>
      <c r="I56" s="2659"/>
      <c r="J56" s="2659"/>
      <c r="K56" s="2664"/>
      <c r="L56" s="2658"/>
      <c r="M56" s="2659"/>
      <c r="N56" s="2659"/>
      <c r="O56" s="2659"/>
      <c r="P56" s="2687"/>
      <c r="Q56" s="2659"/>
      <c r="R56" s="2659"/>
      <c r="S56" s="2659"/>
      <c r="T56" s="2659"/>
      <c r="U56" s="2659"/>
      <c r="V56" s="2659"/>
      <c r="W56" s="2659"/>
      <c r="X56" s="2659"/>
      <c r="Y56" s="2659"/>
      <c r="Z56" s="2659"/>
      <c r="AA56" s="2659"/>
      <c r="AB56" s="2659"/>
      <c r="AC56" s="2659"/>
    </row>
    <row r="57" spans="1:29">
      <c r="A57" s="2649"/>
      <c r="B57" s="2662"/>
      <c r="C57" s="2663"/>
      <c r="D57" s="2649"/>
      <c r="E57" s="2649"/>
      <c r="F57" s="2649"/>
      <c r="G57" s="2649"/>
      <c r="H57" s="2649"/>
      <c r="I57" s="2649"/>
      <c r="J57" s="2649"/>
      <c r="K57" s="2661"/>
      <c r="L57" s="2657"/>
      <c r="M57" s="2649"/>
      <c r="N57" s="2649"/>
      <c r="O57" s="2649"/>
      <c r="P57" s="2686"/>
      <c r="Q57" s="2649"/>
      <c r="R57" s="2649"/>
      <c r="S57" s="2649"/>
      <c r="T57" s="2649"/>
      <c r="U57" s="2649"/>
      <c r="V57" s="2649"/>
      <c r="W57" s="2649"/>
      <c r="X57" s="2649"/>
      <c r="Y57" s="2649"/>
      <c r="Z57" s="2649"/>
      <c r="AA57" s="2649"/>
      <c r="AB57" s="2649"/>
      <c r="AC57" s="2649"/>
    </row>
    <row r="58" spans="1:29" ht="21.75" thickBot="1">
      <c r="A58" s="667" t="s">
        <v>2250</v>
      </c>
      <c r="B58" s="393"/>
      <c r="C58" s="668"/>
      <c r="D58" s="668"/>
      <c r="E58" s="668"/>
      <c r="F58" s="669"/>
      <c r="G58" s="669"/>
      <c r="H58" s="668"/>
      <c r="I58" s="668"/>
      <c r="J58" s="668"/>
      <c r="K58" s="670"/>
      <c r="L58" s="995"/>
      <c r="M58" s="993"/>
      <c r="N58" s="2699"/>
      <c r="O58" s="2699"/>
      <c r="P58" s="2688"/>
      <c r="Q58" s="2670"/>
      <c r="R58" s="2649"/>
      <c r="S58" s="2649"/>
      <c r="T58" s="2649"/>
      <c r="U58" s="2649"/>
      <c r="V58" s="2649"/>
      <c r="W58" s="2649"/>
      <c r="X58" s="2649"/>
      <c r="Y58" s="2649"/>
      <c r="Z58" s="2649"/>
      <c r="AA58" s="2649"/>
      <c r="AB58" s="2649"/>
      <c r="AC58" s="2649"/>
    </row>
    <row r="59" spans="1:29" s="450" customFormat="1" ht="15">
      <c r="A59" s="448" t="s">
        <v>2124</v>
      </c>
      <c r="B59" s="449"/>
      <c r="C59" s="1213" t="str">
        <f>YEAR(C7)&amp;"-"&amp;MONTH(C7)</f>
        <v>2022-11</v>
      </c>
      <c r="D59" s="1214">
        <f>EDATE(C59,-1)</f>
        <v>44835</v>
      </c>
      <c r="E59" s="1214">
        <f>EDATE(D59,-1)</f>
        <v>44805</v>
      </c>
      <c r="F59" s="1214">
        <f t="shared" ref="F59:O59" si="16">EDATE(E59,-1)</f>
        <v>44774</v>
      </c>
      <c r="G59" s="1214">
        <f t="shared" si="16"/>
        <v>44743</v>
      </c>
      <c r="H59" s="1214">
        <f t="shared" si="16"/>
        <v>44713</v>
      </c>
      <c r="I59" s="1214">
        <f t="shared" si="16"/>
        <v>44682</v>
      </c>
      <c r="J59" s="1214">
        <f t="shared" si="16"/>
        <v>44652</v>
      </c>
      <c r="K59" s="1214">
        <f t="shared" si="16"/>
        <v>44621</v>
      </c>
      <c r="L59" s="1214">
        <f t="shared" si="16"/>
        <v>44593</v>
      </c>
      <c r="M59" s="1214">
        <f t="shared" si="16"/>
        <v>44562</v>
      </c>
      <c r="N59" s="1214">
        <f t="shared" si="16"/>
        <v>44531</v>
      </c>
      <c r="O59" s="1214">
        <f t="shared" si="16"/>
        <v>44501</v>
      </c>
      <c r="P59" s="2689"/>
      <c r="Q59" s="2672"/>
      <c r="R59" s="2672"/>
      <c r="S59" s="2672"/>
      <c r="T59" s="2672"/>
      <c r="U59" s="2672"/>
      <c r="V59" s="2672"/>
      <c r="W59" s="2672"/>
      <c r="X59" s="2672"/>
      <c r="Y59" s="2672"/>
      <c r="Z59" s="2672"/>
      <c r="AA59" s="2672"/>
      <c r="AB59" s="2672"/>
      <c r="AC59" s="2672"/>
    </row>
    <row r="60" spans="1:29" s="107" customFormat="1" ht="15">
      <c r="A60" s="451"/>
      <c r="B60" s="452"/>
      <c r="C60" s="1212">
        <v>100</v>
      </c>
      <c r="D60" s="454"/>
      <c r="E60" s="454"/>
      <c r="F60" s="454"/>
      <c r="G60" s="454"/>
      <c r="H60" s="454"/>
      <c r="I60" s="454"/>
      <c r="J60" s="454"/>
      <c r="K60" s="454"/>
      <c r="L60" s="454"/>
      <c r="M60" s="455"/>
      <c r="N60" s="454"/>
      <c r="O60" s="455"/>
      <c r="P60" s="2690"/>
      <c r="Q60" s="2603"/>
      <c r="R60" s="2603"/>
      <c r="S60" s="2603"/>
      <c r="T60" s="2603"/>
      <c r="U60" s="2603"/>
      <c r="V60" s="2603"/>
      <c r="W60" s="2603"/>
      <c r="X60" s="2603"/>
      <c r="Y60" s="2603"/>
      <c r="Z60" s="2603"/>
      <c r="AA60" s="2603"/>
      <c r="AB60" s="2603"/>
      <c r="AC60" s="2603"/>
    </row>
    <row r="61" spans="1:29" s="107" customFormat="1" ht="15.75" thickBot="1">
      <c r="A61" s="457" t="s">
        <v>2161</v>
      </c>
      <c r="B61" s="458"/>
      <c r="C61" s="459"/>
      <c r="D61" s="460"/>
      <c r="E61" s="460"/>
      <c r="F61" s="460"/>
      <c r="G61" s="460"/>
      <c r="H61" s="460"/>
      <c r="I61" s="460"/>
      <c r="J61" s="460"/>
      <c r="K61" s="460"/>
      <c r="L61" s="460"/>
      <c r="M61" s="461"/>
      <c r="N61" s="460"/>
      <c r="O61" s="461"/>
      <c r="P61" s="2690"/>
      <c r="Q61" s="2670"/>
      <c r="R61" s="2603"/>
      <c r="S61" s="2603"/>
      <c r="T61" s="2603"/>
      <c r="U61" s="2603"/>
      <c r="V61" s="2603"/>
      <c r="W61" s="2603"/>
      <c r="X61" s="2603"/>
      <c r="Y61" s="2603"/>
      <c r="Z61" s="2603"/>
      <c r="AA61" s="2603"/>
      <c r="AB61" s="2603"/>
      <c r="AC61" s="2603"/>
    </row>
    <row r="62" spans="1:29" s="107" customFormat="1" ht="15">
      <c r="A62" s="463" t="s">
        <v>2126</v>
      </c>
      <c r="B62" s="452"/>
      <c r="C62" s="464" t="s">
        <v>2228</v>
      </c>
      <c r="D62" s="34"/>
      <c r="E62" s="34"/>
      <c r="F62" s="34"/>
      <c r="G62" s="34"/>
      <c r="H62" s="34"/>
      <c r="I62" s="34"/>
      <c r="J62" s="34"/>
      <c r="K62" s="34"/>
      <c r="L62" s="465"/>
      <c r="M62" s="466"/>
      <c r="N62" s="2682"/>
      <c r="O62" s="2682"/>
      <c r="P62" s="2691"/>
      <c r="Q62" s="2670"/>
      <c r="R62" s="2603"/>
      <c r="S62" s="2603"/>
      <c r="T62" s="2603"/>
      <c r="U62" s="2603"/>
      <c r="V62" s="2603"/>
      <c r="W62" s="2603"/>
      <c r="X62" s="2603"/>
      <c r="Y62" s="2603"/>
      <c r="Z62" s="2603"/>
      <c r="AA62" s="2603"/>
      <c r="AB62" s="2603"/>
      <c r="AC62" s="2603"/>
    </row>
    <row r="63" spans="1:29" s="107" customFormat="1" ht="15.75" thickBot="1">
      <c r="A63" s="463"/>
      <c r="B63" s="452"/>
      <c r="C63" s="453">
        <v>100</v>
      </c>
      <c r="D63" s="454"/>
      <c r="E63" s="454"/>
      <c r="F63" s="454"/>
      <c r="G63" s="454"/>
      <c r="H63" s="454"/>
      <c r="I63" s="454"/>
      <c r="J63" s="454"/>
      <c r="K63" s="454"/>
      <c r="L63" s="454"/>
      <c r="M63" s="456"/>
      <c r="N63" s="2682"/>
      <c r="O63" s="2682"/>
      <c r="P63" s="2690"/>
      <c r="Q63" s="2670"/>
      <c r="R63" s="2603"/>
      <c r="S63" s="2603"/>
      <c r="T63" s="2603"/>
      <c r="U63" s="2603"/>
      <c r="V63" s="2603"/>
      <c r="W63" s="2603"/>
      <c r="X63" s="2603"/>
      <c r="Y63" s="2603"/>
      <c r="Z63" s="2603"/>
      <c r="AA63" s="2603"/>
      <c r="AB63" s="2603"/>
      <c r="AC63" s="2603"/>
    </row>
    <row r="64" spans="1:29">
      <c r="A64" s="387" t="s">
        <v>2164</v>
      </c>
      <c r="B64" s="468" t="s">
        <v>2130</v>
      </c>
      <c r="C64" s="469">
        <f>C9</f>
        <v>0</v>
      </c>
      <c r="D64" s="470"/>
      <c r="E64" s="470"/>
      <c r="F64" s="470"/>
      <c r="G64" s="470"/>
      <c r="H64" s="470"/>
      <c r="I64" s="470"/>
      <c r="J64" s="470"/>
      <c r="K64" s="471"/>
      <c r="L64" s="472"/>
      <c r="M64" s="473"/>
      <c r="N64" s="2683"/>
      <c r="O64" s="2683"/>
      <c r="P64" s="2692"/>
      <c r="Q64" s="2670"/>
      <c r="R64" s="2649"/>
      <c r="S64" s="2649"/>
      <c r="T64" s="2649"/>
      <c r="U64" s="2649"/>
      <c r="V64" s="2649"/>
      <c r="W64" s="2649"/>
      <c r="X64" s="2649"/>
      <c r="Y64" s="2649"/>
      <c r="Z64" s="2649"/>
      <c r="AA64" s="2649"/>
      <c r="AB64" s="2649"/>
      <c r="AC64" s="2649"/>
    </row>
    <row r="65" spans="1:29" ht="15.75" thickBot="1">
      <c r="A65" s="375"/>
      <c r="B65" s="474"/>
      <c r="C65" s="475">
        <v>100</v>
      </c>
      <c r="D65" s="475"/>
      <c r="E65" s="475"/>
      <c r="F65" s="475"/>
      <c r="G65" s="475"/>
      <c r="H65" s="475"/>
      <c r="I65" s="475"/>
      <c r="J65" s="475"/>
      <c r="K65" s="475"/>
      <c r="L65" s="475"/>
      <c r="M65" s="476"/>
      <c r="N65" s="2684"/>
      <c r="O65" s="2684"/>
      <c r="P65" s="2692"/>
      <c r="Q65" s="2670"/>
      <c r="R65" s="2649"/>
      <c r="S65" s="2649"/>
      <c r="T65" s="2649"/>
      <c r="U65" s="2649"/>
      <c r="V65" s="2649"/>
      <c r="W65" s="2649"/>
      <c r="X65" s="2649"/>
      <c r="Y65" s="2649"/>
      <c r="Z65" s="2649"/>
      <c r="AA65" s="2649"/>
      <c r="AB65" s="2649"/>
      <c r="AC65" s="2649"/>
    </row>
    <row r="66" spans="1:29" ht="27.75" thickTop="1">
      <c r="A66" s="375"/>
      <c r="B66" s="477" t="s">
        <v>2133</v>
      </c>
      <c r="C66" s="478" t="s">
        <v>2165</v>
      </c>
      <c r="D66" s="478" t="s">
        <v>2166</v>
      </c>
      <c r="E66" s="478" t="s">
        <v>2167</v>
      </c>
      <c r="F66" s="478" t="s">
        <v>2168</v>
      </c>
      <c r="G66" s="478" t="s">
        <v>2169</v>
      </c>
      <c r="H66" s="478" t="s">
        <v>2170</v>
      </c>
      <c r="I66" s="478" t="s">
        <v>2171</v>
      </c>
      <c r="J66" s="478"/>
      <c r="K66" s="479"/>
      <c r="L66" s="480"/>
      <c r="M66" s="481"/>
      <c r="N66" s="2683"/>
      <c r="O66" s="2683"/>
      <c r="P66" s="2692"/>
      <c r="Q66" s="2670"/>
      <c r="R66" s="2649"/>
      <c r="S66" s="2649"/>
      <c r="T66" s="2649"/>
      <c r="U66" s="2649"/>
      <c r="V66" s="2649"/>
      <c r="W66" s="2649"/>
      <c r="X66" s="2649"/>
      <c r="Y66" s="2649"/>
      <c r="Z66" s="2649"/>
      <c r="AA66" s="2649"/>
      <c r="AB66" s="2649"/>
      <c r="AC66" s="2649"/>
    </row>
    <row r="67" spans="1:29" ht="15.75" thickBot="1">
      <c r="A67" s="375"/>
      <c r="B67" s="482"/>
      <c r="C67" s="483" t="s">
        <v>24</v>
      </c>
      <c r="D67" s="483" t="s">
        <v>25</v>
      </c>
      <c r="E67" s="483">
        <v>100</v>
      </c>
      <c r="F67" s="483">
        <f>E67-$K10</f>
        <v>100</v>
      </c>
      <c r="G67" s="483">
        <f>F67-$K10</f>
        <v>100</v>
      </c>
      <c r="H67" s="483">
        <f>G67-$K10</f>
        <v>100</v>
      </c>
      <c r="I67" s="483">
        <f>H67-$K10</f>
        <v>100</v>
      </c>
      <c r="J67" s="483"/>
      <c r="K67" s="483"/>
      <c r="L67" s="483"/>
      <c r="M67" s="484"/>
      <c r="N67" s="2684"/>
      <c r="O67" s="2684"/>
      <c r="P67" s="2692"/>
      <c r="Q67" s="2670"/>
      <c r="R67" s="2649"/>
      <c r="S67" s="2649"/>
      <c r="T67" s="2649"/>
      <c r="U67" s="2649"/>
      <c r="V67" s="2649"/>
      <c r="W67" s="2649"/>
      <c r="X67" s="2649"/>
      <c r="Y67" s="2649"/>
      <c r="Z67" s="2649"/>
      <c r="AA67" s="2649"/>
      <c r="AB67" s="2649"/>
      <c r="AC67" s="2649"/>
    </row>
    <row r="68" spans="1:29" ht="15.75" thickTop="1">
      <c r="A68" s="375"/>
      <c r="B68" s="485" t="s">
        <v>2134</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4"/>
      <c r="O68" s="2684"/>
      <c r="P68" s="2692"/>
      <c r="Q68" s="2670"/>
      <c r="R68" s="2649"/>
      <c r="S68" s="2649"/>
      <c r="T68" s="2649"/>
      <c r="U68" s="2649"/>
      <c r="V68" s="2649"/>
      <c r="W68" s="2649"/>
      <c r="X68" s="2649"/>
      <c r="Y68" s="2649"/>
      <c r="Z68" s="2649"/>
      <c r="AA68" s="2649"/>
      <c r="AB68" s="2649"/>
      <c r="AC68" s="2649"/>
    </row>
    <row r="69" spans="1:29" ht="15">
      <c r="A69" s="375"/>
      <c r="B69" s="487"/>
      <c r="C69" s="488"/>
      <c r="D69" s="488"/>
      <c r="E69" s="488"/>
      <c r="F69" s="488"/>
      <c r="G69" s="488"/>
      <c r="H69" s="488"/>
      <c r="I69" s="488"/>
      <c r="J69" s="488"/>
      <c r="K69" s="489"/>
      <c r="L69" s="490"/>
      <c r="M69" s="491"/>
      <c r="N69" s="2683"/>
      <c r="O69" s="2683"/>
      <c r="P69" s="2692"/>
      <c r="Q69" s="2670"/>
      <c r="R69" s="2649"/>
      <c r="S69" s="2649"/>
      <c r="T69" s="2649"/>
      <c r="U69" s="2649"/>
      <c r="V69" s="2649"/>
      <c r="W69" s="2649"/>
      <c r="X69" s="2649"/>
      <c r="Y69" s="2649"/>
      <c r="Z69" s="2649"/>
      <c r="AA69" s="2649"/>
      <c r="AB69" s="2649"/>
      <c r="AC69" s="2649"/>
    </row>
    <row r="70" spans="1:29" ht="15.7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84"/>
      <c r="O70" s="2684"/>
      <c r="P70" s="2692"/>
      <c r="Q70" s="2670"/>
      <c r="R70" s="2649"/>
      <c r="S70" s="2649"/>
      <c r="T70" s="2649"/>
      <c r="U70" s="2649"/>
      <c r="V70" s="2649"/>
      <c r="W70" s="2649"/>
      <c r="X70" s="2649"/>
      <c r="Y70" s="2649"/>
      <c r="Z70" s="2649"/>
      <c r="AA70" s="2649"/>
      <c r="AB70" s="2649"/>
      <c r="AC70" s="2649"/>
    </row>
    <row r="71" spans="1:29" s="416" customFormat="1" ht="15.75" thickTop="1">
      <c r="A71" s="492"/>
      <c r="B71" s="477">
        <f>B12</f>
        <v>111</v>
      </c>
      <c r="C71" s="493"/>
      <c r="D71" s="493"/>
      <c r="E71" s="493"/>
      <c r="F71" s="493"/>
      <c r="G71" s="493"/>
      <c r="H71" s="494"/>
      <c r="I71" s="494"/>
      <c r="J71" s="494"/>
      <c r="K71" s="494"/>
      <c r="L71" s="495"/>
      <c r="M71" s="496"/>
      <c r="N71" s="2685"/>
      <c r="O71" s="2685"/>
      <c r="P71" s="2693"/>
      <c r="Q71" s="2677"/>
      <c r="R71" s="2655"/>
      <c r="S71" s="2655"/>
      <c r="T71" s="2655"/>
      <c r="U71" s="2655"/>
      <c r="V71" s="2655"/>
      <c r="W71" s="2655"/>
      <c r="X71" s="2655"/>
      <c r="Y71" s="2655"/>
      <c r="Z71" s="2655"/>
      <c r="AA71" s="2655"/>
      <c r="AB71" s="2655"/>
      <c r="AC71" s="2655"/>
    </row>
    <row r="72" spans="1:29" s="416" customFormat="1" ht="15.75" thickBot="1">
      <c r="A72" s="492"/>
      <c r="B72" s="482"/>
      <c r="C72" s="499"/>
      <c r="D72" s="475"/>
      <c r="E72" s="475"/>
      <c r="F72" s="475"/>
      <c r="G72" s="475"/>
      <c r="H72" s="475"/>
      <c r="I72" s="475"/>
      <c r="J72" s="475"/>
      <c r="K72" s="475"/>
      <c r="L72" s="475"/>
      <c r="M72" s="476"/>
      <c r="N72" s="2684"/>
      <c r="O72" s="2684"/>
      <c r="P72" s="2693"/>
      <c r="Q72" s="2677"/>
      <c r="R72" s="2655"/>
      <c r="S72" s="2655"/>
      <c r="T72" s="2655"/>
      <c r="U72" s="2655"/>
      <c r="V72" s="2655"/>
      <c r="W72" s="2655"/>
      <c r="X72" s="2655"/>
      <c r="Y72" s="2655"/>
      <c r="Z72" s="2655"/>
      <c r="AA72" s="2655"/>
      <c r="AB72" s="2655"/>
      <c r="AC72" s="2655"/>
    </row>
    <row r="73" spans="1:29" s="416" customFormat="1" ht="15.75" thickTop="1">
      <c r="A73" s="492"/>
      <c r="B73" s="477">
        <f>B13</f>
        <v>111</v>
      </c>
      <c r="C73" s="493"/>
      <c r="D73" s="493"/>
      <c r="E73" s="493"/>
      <c r="F73" s="493"/>
      <c r="G73" s="493"/>
      <c r="H73" s="494"/>
      <c r="I73" s="494"/>
      <c r="J73" s="494"/>
      <c r="K73" s="494"/>
      <c r="L73" s="495"/>
      <c r="M73" s="496"/>
      <c r="N73" s="2685"/>
      <c r="O73" s="2685"/>
      <c r="P73" s="2694"/>
      <c r="Q73" s="2679"/>
      <c r="R73" s="2655"/>
      <c r="S73" s="2655"/>
      <c r="T73" s="2655"/>
      <c r="U73" s="2655"/>
      <c r="V73" s="2655"/>
      <c r="W73" s="2655"/>
      <c r="X73" s="2655"/>
      <c r="Y73" s="2655"/>
      <c r="Z73" s="2655"/>
      <c r="AA73" s="2655"/>
      <c r="AB73" s="2655"/>
      <c r="AC73" s="2655"/>
    </row>
    <row r="74" spans="1:29" s="416" customFormat="1" ht="15.75" thickBot="1">
      <c r="A74" s="492"/>
      <c r="B74" s="482"/>
      <c r="C74" s="499"/>
      <c r="D74" s="499"/>
      <c r="E74" s="499"/>
      <c r="F74" s="499"/>
      <c r="G74" s="499"/>
      <c r="H74" s="501"/>
      <c r="I74" s="501"/>
      <c r="J74" s="501"/>
      <c r="K74" s="501"/>
      <c r="L74" s="501"/>
      <c r="M74" s="502"/>
      <c r="N74" s="2685"/>
      <c r="O74" s="2685"/>
      <c r="P74" s="2693"/>
      <c r="Q74" s="2677"/>
      <c r="R74" s="2655"/>
      <c r="S74" s="2655"/>
      <c r="T74" s="2655"/>
      <c r="U74" s="2655"/>
      <c r="V74" s="2655"/>
      <c r="W74" s="2655"/>
      <c r="X74" s="2655"/>
      <c r="Y74" s="2655"/>
      <c r="Z74" s="2655"/>
      <c r="AA74" s="2655"/>
      <c r="AB74" s="2655"/>
      <c r="AC74" s="2655"/>
    </row>
    <row r="75" spans="1:29" s="416" customFormat="1" ht="15.75" thickTop="1">
      <c r="A75" s="492"/>
      <c r="B75" s="485">
        <f>B14</f>
        <v>111</v>
      </c>
      <c r="C75" s="34"/>
      <c r="D75" s="34"/>
      <c r="E75" s="34"/>
      <c r="F75" s="34"/>
      <c r="G75" s="34"/>
      <c r="H75" s="503"/>
      <c r="I75" s="503"/>
      <c r="J75" s="503"/>
      <c r="K75" s="503"/>
      <c r="L75" s="504"/>
      <c r="M75" s="505"/>
      <c r="N75" s="2685"/>
      <c r="O75" s="2685"/>
      <c r="P75" s="2695"/>
      <c r="Q75" s="2677"/>
      <c r="R75" s="2655"/>
      <c r="S75" s="2655"/>
      <c r="T75" s="2655"/>
      <c r="U75" s="2655"/>
      <c r="V75" s="2655"/>
      <c r="W75" s="2655"/>
      <c r="X75" s="2655"/>
      <c r="Y75" s="2655"/>
      <c r="Z75" s="2655"/>
      <c r="AA75" s="2655"/>
      <c r="AB75" s="2655"/>
      <c r="AC75" s="2655"/>
    </row>
    <row r="76" spans="1:29" s="416" customFormat="1" ht="15.75" thickBot="1">
      <c r="A76" s="507"/>
      <c r="B76" s="508"/>
      <c r="C76" s="509"/>
      <c r="D76" s="509"/>
      <c r="E76" s="509"/>
      <c r="F76" s="509"/>
      <c r="G76" s="509"/>
      <c r="H76" s="510"/>
      <c r="I76" s="510"/>
      <c r="J76" s="510"/>
      <c r="K76" s="510"/>
      <c r="L76" s="510"/>
      <c r="M76" s="511"/>
      <c r="N76" s="2685"/>
      <c r="O76" s="2685"/>
      <c r="P76" s="2693"/>
      <c r="Q76" s="2677"/>
      <c r="R76" s="2655"/>
      <c r="S76" s="2655"/>
      <c r="T76" s="2655"/>
      <c r="U76" s="2655"/>
      <c r="V76" s="2655"/>
      <c r="W76" s="2655"/>
      <c r="X76" s="2655"/>
      <c r="Y76" s="2655"/>
      <c r="Z76" s="2655"/>
      <c r="AA76" s="2655"/>
      <c r="AB76" s="2655"/>
      <c r="AC76" s="2655"/>
    </row>
    <row r="77" spans="1:29">
      <c r="A77" s="387" t="s">
        <v>2135</v>
      </c>
      <c r="B77" s="468" t="s">
        <v>2273</v>
      </c>
      <c r="C77" s="512" t="s">
        <v>2173</v>
      </c>
      <c r="D77" s="512" t="s">
        <v>2174</v>
      </c>
      <c r="E77" s="512" t="s">
        <v>2175</v>
      </c>
      <c r="F77" s="512" t="s">
        <v>2176</v>
      </c>
      <c r="G77" s="512" t="s">
        <v>2177</v>
      </c>
      <c r="H77" s="469"/>
      <c r="I77" s="469"/>
      <c r="J77" s="469"/>
      <c r="K77" s="513"/>
      <c r="L77" s="514"/>
      <c r="M77" s="515"/>
      <c r="N77" s="2683"/>
      <c r="O77" s="2683"/>
      <c r="P77" s="2696"/>
      <c r="Q77" s="2670"/>
      <c r="R77" s="2649"/>
      <c r="S77" s="2649"/>
      <c r="T77" s="2649"/>
      <c r="U77" s="2649"/>
      <c r="V77" s="2649"/>
      <c r="W77" s="2649"/>
      <c r="X77" s="2649"/>
      <c r="Y77" s="2649"/>
      <c r="Z77" s="2649"/>
      <c r="AA77" s="2649"/>
      <c r="AB77" s="2649"/>
      <c r="AC77" s="2649"/>
    </row>
    <row r="78" spans="1:29" ht="15.75" thickBot="1">
      <c r="A78" s="375"/>
      <c r="B78" s="482"/>
      <c r="C78" s="483">
        <v>100</v>
      </c>
      <c r="D78" s="483">
        <f>C78-$K15</f>
        <v>100</v>
      </c>
      <c r="E78" s="483">
        <f>D78-$K15</f>
        <v>100</v>
      </c>
      <c r="F78" s="483">
        <f>E78-$K15</f>
        <v>100</v>
      </c>
      <c r="G78" s="483">
        <f>F78-$K15</f>
        <v>100</v>
      </c>
      <c r="H78" s="483"/>
      <c r="I78" s="483"/>
      <c r="J78" s="483"/>
      <c r="K78" s="483"/>
      <c r="L78" s="483"/>
      <c r="M78" s="484"/>
      <c r="N78" s="2684"/>
      <c r="O78" s="2684"/>
      <c r="P78" s="2692"/>
      <c r="Q78" s="2670"/>
      <c r="R78" s="2649"/>
      <c r="S78" s="2649"/>
      <c r="T78" s="2649"/>
      <c r="U78" s="2649"/>
      <c r="V78" s="2649"/>
      <c r="W78" s="2649"/>
      <c r="X78" s="2649"/>
      <c r="Y78" s="2649"/>
      <c r="Z78" s="2649"/>
      <c r="AA78" s="2649"/>
      <c r="AB78" s="2649"/>
      <c r="AC78" s="2649"/>
    </row>
    <row r="79" spans="1:29" ht="15.75" thickTop="1">
      <c r="A79" s="375"/>
      <c r="B79" s="477" t="s">
        <v>2178</v>
      </c>
      <c r="C79" s="517" t="s">
        <v>2173</v>
      </c>
      <c r="D79" s="517" t="s">
        <v>2174</v>
      </c>
      <c r="E79" s="517" t="s">
        <v>2175</v>
      </c>
      <c r="F79" s="517" t="s">
        <v>2176</v>
      </c>
      <c r="G79" s="517" t="s">
        <v>2177</v>
      </c>
      <c r="H79" s="478"/>
      <c r="I79" s="478"/>
      <c r="J79" s="478"/>
      <c r="K79" s="479"/>
      <c r="L79" s="480"/>
      <c r="M79" s="481"/>
      <c r="N79" s="2683"/>
      <c r="O79" s="2683"/>
      <c r="P79" s="2692"/>
      <c r="Q79" s="2670"/>
      <c r="R79" s="2649"/>
      <c r="S79" s="2649"/>
      <c r="T79" s="2649"/>
      <c r="U79" s="2649"/>
      <c r="V79" s="2649"/>
      <c r="W79" s="2649"/>
      <c r="X79" s="2649"/>
      <c r="Y79" s="2649"/>
      <c r="Z79" s="2649"/>
      <c r="AA79" s="2649"/>
      <c r="AB79" s="2649"/>
      <c r="AC79" s="2649"/>
    </row>
    <row r="80" spans="1:29" ht="15.75" thickBot="1">
      <c r="A80" s="375"/>
      <c r="B80" s="482"/>
      <c r="C80" s="483">
        <v>100</v>
      </c>
      <c r="D80" s="483">
        <f>C80-$K17</f>
        <v>100</v>
      </c>
      <c r="E80" s="483">
        <f>D80-$K17</f>
        <v>100</v>
      </c>
      <c r="F80" s="483">
        <f>E80-$K17</f>
        <v>100</v>
      </c>
      <c r="G80" s="483">
        <f>F80-$K17</f>
        <v>100</v>
      </c>
      <c r="H80" s="483"/>
      <c r="I80" s="483"/>
      <c r="J80" s="483"/>
      <c r="K80" s="483"/>
      <c r="L80" s="483"/>
      <c r="M80" s="484"/>
      <c r="N80" s="2684"/>
      <c r="O80" s="2684"/>
      <c r="P80" s="2692"/>
      <c r="Q80" s="2670"/>
      <c r="R80" s="2649"/>
      <c r="S80" s="2649"/>
      <c r="T80" s="2649"/>
      <c r="U80" s="2649"/>
      <c r="V80" s="2649"/>
      <c r="W80" s="2649"/>
      <c r="X80" s="2649"/>
      <c r="Y80" s="2649"/>
      <c r="Z80" s="2649"/>
      <c r="AA80" s="2649"/>
      <c r="AB80" s="2649"/>
      <c r="AC80" s="2649"/>
    </row>
    <row r="81" spans="1:29" ht="15.75" thickTop="1">
      <c r="A81" s="375"/>
      <c r="B81" s="477" t="s">
        <v>2179</v>
      </c>
      <c r="C81" s="517" t="s">
        <v>2173</v>
      </c>
      <c r="D81" s="517" t="s">
        <v>2174</v>
      </c>
      <c r="E81" s="517" t="s">
        <v>2175</v>
      </c>
      <c r="F81" s="517" t="s">
        <v>2176</v>
      </c>
      <c r="G81" s="517" t="s">
        <v>2177</v>
      </c>
      <c r="H81" s="478"/>
      <c r="I81" s="478"/>
      <c r="J81" s="478"/>
      <c r="K81" s="479"/>
      <c r="L81" s="480"/>
      <c r="M81" s="481"/>
      <c r="N81" s="2683"/>
      <c r="O81" s="2683"/>
      <c r="P81" s="2692"/>
      <c r="Q81" s="2670"/>
      <c r="R81" s="2649"/>
      <c r="S81" s="2649"/>
      <c r="T81" s="2649"/>
      <c r="U81" s="2649"/>
      <c r="V81" s="2649"/>
      <c r="W81" s="2649"/>
      <c r="X81" s="2649"/>
      <c r="Y81" s="2649"/>
      <c r="Z81" s="2649"/>
      <c r="AA81" s="2649"/>
      <c r="AB81" s="2649"/>
      <c r="AC81" s="2649"/>
    </row>
    <row r="82" spans="1:29" ht="15.75" thickBot="1">
      <c r="A82" s="375"/>
      <c r="B82" s="482"/>
      <c r="C82" s="483">
        <v>100</v>
      </c>
      <c r="D82" s="483">
        <f>C82-$K19</f>
        <v>100</v>
      </c>
      <c r="E82" s="483">
        <f>D82-$K19</f>
        <v>100</v>
      </c>
      <c r="F82" s="483">
        <f>E82-$K19</f>
        <v>100</v>
      </c>
      <c r="G82" s="483">
        <f>F82-$K19</f>
        <v>100</v>
      </c>
      <c r="H82" s="483"/>
      <c r="I82" s="483"/>
      <c r="J82" s="483"/>
      <c r="K82" s="483"/>
      <c r="L82" s="483"/>
      <c r="M82" s="484"/>
      <c r="N82" s="2684"/>
      <c r="O82" s="2684"/>
      <c r="P82" s="2692"/>
      <c r="Q82" s="2670"/>
      <c r="R82" s="2649"/>
      <c r="S82" s="2649"/>
      <c r="T82" s="2649"/>
      <c r="U82" s="2649"/>
      <c r="V82" s="2649"/>
      <c r="W82" s="2649"/>
      <c r="X82" s="2649"/>
      <c r="Y82" s="2649"/>
      <c r="Z82" s="2649"/>
      <c r="AA82" s="2649"/>
      <c r="AB82" s="2649"/>
      <c r="AC82" s="2649"/>
    </row>
    <row r="83" spans="1:29" ht="15.75" thickTop="1">
      <c r="A83" s="375"/>
      <c r="B83" s="485" t="s">
        <v>2265</v>
      </c>
      <c r="C83" s="589" t="s">
        <v>2251</v>
      </c>
      <c r="D83" s="589" t="s">
        <v>2252</v>
      </c>
      <c r="E83" s="589" t="s">
        <v>2253</v>
      </c>
      <c r="F83" s="589" t="s">
        <v>2254</v>
      </c>
      <c r="G83" s="589" t="s">
        <v>2255</v>
      </c>
      <c r="H83" s="478"/>
      <c r="I83" s="478"/>
      <c r="J83" s="478"/>
      <c r="K83" s="478"/>
      <c r="L83" s="478"/>
      <c r="M83" s="1173"/>
      <c r="N83" s="2684"/>
      <c r="O83" s="2684"/>
      <c r="P83" s="2692"/>
      <c r="Q83" s="2670"/>
      <c r="R83" s="2649"/>
      <c r="S83" s="2649"/>
      <c r="T83" s="2649"/>
      <c r="U83" s="2649"/>
      <c r="V83" s="2649"/>
      <c r="W83" s="2649"/>
      <c r="X83" s="2649"/>
      <c r="Y83" s="2649"/>
      <c r="Z83" s="2649"/>
      <c r="AA83" s="2649"/>
      <c r="AB83" s="2649"/>
      <c r="AC83" s="2649"/>
    </row>
    <row r="84" spans="1:29" ht="15.75" thickBot="1">
      <c r="A84" s="375"/>
      <c r="B84" s="485"/>
      <c r="C84" s="483">
        <v>100</v>
      </c>
      <c r="D84" s="483">
        <f>C84-$K21</f>
        <v>100</v>
      </c>
      <c r="E84" s="483">
        <f>D84-$K21</f>
        <v>100</v>
      </c>
      <c r="F84" s="483">
        <f>E84-$K21</f>
        <v>100</v>
      </c>
      <c r="G84" s="483">
        <f>F84-$K21</f>
        <v>100</v>
      </c>
      <c r="H84" s="589"/>
      <c r="I84" s="589"/>
      <c r="J84" s="589"/>
      <c r="K84" s="589"/>
      <c r="L84" s="589"/>
      <c r="M84" s="397"/>
      <c r="N84" s="2684"/>
      <c r="O84" s="2684"/>
      <c r="P84" s="2692"/>
      <c r="Q84" s="2670"/>
      <c r="R84" s="2649"/>
      <c r="S84" s="2649"/>
      <c r="T84" s="2649"/>
      <c r="U84" s="2649"/>
      <c r="V84" s="2649"/>
      <c r="W84" s="2649"/>
      <c r="X84" s="2649"/>
      <c r="Y84" s="2649"/>
      <c r="Z84" s="2649"/>
      <c r="AA84" s="2649"/>
      <c r="AB84" s="2649"/>
      <c r="AC84" s="2649"/>
    </row>
    <row r="85" spans="1:29" ht="15.75" thickTop="1">
      <c r="A85" s="375"/>
      <c r="B85" s="477" t="s">
        <v>2274</v>
      </c>
      <c r="C85" s="517" t="s">
        <v>2173</v>
      </c>
      <c r="D85" s="517" t="s">
        <v>2174</v>
      </c>
      <c r="E85" s="517" t="s">
        <v>2175</v>
      </c>
      <c r="F85" s="517" t="s">
        <v>2176</v>
      </c>
      <c r="G85" s="517" t="s">
        <v>2177</v>
      </c>
      <c r="H85" s="478"/>
      <c r="I85" s="478"/>
      <c r="J85" s="478"/>
      <c r="K85" s="479"/>
      <c r="L85" s="480"/>
      <c r="M85" s="481"/>
      <c r="N85" s="2683"/>
      <c r="O85" s="2683"/>
      <c r="P85" s="2692"/>
      <c r="Q85" s="2670"/>
      <c r="R85" s="2649"/>
      <c r="S85" s="2649"/>
      <c r="T85" s="2649"/>
      <c r="U85" s="2649"/>
      <c r="V85" s="2649"/>
      <c r="W85" s="2649"/>
      <c r="X85" s="2649"/>
      <c r="Y85" s="2649"/>
      <c r="Z85" s="2649"/>
      <c r="AA85" s="2649"/>
      <c r="AB85" s="2649"/>
      <c r="AC85" s="2649"/>
    </row>
    <row r="86" spans="1:29" ht="15.75" thickBot="1">
      <c r="A86" s="375"/>
      <c r="B86" s="482"/>
      <c r="C86" s="483">
        <v>100</v>
      </c>
      <c r="D86" s="483">
        <f>C86-$K23</f>
        <v>100</v>
      </c>
      <c r="E86" s="483">
        <f>D86-$K23</f>
        <v>100</v>
      </c>
      <c r="F86" s="483">
        <f>E86-$K23</f>
        <v>100</v>
      </c>
      <c r="G86" s="483">
        <f>F86-$K23</f>
        <v>100</v>
      </c>
      <c r="H86" s="483"/>
      <c r="I86" s="483"/>
      <c r="J86" s="483"/>
      <c r="K86" s="483"/>
      <c r="L86" s="483"/>
      <c r="M86" s="484"/>
      <c r="N86" s="2684"/>
      <c r="O86" s="2684"/>
      <c r="P86" s="2692"/>
      <c r="Q86" s="2670"/>
      <c r="R86" s="2649"/>
      <c r="S86" s="2649"/>
      <c r="T86" s="2649"/>
      <c r="U86" s="2649"/>
      <c r="V86" s="2649"/>
      <c r="W86" s="2649"/>
      <c r="X86" s="2649"/>
      <c r="Y86" s="2649"/>
      <c r="Z86" s="2649"/>
      <c r="AA86" s="2649"/>
      <c r="AB86" s="2649"/>
      <c r="AC86" s="2649"/>
    </row>
    <row r="87" spans="1:29" s="107" customFormat="1" ht="27.75" thickTop="1">
      <c r="A87" s="378"/>
      <c r="B87" s="477" t="s">
        <v>2275</v>
      </c>
      <c r="C87" s="493"/>
      <c r="D87" s="493"/>
      <c r="E87" s="493"/>
      <c r="F87" s="493"/>
      <c r="G87" s="493"/>
      <c r="H87" s="493"/>
      <c r="I87" s="493"/>
      <c r="J87" s="493"/>
      <c r="K87" s="493"/>
      <c r="L87" s="518"/>
      <c r="M87" s="519"/>
      <c r="N87" s="2682"/>
      <c r="O87" s="2682"/>
      <c r="P87" s="2692"/>
      <c r="Q87" s="2670"/>
      <c r="R87" s="2603"/>
      <c r="S87" s="2603"/>
      <c r="T87" s="2603"/>
      <c r="U87" s="2603"/>
      <c r="V87" s="2603"/>
      <c r="W87" s="2603"/>
      <c r="X87" s="2603"/>
      <c r="Y87" s="2603"/>
      <c r="Z87" s="2603"/>
      <c r="AA87" s="2603"/>
      <c r="AB87" s="2603"/>
      <c r="AC87" s="2603"/>
    </row>
    <row r="88" spans="1:29" s="107" customFormat="1" ht="15.7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84"/>
      <c r="O88" s="2684"/>
      <c r="P88" s="2692"/>
      <c r="Q88" s="2670"/>
      <c r="R88" s="2603"/>
      <c r="S88" s="2603"/>
      <c r="T88" s="2603"/>
      <c r="U88" s="2603"/>
      <c r="V88" s="2603"/>
      <c r="W88" s="2603"/>
      <c r="X88" s="2603"/>
      <c r="Y88" s="2603"/>
      <c r="Z88" s="2603"/>
      <c r="AA88" s="2603"/>
      <c r="AB88" s="2603"/>
      <c r="AC88" s="2603"/>
    </row>
    <row r="89" spans="1:29" s="107" customFormat="1" ht="15.75" thickTop="1">
      <c r="A89" s="378"/>
      <c r="B89" s="477" t="str">
        <f>B27</f>
        <v>楼层</v>
      </c>
      <c r="C89" s="493"/>
      <c r="D89" s="493"/>
      <c r="E89" s="493"/>
      <c r="F89" s="1910"/>
      <c r="G89" s="493"/>
      <c r="H89" s="493"/>
      <c r="I89" s="493"/>
      <c r="J89" s="493"/>
      <c r="K89" s="493"/>
      <c r="L89" s="493"/>
      <c r="M89" s="519"/>
      <c r="N89" s="2682"/>
      <c r="O89" s="2682"/>
      <c r="P89" s="2692"/>
      <c r="Q89" s="2670"/>
      <c r="R89" s="2603"/>
      <c r="S89" s="2603"/>
      <c r="T89" s="2603"/>
      <c r="U89" s="2603"/>
      <c r="V89" s="2603"/>
      <c r="W89" s="2603"/>
      <c r="X89" s="2603"/>
      <c r="Y89" s="2603"/>
      <c r="Z89" s="2603"/>
      <c r="AA89" s="2603"/>
      <c r="AB89" s="2603"/>
      <c r="AC89" s="2603"/>
    </row>
    <row r="90" spans="1:29" s="107" customFormat="1" ht="15.7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84"/>
      <c r="O90" s="2684"/>
      <c r="P90" s="2692"/>
      <c r="Q90" s="2670"/>
      <c r="R90" s="2603"/>
      <c r="S90" s="2603"/>
      <c r="T90" s="2603"/>
      <c r="U90" s="2603"/>
      <c r="V90" s="2603"/>
      <c r="W90" s="2603"/>
      <c r="X90" s="2603"/>
      <c r="Y90" s="2603"/>
      <c r="Z90" s="2603"/>
      <c r="AA90" s="2603"/>
      <c r="AB90" s="2603"/>
      <c r="AC90" s="2603"/>
    </row>
    <row r="91" spans="1:29" s="416" customFormat="1" ht="15.75" thickTop="1">
      <c r="A91" s="492"/>
      <c r="B91" s="477" t="str">
        <f>B28</f>
        <v>朝向</v>
      </c>
      <c r="C91" s="493"/>
      <c r="D91" s="493"/>
      <c r="E91" s="493"/>
      <c r="F91" s="493"/>
      <c r="G91" s="493"/>
      <c r="H91" s="494"/>
      <c r="I91" s="494"/>
      <c r="J91" s="494"/>
      <c r="K91" s="494"/>
      <c r="L91" s="495"/>
      <c r="M91" s="496"/>
      <c r="N91" s="2685"/>
      <c r="O91" s="2685"/>
      <c r="P91" s="2693"/>
      <c r="Q91" s="2677"/>
      <c r="R91" s="2655"/>
      <c r="S91" s="2655"/>
      <c r="T91" s="2655"/>
      <c r="U91" s="2655"/>
      <c r="V91" s="2655"/>
      <c r="W91" s="2655"/>
      <c r="X91" s="2655"/>
      <c r="Y91" s="2655"/>
      <c r="Z91" s="2655"/>
      <c r="AA91" s="2655"/>
      <c r="AB91" s="2655"/>
      <c r="AC91" s="2655"/>
    </row>
    <row r="92" spans="1:29" s="416" customFormat="1" ht="15.7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5"/>
      <c r="O92" s="2685"/>
      <c r="P92" s="2693"/>
      <c r="Q92" s="2677"/>
      <c r="R92" s="2655"/>
      <c r="S92" s="2655"/>
      <c r="T92" s="2655"/>
      <c r="U92" s="2655"/>
      <c r="V92" s="2655"/>
      <c r="W92" s="2655"/>
      <c r="X92" s="2655"/>
      <c r="Y92" s="2655"/>
      <c r="Z92" s="2655"/>
      <c r="AA92" s="2655"/>
      <c r="AB92" s="2655"/>
      <c r="AC92" s="2655"/>
    </row>
    <row r="93" spans="1:29" ht="15.75" thickTop="1">
      <c r="A93" s="375"/>
      <c r="B93" s="477">
        <f>B29</f>
        <v>111</v>
      </c>
      <c r="C93" s="493"/>
      <c r="D93" s="493"/>
      <c r="E93" s="493"/>
      <c r="F93" s="493"/>
      <c r="G93" s="493"/>
      <c r="H93" s="493"/>
      <c r="I93" s="493"/>
      <c r="J93" s="493"/>
      <c r="K93" s="493"/>
      <c r="L93" s="518"/>
      <c r="M93" s="519"/>
      <c r="N93" s="2683"/>
      <c r="O93" s="2683"/>
      <c r="P93" s="2692"/>
      <c r="Q93" s="2670"/>
      <c r="R93" s="2649"/>
      <c r="S93" s="2649"/>
      <c r="T93" s="2649"/>
      <c r="U93" s="2649"/>
      <c r="V93" s="2649"/>
      <c r="W93" s="2649"/>
      <c r="X93" s="2649"/>
      <c r="Y93" s="2649"/>
      <c r="Z93" s="2649"/>
      <c r="AA93" s="2649"/>
      <c r="AB93" s="2649"/>
      <c r="AC93" s="2649"/>
    </row>
    <row r="94" spans="1:29" ht="15.75" thickBot="1">
      <c r="A94" s="375"/>
      <c r="B94" s="482"/>
      <c r="C94" s="499"/>
      <c r="D94" s="475"/>
      <c r="E94" s="475"/>
      <c r="F94" s="475"/>
      <c r="G94" s="475"/>
      <c r="H94" s="475"/>
      <c r="I94" s="475"/>
      <c r="J94" s="475"/>
      <c r="K94" s="475"/>
      <c r="L94" s="475"/>
      <c r="M94" s="476"/>
      <c r="N94" s="2684"/>
      <c r="O94" s="2684"/>
      <c r="P94" s="2692"/>
      <c r="Q94" s="2670"/>
      <c r="R94" s="2649"/>
      <c r="S94" s="2649"/>
      <c r="T94" s="2649"/>
      <c r="U94" s="2649"/>
      <c r="V94" s="2649"/>
      <c r="W94" s="2649"/>
      <c r="X94" s="2649"/>
      <c r="Y94" s="2649"/>
      <c r="Z94" s="2649"/>
      <c r="AA94" s="2649"/>
      <c r="AB94" s="2649"/>
      <c r="AC94" s="2649"/>
    </row>
    <row r="95" spans="1:29" ht="15.75" thickTop="1">
      <c r="A95" s="375"/>
      <c r="B95" s="477">
        <f>B30</f>
        <v>111</v>
      </c>
      <c r="C95" s="493"/>
      <c r="D95" s="493"/>
      <c r="E95" s="493"/>
      <c r="F95" s="493"/>
      <c r="G95" s="521"/>
      <c r="H95" s="521"/>
      <c r="I95" s="521"/>
      <c r="J95" s="521"/>
      <c r="K95" s="522"/>
      <c r="L95" s="523"/>
      <c r="M95" s="524"/>
      <c r="N95" s="2683"/>
      <c r="O95" s="2683"/>
      <c r="P95" s="2692"/>
      <c r="Q95" s="2670"/>
      <c r="R95" s="2649"/>
      <c r="S95" s="2649"/>
      <c r="T95" s="2649"/>
      <c r="U95" s="2649"/>
      <c r="V95" s="2649"/>
      <c r="W95" s="2649"/>
      <c r="X95" s="2649"/>
      <c r="Y95" s="2649"/>
      <c r="Z95" s="2649"/>
      <c r="AA95" s="2649"/>
      <c r="AB95" s="2649"/>
      <c r="AC95" s="2649"/>
    </row>
    <row r="96" spans="1:29" ht="15.75" thickBot="1">
      <c r="A96" s="375"/>
      <c r="B96" s="482"/>
      <c r="C96" s="499"/>
      <c r="D96" s="499"/>
      <c r="E96" s="499"/>
      <c r="F96" s="499"/>
      <c r="G96" s="475"/>
      <c r="H96" s="475"/>
      <c r="I96" s="475"/>
      <c r="J96" s="475"/>
      <c r="K96" s="475"/>
      <c r="L96" s="475"/>
      <c r="M96" s="476"/>
      <c r="N96" s="2684"/>
      <c r="O96" s="2684"/>
      <c r="P96" s="2692"/>
      <c r="Q96" s="2670"/>
      <c r="R96" s="2649"/>
      <c r="S96" s="2649"/>
      <c r="T96" s="2649"/>
      <c r="U96" s="2649"/>
      <c r="V96" s="2649"/>
      <c r="W96" s="2649"/>
      <c r="X96" s="2649"/>
      <c r="Y96" s="2649"/>
      <c r="Z96" s="2649"/>
      <c r="AA96" s="2649"/>
      <c r="AB96" s="2649"/>
      <c r="AC96" s="2649"/>
    </row>
    <row r="97" spans="1:29" ht="15.75" thickTop="1">
      <c r="A97" s="375"/>
      <c r="B97" s="477">
        <f>B31</f>
        <v>111</v>
      </c>
      <c r="C97" s="493"/>
      <c r="D97" s="493"/>
      <c r="E97" s="493"/>
      <c r="F97" s="493"/>
      <c r="G97" s="521"/>
      <c r="H97" s="521"/>
      <c r="I97" s="521"/>
      <c r="J97" s="521"/>
      <c r="K97" s="522"/>
      <c r="L97" s="523"/>
      <c r="M97" s="524"/>
      <c r="N97" s="2683"/>
      <c r="O97" s="2683"/>
      <c r="P97" s="2692"/>
      <c r="Q97" s="2670"/>
      <c r="R97" s="2649"/>
      <c r="S97" s="2649"/>
      <c r="T97" s="2649"/>
      <c r="U97" s="2649"/>
      <c r="V97" s="2649"/>
      <c r="W97" s="2649"/>
      <c r="X97" s="2649"/>
      <c r="Y97" s="2649"/>
      <c r="Z97" s="2649"/>
      <c r="AA97" s="2649"/>
      <c r="AB97" s="2649"/>
      <c r="AC97" s="2649"/>
    </row>
    <row r="98" spans="1:29" ht="15.75" thickBot="1">
      <c r="A98" s="375"/>
      <c r="B98" s="482"/>
      <c r="C98" s="499"/>
      <c r="D98" s="475"/>
      <c r="E98" s="475"/>
      <c r="F98" s="475"/>
      <c r="G98" s="475"/>
      <c r="H98" s="475"/>
      <c r="I98" s="475"/>
      <c r="J98" s="475"/>
      <c r="K98" s="475"/>
      <c r="L98" s="475"/>
      <c r="M98" s="476"/>
      <c r="N98" s="2684"/>
      <c r="O98" s="2684"/>
      <c r="P98" s="2692"/>
      <c r="Q98" s="2670"/>
      <c r="R98" s="2649"/>
      <c r="S98" s="2649"/>
      <c r="T98" s="2649"/>
      <c r="U98" s="2649"/>
      <c r="V98" s="2649"/>
      <c r="W98" s="2649"/>
      <c r="X98" s="2649"/>
      <c r="Y98" s="2649"/>
      <c r="Z98" s="2649"/>
      <c r="AA98" s="2649"/>
      <c r="AB98" s="2649"/>
      <c r="AC98" s="2649"/>
    </row>
    <row r="99" spans="1:29" ht="15.75" thickTop="1">
      <c r="A99" s="375"/>
      <c r="B99" s="485">
        <f>B32</f>
        <v>111</v>
      </c>
      <c r="C99" s="34"/>
      <c r="D99" s="34"/>
      <c r="E99" s="34"/>
      <c r="F99" s="34"/>
      <c r="G99" s="525"/>
      <c r="H99" s="525"/>
      <c r="I99" s="525"/>
      <c r="J99" s="525"/>
      <c r="K99" s="526"/>
      <c r="L99" s="527"/>
      <c r="M99" s="528"/>
      <c r="N99" s="2683"/>
      <c r="O99" s="2683"/>
      <c r="P99" s="2692"/>
      <c r="Q99" s="2670"/>
      <c r="R99" s="2649"/>
      <c r="S99" s="2649"/>
      <c r="T99" s="2649"/>
      <c r="U99" s="2649"/>
      <c r="V99" s="2649"/>
      <c r="W99" s="2649"/>
      <c r="X99" s="2649"/>
      <c r="Y99" s="2649"/>
      <c r="Z99" s="2649"/>
      <c r="AA99" s="2649"/>
      <c r="AB99" s="2649"/>
      <c r="AC99" s="2649"/>
    </row>
    <row r="100" spans="1:29" ht="15.75" thickBot="1">
      <c r="A100" s="383"/>
      <c r="B100" s="508"/>
      <c r="C100" s="509"/>
      <c r="D100" s="509"/>
      <c r="E100" s="509"/>
      <c r="F100" s="509"/>
      <c r="G100" s="529"/>
      <c r="H100" s="529"/>
      <c r="I100" s="529"/>
      <c r="J100" s="529"/>
      <c r="K100" s="529"/>
      <c r="L100" s="529"/>
      <c r="M100" s="530"/>
      <c r="N100" s="2684"/>
      <c r="O100" s="2684"/>
      <c r="P100" s="2692"/>
      <c r="Q100" s="2670"/>
      <c r="R100" s="2649"/>
      <c r="S100" s="2649"/>
      <c r="T100" s="2649"/>
      <c r="U100" s="2649"/>
      <c r="V100" s="2649"/>
      <c r="W100" s="2649"/>
      <c r="X100" s="2649"/>
      <c r="Y100" s="2649"/>
      <c r="Z100" s="2649"/>
      <c r="AA100" s="2649"/>
      <c r="AB100" s="2649"/>
      <c r="AC100" s="2649"/>
    </row>
    <row r="101" spans="1:29">
      <c r="A101" s="387" t="s">
        <v>2139</v>
      </c>
      <c r="B101" s="468" t="s">
        <v>2188</v>
      </c>
      <c r="C101" s="470"/>
      <c r="D101" s="470"/>
      <c r="E101" s="470"/>
      <c r="F101" s="470"/>
      <c r="G101" s="470"/>
      <c r="H101" s="470"/>
      <c r="I101" s="470"/>
      <c r="J101" s="470"/>
      <c r="K101" s="471"/>
      <c r="L101" s="472"/>
      <c r="M101" s="473"/>
      <c r="N101" s="2683"/>
      <c r="O101" s="2683"/>
      <c r="P101" s="2692"/>
      <c r="Q101" s="2670"/>
      <c r="R101" s="2649"/>
      <c r="S101" s="2649"/>
      <c r="T101" s="2649"/>
      <c r="U101" s="2649"/>
      <c r="V101" s="2649"/>
      <c r="W101" s="2649"/>
      <c r="X101" s="2649"/>
      <c r="Y101" s="2649"/>
      <c r="Z101" s="2649"/>
      <c r="AA101" s="2649"/>
      <c r="AB101" s="2649"/>
      <c r="AC101" s="2649"/>
    </row>
    <row r="102" spans="1:29" ht="15.7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84"/>
      <c r="O102" s="2684"/>
      <c r="P102" s="2692"/>
      <c r="Q102" s="2670"/>
      <c r="R102" s="2649"/>
      <c r="S102" s="2649"/>
      <c r="T102" s="2649"/>
      <c r="U102" s="2649"/>
      <c r="V102" s="2649"/>
      <c r="W102" s="2649"/>
      <c r="X102" s="2649"/>
      <c r="Y102" s="2649"/>
      <c r="Z102" s="2649"/>
      <c r="AA102" s="2649"/>
      <c r="AB102" s="2649"/>
      <c r="AC102" s="2649"/>
    </row>
    <row r="103" spans="1:29" ht="15.75" thickTop="1">
      <c r="A103" s="375"/>
      <c r="B103" s="477" t="s">
        <v>2189</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682"/>
      <c r="O103" s="2682"/>
      <c r="P103" s="2692"/>
      <c r="Q103" s="2670"/>
      <c r="R103" s="2649"/>
      <c r="S103" s="2649"/>
      <c r="T103" s="2649"/>
      <c r="U103" s="2649"/>
      <c r="V103" s="2649"/>
      <c r="W103" s="2649"/>
      <c r="X103" s="2649"/>
      <c r="Y103" s="2649"/>
      <c r="Z103" s="2649"/>
      <c r="AA103" s="2649"/>
      <c r="AB103" s="2649"/>
      <c r="AC103" s="2649"/>
    </row>
    <row r="104" spans="1:29" s="416" customFormat="1">
      <c r="A104" s="414"/>
      <c r="B104" s="531"/>
      <c r="C104" s="9"/>
      <c r="D104" s="9"/>
      <c r="E104" s="9"/>
      <c r="F104" s="9"/>
      <c r="G104" s="9"/>
      <c r="H104" s="9"/>
      <c r="I104" s="9"/>
      <c r="J104" s="532"/>
      <c r="K104" s="532"/>
      <c r="L104" s="533"/>
      <c r="M104" s="534"/>
      <c r="N104" s="2685"/>
      <c r="O104" s="2685"/>
      <c r="P104" s="2693"/>
      <c r="Q104" s="2677"/>
      <c r="R104" s="2655"/>
      <c r="S104" s="2655"/>
      <c r="T104" s="2655"/>
      <c r="U104" s="2655"/>
      <c r="V104" s="2655"/>
      <c r="W104" s="2655"/>
      <c r="X104" s="2655"/>
      <c r="Y104" s="2655"/>
      <c r="Z104" s="2655"/>
      <c r="AA104" s="2655"/>
      <c r="AB104" s="2655"/>
      <c r="AC104" s="2655"/>
    </row>
    <row r="105" spans="1:29" s="416" customFormat="1" ht="15.75" thickBot="1">
      <c r="A105" s="492"/>
      <c r="B105" s="482"/>
      <c r="C105" s="499"/>
      <c r="D105" s="475"/>
      <c r="E105" s="475"/>
      <c r="F105" s="475"/>
      <c r="G105" s="475"/>
      <c r="H105" s="475"/>
      <c r="I105" s="475"/>
      <c r="J105" s="475"/>
      <c r="K105" s="475"/>
      <c r="L105" s="475"/>
      <c r="M105" s="476"/>
      <c r="N105" s="2684"/>
      <c r="O105" s="2684"/>
      <c r="P105" s="2693"/>
      <c r="Q105" s="2677"/>
      <c r="R105" s="2655"/>
      <c r="S105" s="2655"/>
      <c r="T105" s="2655"/>
      <c r="U105" s="2655"/>
      <c r="V105" s="2655"/>
      <c r="W105" s="2655"/>
      <c r="X105" s="2655"/>
      <c r="Y105" s="2655"/>
      <c r="Z105" s="2655"/>
      <c r="AA105" s="2655"/>
      <c r="AB105" s="2655"/>
      <c r="AC105" s="2655"/>
    </row>
    <row r="106" spans="1:29" ht="15" thickTop="1">
      <c r="A106" s="417"/>
      <c r="B106" s="477" t="s">
        <v>2190</v>
      </c>
      <c r="C106" s="493"/>
      <c r="D106" s="493"/>
      <c r="E106" s="521"/>
      <c r="F106" s="521"/>
      <c r="G106" s="521"/>
      <c r="H106" s="521"/>
      <c r="I106" s="521"/>
      <c r="J106" s="521"/>
      <c r="K106" s="522"/>
      <c r="L106" s="523"/>
      <c r="M106" s="524"/>
      <c r="N106" s="2683"/>
      <c r="O106" s="2683"/>
      <c r="P106" s="2692"/>
      <c r="Q106" s="2670"/>
      <c r="R106" s="2649"/>
      <c r="S106" s="2649"/>
      <c r="T106" s="2649"/>
      <c r="U106" s="2649"/>
      <c r="V106" s="2649"/>
      <c r="W106" s="2649"/>
      <c r="X106" s="2649"/>
      <c r="Y106" s="2649"/>
      <c r="Z106" s="2649"/>
      <c r="AA106" s="2649"/>
      <c r="AB106" s="2649"/>
      <c r="AC106" s="2649"/>
    </row>
    <row r="107" spans="1:29" ht="15.7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84"/>
      <c r="O107" s="2684"/>
      <c r="P107" s="2692"/>
      <c r="Q107" s="2670"/>
      <c r="R107" s="2649"/>
      <c r="S107" s="2649"/>
      <c r="T107" s="2649"/>
      <c r="U107" s="2649"/>
      <c r="V107" s="2649"/>
      <c r="W107" s="2649"/>
      <c r="X107" s="2649"/>
      <c r="Y107" s="2649"/>
      <c r="Z107" s="2649"/>
      <c r="AA107" s="2649"/>
      <c r="AB107" s="2649"/>
      <c r="AC107" s="2649"/>
    </row>
    <row r="108" spans="1:29" ht="15" thickTop="1">
      <c r="A108" s="417"/>
      <c r="B108" s="477" t="s">
        <v>2192</v>
      </c>
      <c r="C108" s="493"/>
      <c r="D108" s="493"/>
      <c r="E108" s="493"/>
      <c r="F108" s="521"/>
      <c r="G108" s="521"/>
      <c r="H108" s="521"/>
      <c r="I108" s="521"/>
      <c r="J108" s="521"/>
      <c r="K108" s="522"/>
      <c r="L108" s="523"/>
      <c r="M108" s="524"/>
      <c r="N108" s="2683"/>
      <c r="O108" s="2683"/>
      <c r="P108" s="2692"/>
      <c r="Q108" s="2670"/>
      <c r="R108" s="2649"/>
      <c r="S108" s="2649"/>
      <c r="T108" s="2649"/>
      <c r="U108" s="2649"/>
      <c r="V108" s="2649"/>
      <c r="W108" s="2649"/>
      <c r="X108" s="2649"/>
      <c r="Y108" s="2649"/>
      <c r="Z108" s="2649"/>
      <c r="AA108" s="2649"/>
      <c r="AB108" s="2649"/>
      <c r="AC108" s="2649"/>
    </row>
    <row r="109" spans="1:29" ht="15.7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84"/>
      <c r="O109" s="2684"/>
      <c r="P109" s="2692"/>
      <c r="Q109" s="2670"/>
      <c r="R109" s="2649"/>
      <c r="S109" s="2649"/>
      <c r="T109" s="2649"/>
      <c r="U109" s="2649"/>
      <c r="V109" s="2649"/>
      <c r="W109" s="2649"/>
      <c r="X109" s="2649"/>
      <c r="Y109" s="2649"/>
      <c r="Z109" s="2649"/>
      <c r="AA109" s="2649"/>
      <c r="AB109" s="2649"/>
      <c r="AC109" s="2649"/>
    </row>
    <row r="110" spans="1:29" ht="15" thickTop="1">
      <c r="A110" s="417"/>
      <c r="B110" s="477" t="s">
        <v>1635</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3"/>
      <c r="O110" s="2683"/>
      <c r="P110" s="2692"/>
      <c r="Q110" s="2670"/>
      <c r="R110" s="2649"/>
      <c r="S110" s="2649"/>
      <c r="T110" s="2649"/>
      <c r="U110" s="2649"/>
      <c r="V110" s="2649"/>
      <c r="W110" s="2649"/>
      <c r="X110" s="2649"/>
      <c r="Y110" s="2649"/>
      <c r="Z110" s="2649"/>
      <c r="AA110" s="2649"/>
      <c r="AB110" s="2649"/>
      <c r="AC110" s="2649"/>
    </row>
    <row r="111" spans="1:29">
      <c r="A111" s="417"/>
      <c r="B111" s="485"/>
      <c r="C111" s="538">
        <v>0.5</v>
      </c>
      <c r="D111" s="538">
        <v>0.6</v>
      </c>
      <c r="E111" s="538">
        <v>0.7</v>
      </c>
      <c r="F111" s="538">
        <v>0.8</v>
      </c>
      <c r="G111" s="538">
        <v>0.9</v>
      </c>
      <c r="H111" s="538">
        <v>1.0001</v>
      </c>
      <c r="I111" s="556"/>
      <c r="J111" s="556"/>
      <c r="K111" s="557"/>
      <c r="L111" s="558"/>
      <c r="M111" s="559"/>
      <c r="N111" s="2683"/>
      <c r="O111" s="2683"/>
      <c r="P111" s="2692"/>
      <c r="Q111" s="2670"/>
      <c r="R111" s="2649"/>
      <c r="S111" s="2649"/>
      <c r="T111" s="2649"/>
      <c r="U111" s="2649"/>
      <c r="V111" s="2649"/>
      <c r="W111" s="2649"/>
      <c r="X111" s="2649"/>
      <c r="Y111" s="2649"/>
      <c r="Z111" s="2649"/>
      <c r="AA111" s="2649"/>
      <c r="AB111" s="2649"/>
      <c r="AC111" s="2649"/>
    </row>
    <row r="112" spans="1:29" ht="15.7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84"/>
      <c r="O112" s="2684"/>
      <c r="P112" s="2692"/>
      <c r="Q112" s="2670"/>
      <c r="R112" s="2649"/>
      <c r="S112" s="2649"/>
      <c r="T112" s="2649"/>
      <c r="U112" s="2649"/>
      <c r="V112" s="2649"/>
      <c r="W112" s="2649"/>
      <c r="X112" s="2649"/>
      <c r="Y112" s="2649"/>
      <c r="Z112" s="2649"/>
      <c r="AA112" s="2649"/>
      <c r="AB112" s="2649"/>
      <c r="AC112" s="2649"/>
    </row>
    <row r="113" spans="1:29" s="416" customFormat="1" ht="15" thickTop="1">
      <c r="A113" s="414"/>
      <c r="B113" s="477" t="s">
        <v>2276</v>
      </c>
      <c r="C113" s="493"/>
      <c r="D113" s="493"/>
      <c r="E113" s="493"/>
      <c r="F113" s="493"/>
      <c r="G113" s="493"/>
      <c r="H113" s="521"/>
      <c r="I113" s="521"/>
      <c r="J113" s="521"/>
      <c r="K113" s="522"/>
      <c r="L113" s="523"/>
      <c r="M113" s="524"/>
      <c r="N113" s="2685"/>
      <c r="O113" s="2685"/>
      <c r="P113" s="2693"/>
      <c r="Q113" s="2677"/>
      <c r="R113" s="2655"/>
      <c r="S113" s="2655"/>
      <c r="T113" s="2655"/>
      <c r="U113" s="2655"/>
      <c r="V113" s="2655"/>
      <c r="W113" s="2655"/>
      <c r="X113" s="2655"/>
      <c r="Y113" s="2655"/>
      <c r="Z113" s="2655"/>
      <c r="AA113" s="2655"/>
      <c r="AB113" s="2655"/>
      <c r="AC113" s="2655"/>
    </row>
    <row r="114" spans="1:29" s="416"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85"/>
      <c r="O114" s="2685"/>
      <c r="P114" s="2693"/>
      <c r="Q114" s="2677"/>
      <c r="R114" s="2655"/>
      <c r="S114" s="2655"/>
      <c r="T114" s="2655"/>
      <c r="U114" s="2655"/>
      <c r="V114" s="2655"/>
      <c r="W114" s="2655"/>
      <c r="X114" s="2655"/>
      <c r="Y114" s="2655"/>
      <c r="Z114" s="2655"/>
      <c r="AA114" s="2655"/>
      <c r="AB114" s="2655"/>
      <c r="AC114" s="2655"/>
    </row>
    <row r="115" spans="1:29" ht="15" thickTop="1">
      <c r="A115" s="417"/>
      <c r="B115" s="477" t="s">
        <v>2193</v>
      </c>
      <c r="C115" s="493"/>
      <c r="D115" s="493"/>
      <c r="E115" s="521"/>
      <c r="F115" s="521"/>
      <c r="G115" s="521"/>
      <c r="H115" s="521"/>
      <c r="I115" s="521"/>
      <c r="J115" s="521"/>
      <c r="K115" s="522"/>
      <c r="L115" s="523"/>
      <c r="M115" s="524"/>
      <c r="N115" s="2683"/>
      <c r="O115" s="2683"/>
      <c r="P115" s="2692"/>
      <c r="Q115" s="2670"/>
      <c r="R115" s="2649"/>
      <c r="S115" s="2649"/>
      <c r="T115" s="2649"/>
      <c r="U115" s="2649"/>
      <c r="V115" s="2649"/>
      <c r="W115" s="2649"/>
      <c r="X115" s="2649"/>
      <c r="Y115" s="2649"/>
      <c r="Z115" s="2649"/>
      <c r="AA115" s="2649"/>
      <c r="AB115" s="2649"/>
      <c r="AC115" s="2649"/>
    </row>
    <row r="116" spans="1:29" ht="15.7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84"/>
      <c r="O116" s="2684"/>
      <c r="P116" s="2692"/>
      <c r="Q116" s="2670"/>
      <c r="R116" s="2649"/>
      <c r="S116" s="2649"/>
      <c r="T116" s="2649"/>
      <c r="U116" s="2649"/>
      <c r="V116" s="2649"/>
      <c r="W116" s="2649"/>
      <c r="X116" s="2649"/>
      <c r="Y116" s="2649"/>
      <c r="Z116" s="2649"/>
      <c r="AA116" s="2649"/>
      <c r="AB116" s="2649"/>
      <c r="AC116" s="2649"/>
    </row>
    <row r="117" spans="1:29" ht="15" thickTop="1">
      <c r="A117" s="417"/>
      <c r="B117" s="477" t="s">
        <v>2194</v>
      </c>
      <c r="C117" s="493"/>
      <c r="D117" s="493"/>
      <c r="E117" s="493"/>
      <c r="F117" s="493"/>
      <c r="G117" s="493"/>
      <c r="H117" s="521"/>
      <c r="I117" s="521"/>
      <c r="J117" s="521"/>
      <c r="K117" s="522"/>
      <c r="L117" s="523"/>
      <c r="M117" s="524"/>
      <c r="N117" s="2683"/>
      <c r="O117" s="2683"/>
      <c r="P117" s="2692"/>
      <c r="Q117" s="2670"/>
      <c r="R117" s="2649"/>
      <c r="S117" s="2649"/>
      <c r="T117" s="2649"/>
      <c r="U117" s="2649"/>
      <c r="V117" s="2649"/>
      <c r="W117" s="2649"/>
      <c r="X117" s="2649"/>
      <c r="Y117" s="2649"/>
      <c r="Z117" s="2649"/>
      <c r="AA117" s="2649"/>
      <c r="AB117" s="2649"/>
      <c r="AC117" s="2649"/>
    </row>
    <row r="118" spans="1:29" ht="15.75" thickBot="1">
      <c r="A118" s="375"/>
      <c r="B118" s="482"/>
      <c r="C118" s="483">
        <v>100</v>
      </c>
      <c r="D118" s="483">
        <f>C118-$K40</f>
        <v>100</v>
      </c>
      <c r="E118" s="483">
        <f>D118-$K40</f>
        <v>100</v>
      </c>
      <c r="F118" s="483">
        <f>E118-$K40</f>
        <v>100</v>
      </c>
      <c r="G118" s="483">
        <f>F118-$K40</f>
        <v>100</v>
      </c>
      <c r="H118" s="483"/>
      <c r="I118" s="483"/>
      <c r="J118" s="483"/>
      <c r="K118" s="483"/>
      <c r="L118" s="483"/>
      <c r="M118" s="484"/>
      <c r="N118" s="2684"/>
      <c r="O118" s="2684"/>
      <c r="P118" s="2692"/>
      <c r="Q118" s="2670"/>
      <c r="R118" s="2649"/>
      <c r="S118" s="2649"/>
      <c r="T118" s="2649"/>
      <c r="U118" s="2649"/>
      <c r="V118" s="2649"/>
      <c r="W118" s="2649"/>
      <c r="X118" s="2649"/>
      <c r="Y118" s="2649"/>
      <c r="Z118" s="2649"/>
      <c r="AA118" s="2649"/>
      <c r="AB118" s="2649"/>
      <c r="AC118" s="2649"/>
    </row>
    <row r="119" spans="1:29" ht="15" thickTop="1">
      <c r="A119" s="417"/>
      <c r="B119" s="568" t="s">
        <v>2277</v>
      </c>
      <c r="C119" s="521"/>
      <c r="D119" s="521"/>
      <c r="E119" s="521"/>
      <c r="F119" s="521"/>
      <c r="G119" s="521"/>
      <c r="H119" s="521"/>
      <c r="I119" s="521"/>
      <c r="J119" s="521"/>
      <c r="K119" s="521"/>
      <c r="L119" s="1946"/>
      <c r="M119" s="1947"/>
      <c r="N119" s="2684"/>
      <c r="O119" s="2684"/>
      <c r="P119" s="2697"/>
      <c r="Q119" s="2698"/>
      <c r="R119" s="2649"/>
      <c r="S119" s="2649"/>
      <c r="T119" s="2649"/>
      <c r="U119" s="2649"/>
      <c r="V119" s="2649"/>
      <c r="W119" s="2649"/>
      <c r="X119" s="2649"/>
      <c r="Y119" s="2649"/>
      <c r="Z119" s="2649"/>
      <c r="AA119" s="2649"/>
      <c r="AB119" s="2649"/>
      <c r="AC119" s="2649"/>
    </row>
    <row r="120" spans="1:29" ht="15.7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84"/>
      <c r="O120" s="2684"/>
      <c r="P120" s="2692"/>
      <c r="Q120" s="2670"/>
      <c r="R120" s="2649"/>
      <c r="S120" s="2649"/>
      <c r="T120" s="2649"/>
      <c r="U120" s="2649"/>
      <c r="V120" s="2649"/>
      <c r="W120" s="2649"/>
      <c r="X120" s="2649"/>
      <c r="Y120" s="2649"/>
      <c r="Z120" s="2649"/>
      <c r="AA120" s="2649"/>
      <c r="AB120" s="2649"/>
      <c r="AC120" s="2649"/>
    </row>
    <row r="121" spans="1:29" s="416" customFormat="1" ht="15" thickTop="1">
      <c r="A121" s="414"/>
      <c r="B121" s="477" t="s">
        <v>2260</v>
      </c>
      <c r="C121" s="493"/>
      <c r="D121" s="493"/>
      <c r="E121" s="493"/>
      <c r="F121" s="521"/>
      <c r="G121" s="494"/>
      <c r="H121" s="494"/>
      <c r="I121" s="494"/>
      <c r="J121" s="494"/>
      <c r="K121" s="494"/>
      <c r="L121" s="495"/>
      <c r="M121" s="496"/>
      <c r="N121" s="2685"/>
      <c r="O121" s="2685"/>
      <c r="P121" s="2693"/>
      <c r="Q121" s="2677"/>
      <c r="R121" s="2655"/>
      <c r="S121" s="2655"/>
      <c r="T121" s="2655"/>
      <c r="U121" s="2655"/>
      <c r="V121" s="2655"/>
      <c r="W121" s="2655"/>
      <c r="X121" s="2655"/>
      <c r="Y121" s="2655"/>
      <c r="Z121" s="2655"/>
      <c r="AA121" s="2655"/>
      <c r="AB121" s="2655"/>
      <c r="AC121" s="2655"/>
    </row>
    <row r="122" spans="1:29" s="416" customFormat="1" ht="15.75" thickBot="1">
      <c r="A122" s="492"/>
      <c r="B122" s="474"/>
      <c r="C122" s="499"/>
      <c r="D122" s="499"/>
      <c r="E122" s="499"/>
      <c r="F122" s="499"/>
      <c r="G122" s="499"/>
      <c r="H122" s="499"/>
      <c r="I122" s="499"/>
      <c r="J122" s="499"/>
      <c r="K122" s="499"/>
      <c r="L122" s="499"/>
      <c r="M122" s="499"/>
      <c r="N122" s="2685"/>
      <c r="O122" s="2685"/>
      <c r="P122" s="2693"/>
      <c r="Q122" s="2677"/>
      <c r="R122" s="2655"/>
      <c r="S122" s="2655"/>
      <c r="T122" s="2655"/>
      <c r="U122" s="2655"/>
      <c r="V122" s="2655"/>
      <c r="W122" s="2655"/>
      <c r="X122" s="2655"/>
      <c r="Y122" s="2655"/>
      <c r="Z122" s="2655"/>
      <c r="AA122" s="2655"/>
      <c r="AB122" s="2655"/>
      <c r="AC122" s="2655"/>
    </row>
    <row r="123" spans="1:29" ht="15" thickTop="1">
      <c r="A123" s="417"/>
      <c r="B123" s="477" t="s">
        <v>2196</v>
      </c>
      <c r="C123" s="493"/>
      <c r="D123" s="493"/>
      <c r="E123" s="493"/>
      <c r="F123" s="521"/>
      <c r="G123" s="521"/>
      <c r="H123" s="521"/>
      <c r="I123" s="521"/>
      <c r="J123" s="521"/>
      <c r="K123" s="522"/>
      <c r="L123" s="523"/>
      <c r="M123" s="524"/>
      <c r="N123" s="2683"/>
      <c r="O123" s="2683"/>
      <c r="P123" s="2692"/>
      <c r="Q123" s="2670"/>
      <c r="R123" s="2649"/>
      <c r="S123" s="2649"/>
      <c r="T123" s="2649"/>
      <c r="U123" s="2649"/>
      <c r="V123" s="2649"/>
      <c r="W123" s="2649"/>
      <c r="X123" s="2649"/>
      <c r="Y123" s="2649"/>
      <c r="Z123" s="2649"/>
      <c r="AA123" s="2649"/>
      <c r="AB123" s="2649"/>
      <c r="AC123" s="2649"/>
    </row>
    <row r="124" spans="1:29" ht="15.7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84"/>
      <c r="O124" s="2684"/>
      <c r="P124" s="2692"/>
      <c r="Q124" s="2670"/>
      <c r="R124" s="2649"/>
      <c r="S124" s="2649"/>
      <c r="T124" s="2649"/>
      <c r="U124" s="2649"/>
      <c r="V124" s="2649"/>
      <c r="W124" s="2649"/>
      <c r="X124" s="2649"/>
      <c r="Y124" s="2649"/>
      <c r="Z124" s="2649"/>
      <c r="AA124" s="2649"/>
      <c r="AB124" s="2649"/>
      <c r="AC124" s="2649"/>
    </row>
    <row r="125" spans="1:29" ht="15" thickTop="1">
      <c r="A125" s="417"/>
      <c r="B125" s="477" t="s">
        <v>2197</v>
      </c>
      <c r="C125" s="517" t="s">
        <v>2173</v>
      </c>
      <c r="D125" s="517" t="s">
        <v>2174</v>
      </c>
      <c r="E125" s="517" t="s">
        <v>2175</v>
      </c>
      <c r="F125" s="517" t="s">
        <v>2176</v>
      </c>
      <c r="G125" s="517" t="s">
        <v>2177</v>
      </c>
      <c r="H125" s="478"/>
      <c r="I125" s="478"/>
      <c r="J125" s="478"/>
      <c r="K125" s="479"/>
      <c r="L125" s="480"/>
      <c r="M125" s="481"/>
      <c r="N125" s="2683"/>
      <c r="O125" s="2683"/>
      <c r="P125" s="2693"/>
      <c r="Q125" s="2670"/>
      <c r="R125" s="2649"/>
      <c r="S125" s="2649"/>
      <c r="T125" s="2649"/>
      <c r="U125" s="2649"/>
      <c r="V125" s="2649"/>
      <c r="W125" s="2649"/>
      <c r="X125" s="2649"/>
      <c r="Y125" s="2649"/>
      <c r="Z125" s="2649"/>
      <c r="AA125" s="2649"/>
      <c r="AB125" s="2649"/>
      <c r="AC125" s="2649"/>
    </row>
    <row r="126" spans="1:29" ht="15.75" thickBot="1">
      <c r="A126" s="375"/>
      <c r="B126" s="482"/>
      <c r="C126" s="483">
        <v>100</v>
      </c>
      <c r="D126" s="483">
        <f>C126-$K44</f>
        <v>100</v>
      </c>
      <c r="E126" s="483">
        <f>D126-$K44</f>
        <v>100</v>
      </c>
      <c r="F126" s="483">
        <f>E126-$K44</f>
        <v>100</v>
      </c>
      <c r="G126" s="483">
        <f>F126-$K44</f>
        <v>100</v>
      </c>
      <c r="H126" s="483"/>
      <c r="I126" s="483"/>
      <c r="J126" s="483"/>
      <c r="K126" s="483"/>
      <c r="L126" s="483"/>
      <c r="M126" s="484"/>
      <c r="N126" s="2684"/>
      <c r="O126" s="2684"/>
      <c r="P126" s="2692"/>
      <c r="Q126" s="2670"/>
      <c r="R126" s="2649"/>
      <c r="S126" s="2649"/>
      <c r="T126" s="2649"/>
      <c r="U126" s="2649"/>
      <c r="V126" s="2649"/>
      <c r="W126" s="2649"/>
      <c r="X126" s="2649"/>
      <c r="Y126" s="2649"/>
      <c r="Z126" s="2649"/>
      <c r="AA126" s="2649"/>
      <c r="AB126" s="2649"/>
      <c r="AC126" s="2649"/>
    </row>
    <row r="127" spans="1:29" s="416" customFormat="1" ht="15" thickTop="1">
      <c r="A127" s="414"/>
      <c r="B127" s="477">
        <f>B45</f>
        <v>111</v>
      </c>
      <c r="C127" s="493"/>
      <c r="D127" s="493"/>
      <c r="E127" s="493"/>
      <c r="F127" s="493"/>
      <c r="G127" s="493"/>
      <c r="H127" s="494"/>
      <c r="I127" s="494"/>
      <c r="J127" s="494"/>
      <c r="K127" s="494"/>
      <c r="L127" s="495"/>
      <c r="M127" s="496"/>
      <c r="N127" s="2685"/>
      <c r="O127" s="2685"/>
      <c r="P127" s="2693"/>
      <c r="Q127" s="2677"/>
      <c r="R127" s="2655"/>
      <c r="S127" s="2655"/>
      <c r="T127" s="2655"/>
      <c r="U127" s="2655"/>
      <c r="V127" s="2655"/>
      <c r="W127" s="2655"/>
      <c r="X127" s="2655"/>
      <c r="Y127" s="2655"/>
      <c r="Z127" s="2655"/>
      <c r="AA127" s="2655"/>
      <c r="AB127" s="2655"/>
      <c r="AC127" s="2655"/>
    </row>
    <row r="128" spans="1:29" s="416" customFormat="1" ht="15.75" thickBot="1">
      <c r="A128" s="492"/>
      <c r="B128" s="482"/>
      <c r="C128" s="499"/>
      <c r="D128" s="475"/>
      <c r="E128" s="475"/>
      <c r="F128" s="475"/>
      <c r="G128" s="499"/>
      <c r="H128" s="501"/>
      <c r="I128" s="501"/>
      <c r="J128" s="501"/>
      <c r="K128" s="501"/>
      <c r="L128" s="501"/>
      <c r="M128" s="502"/>
      <c r="N128" s="2685"/>
      <c r="O128" s="2685"/>
      <c r="P128" s="2693"/>
      <c r="Q128" s="2677"/>
      <c r="R128" s="2655"/>
      <c r="S128" s="2655"/>
      <c r="T128" s="2655"/>
      <c r="U128" s="2655"/>
      <c r="V128" s="2655"/>
      <c r="W128" s="2655"/>
      <c r="X128" s="2655"/>
      <c r="Y128" s="2655"/>
      <c r="Z128" s="2655"/>
      <c r="AA128" s="2655"/>
      <c r="AB128" s="2655"/>
      <c r="AC128" s="2655"/>
    </row>
    <row r="129" spans="1:29" ht="15" thickTop="1">
      <c r="A129" s="417"/>
      <c r="B129" s="477">
        <f>B46</f>
        <v>111</v>
      </c>
      <c r="C129" s="493"/>
      <c r="D129" s="493"/>
      <c r="E129" s="493"/>
      <c r="F129" s="493"/>
      <c r="G129" s="521"/>
      <c r="H129" s="521"/>
      <c r="I129" s="521"/>
      <c r="J129" s="521"/>
      <c r="K129" s="522"/>
      <c r="L129" s="523"/>
      <c r="M129" s="524"/>
      <c r="N129" s="2683"/>
      <c r="O129" s="2683"/>
      <c r="P129" s="2692"/>
      <c r="Q129" s="2670"/>
      <c r="R129" s="2649"/>
      <c r="S129" s="2649"/>
      <c r="T129" s="2649"/>
      <c r="U129" s="2649"/>
      <c r="V129" s="2649"/>
      <c r="W129" s="2649"/>
      <c r="X129" s="2649"/>
      <c r="Y129" s="2649"/>
      <c r="Z129" s="2649"/>
      <c r="AA129" s="2649"/>
      <c r="AB129" s="2649"/>
      <c r="AC129" s="2649"/>
    </row>
    <row r="130" spans="1:29" ht="15.75" thickBot="1">
      <c r="A130" s="375"/>
      <c r="B130" s="482"/>
      <c r="C130" s="499"/>
      <c r="D130" s="499"/>
      <c r="E130" s="499"/>
      <c r="F130" s="499"/>
      <c r="G130" s="475"/>
      <c r="H130" s="475"/>
      <c r="I130" s="475"/>
      <c r="J130" s="475"/>
      <c r="K130" s="475"/>
      <c r="L130" s="475"/>
      <c r="M130" s="476"/>
      <c r="N130" s="2684"/>
      <c r="O130" s="2684"/>
      <c r="P130" s="2692"/>
      <c r="Q130" s="2670"/>
      <c r="R130" s="2649"/>
      <c r="S130" s="2649"/>
      <c r="T130" s="2649"/>
      <c r="U130" s="2649"/>
      <c r="V130" s="2649"/>
      <c r="W130" s="2649"/>
      <c r="X130" s="2649"/>
      <c r="Y130" s="2649"/>
      <c r="Z130" s="2649"/>
      <c r="AA130" s="2649"/>
      <c r="AB130" s="2649"/>
      <c r="AC130" s="2649"/>
    </row>
    <row r="131" spans="1:29" ht="15" thickTop="1">
      <c r="A131" s="417"/>
      <c r="B131" s="485">
        <f>B47</f>
        <v>111</v>
      </c>
      <c r="C131" s="34"/>
      <c r="D131" s="34"/>
      <c r="E131" s="34"/>
      <c r="F131" s="34"/>
      <c r="G131" s="525"/>
      <c r="H131" s="525"/>
      <c r="I131" s="525"/>
      <c r="J131" s="525"/>
      <c r="K131" s="34"/>
      <c r="L131" s="465"/>
      <c r="M131" s="528"/>
      <c r="N131" s="2683"/>
      <c r="O131" s="2683"/>
      <c r="P131" s="2692"/>
      <c r="Q131" s="2670"/>
      <c r="R131" s="2649"/>
      <c r="S131" s="2649"/>
      <c r="T131" s="2649"/>
      <c r="U131" s="2649"/>
      <c r="V131" s="2649"/>
      <c r="W131" s="2649"/>
      <c r="X131" s="2649"/>
      <c r="Y131" s="2649"/>
      <c r="Z131" s="2649"/>
      <c r="AA131" s="2649"/>
      <c r="AB131" s="2649"/>
      <c r="AC131" s="2649"/>
    </row>
    <row r="132" spans="1:29" ht="15.75" thickBot="1">
      <c r="A132" s="383"/>
      <c r="B132" s="508"/>
      <c r="C132" s="509"/>
      <c r="D132" s="509"/>
      <c r="E132" s="509"/>
      <c r="F132" s="509"/>
      <c r="G132" s="529"/>
      <c r="H132" s="529"/>
      <c r="I132" s="529"/>
      <c r="J132" s="529"/>
      <c r="K132" s="529"/>
      <c r="L132" s="529"/>
      <c r="M132" s="530"/>
      <c r="N132" s="2684"/>
      <c r="O132" s="2684"/>
      <c r="P132" s="2692"/>
      <c r="Q132" s="2670"/>
      <c r="R132" s="2649"/>
      <c r="S132" s="2649"/>
      <c r="T132" s="2649"/>
      <c r="U132" s="2649"/>
      <c r="V132" s="2649"/>
      <c r="W132" s="2649"/>
      <c r="X132" s="2649"/>
      <c r="Y132" s="2649"/>
      <c r="Z132" s="2649"/>
      <c r="AA132" s="2649"/>
      <c r="AB132" s="2649"/>
      <c r="AC132" s="264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2104</v>
      </c>
      <c r="B1" s="1938" t="s">
        <v>2278</v>
      </c>
      <c r="C1" s="1256" t="s">
        <v>2106</v>
      </c>
      <c r="D1" s="1257"/>
      <c r="E1" s="1266"/>
      <c r="F1" s="1865"/>
      <c r="G1" s="1267" t="s">
        <v>2219</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1903</v>
      </c>
      <c r="B2" s="1195" t="e">
        <f ca="1">IF(C2="——",ROUND(C43*D3/10000,0),ROUND(C43*D3/10000,0)-D2)</f>
        <v>#DIV/0!</v>
      </c>
      <c r="C2" s="1867"/>
      <c r="D2" s="961" t="e">
        <f ca="1">SUMIF(INDIRECT("'"&amp;F2&amp;"'"&amp;"!A:A"),"承租人权益价值",INDIRECT("'"&amp;F2&amp;"'"&amp;"!c:c"))</f>
        <v>#REF!</v>
      </c>
      <c r="E2" s="1868" t="s">
        <v>1904</v>
      </c>
      <c r="F2" s="1869"/>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1905</v>
      </c>
      <c r="B3" s="544" t="e">
        <f ca="1">IF(C2="——",C43,ROUND(B2*10000/D3,0))</f>
        <v>#DIV/0!</v>
      </c>
      <c r="C3" s="350" t="s">
        <v>2220</v>
      </c>
      <c r="D3" s="349">
        <f>IF(D1="",'数据-汇总表'!E3,SUMIF('数据-汇总表'!$C19:$C33,D1,'数据-汇总表'!$E19:$E33))</f>
        <v>176954.78</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5">
      <c r="A4" s="351" t="s">
        <v>2221</v>
      </c>
      <c r="B4" s="352"/>
      <c r="C4" s="3361" t="s">
        <v>2222</v>
      </c>
      <c r="D4" s="3362"/>
      <c r="E4" s="3363" t="s">
        <v>2223</v>
      </c>
      <c r="F4" s="3364"/>
      <c r="G4" s="3361" t="s">
        <v>2224</v>
      </c>
      <c r="H4" s="3362"/>
      <c r="I4" s="3361" t="s">
        <v>2225</v>
      </c>
      <c r="J4" s="3362"/>
      <c r="K4" s="545" t="s">
        <v>2226</v>
      </c>
      <c r="L4" s="967"/>
      <c r="M4" s="968"/>
      <c r="N4" s="968"/>
      <c r="O4" s="968"/>
      <c r="P4" s="3365" t="s">
        <v>2227</v>
      </c>
      <c r="Q4" s="3366"/>
      <c r="R4" s="3348" t="s">
        <v>2223</v>
      </c>
      <c r="S4" s="3349"/>
      <c r="T4" s="3348" t="s">
        <v>2224</v>
      </c>
      <c r="U4" s="3349"/>
      <c r="V4" s="3373" t="s">
        <v>2225</v>
      </c>
      <c r="W4" s="3373"/>
      <c r="X4" s="1394"/>
      <c r="Y4" s="3348" t="s">
        <v>2227</v>
      </c>
      <c r="Z4" s="3349"/>
      <c r="AA4" s="3343" t="s">
        <v>2223</v>
      </c>
      <c r="AB4" s="3344" t="s">
        <v>2224</v>
      </c>
      <c r="AC4" s="3343" t="s">
        <v>2225</v>
      </c>
    </row>
    <row r="5" spans="1:29" ht="15">
      <c r="A5" s="354"/>
      <c r="B5" s="355"/>
      <c r="C5" s="3354" t="s">
        <v>2118</v>
      </c>
      <c r="D5" s="3355"/>
      <c r="E5" s="3352" t="s">
        <v>2119</v>
      </c>
      <c r="F5" s="3353"/>
      <c r="G5" s="3354" t="s">
        <v>2120</v>
      </c>
      <c r="H5" s="3355"/>
      <c r="I5" s="3354" t="s">
        <v>2121</v>
      </c>
      <c r="J5" s="3355"/>
      <c r="K5" s="545"/>
      <c r="L5" s="967"/>
      <c r="M5" s="968"/>
      <c r="N5" s="968"/>
      <c r="O5" s="968"/>
      <c r="P5" s="3367"/>
      <c r="Q5" s="3368"/>
      <c r="R5" s="3350"/>
      <c r="S5" s="3351"/>
      <c r="T5" s="3350"/>
      <c r="U5" s="3351"/>
      <c r="V5" s="3373"/>
      <c r="W5" s="3373"/>
      <c r="X5" s="1394"/>
      <c r="Y5" s="3350"/>
      <c r="Z5" s="3351"/>
      <c r="AA5" s="3344"/>
      <c r="AB5" s="3344"/>
      <c r="AC5" s="3344"/>
    </row>
    <row r="6" spans="1:29" ht="15.75" thickBot="1">
      <c r="A6" s="356"/>
      <c r="B6" s="357"/>
      <c r="C6" s="3356" t="s">
        <v>2122</v>
      </c>
      <c r="D6" s="3357"/>
      <c r="E6" s="3358" t="s">
        <v>2122</v>
      </c>
      <c r="F6" s="3359"/>
      <c r="G6" s="3356" t="s">
        <v>2122</v>
      </c>
      <c r="H6" s="3357"/>
      <c r="I6" s="3356" t="s">
        <v>2122</v>
      </c>
      <c r="J6" s="3357"/>
      <c r="K6" s="545" t="s">
        <v>2123</v>
      </c>
      <c r="L6" s="967"/>
      <c r="M6" s="968"/>
      <c r="N6" s="968"/>
      <c r="O6" s="968"/>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c r="F7" s="363">
        <f>SUMIF(52:52,YEAR(E7)&amp;"-"&amp;MONTH(E7),53:53)</f>
        <v>0</v>
      </c>
      <c r="G7" s="362"/>
      <c r="H7" s="361">
        <f>SUMIF(52:52,YEAR(G7)&amp;"-"&amp;MONTH(G7),53:53)</f>
        <v>0</v>
      </c>
      <c r="I7" s="362"/>
      <c r="J7" s="361">
        <f>SUMIF(52:52,YEAR(I7)&amp;"-"&amp;MONTH(I7),53:53)</f>
        <v>0</v>
      </c>
      <c r="K7" s="41"/>
      <c r="L7" s="969"/>
      <c r="M7" s="970"/>
      <c r="N7" s="970"/>
      <c r="O7" s="970"/>
      <c r="P7" s="3346" t="s">
        <v>2125</v>
      </c>
      <c r="Q7" s="3374"/>
      <c r="R7" s="673" t="s">
        <v>17</v>
      </c>
      <c r="S7" s="674">
        <f t="shared" ref="S7:S15" si="0">F7</f>
        <v>0</v>
      </c>
      <c r="T7" s="673" t="s">
        <v>17</v>
      </c>
      <c r="U7" s="674">
        <f t="shared" ref="U7:U15" si="1">H7</f>
        <v>0</v>
      </c>
      <c r="V7" s="673" t="s">
        <v>17</v>
      </c>
      <c r="W7" s="674">
        <f t="shared" ref="W7:W15" si="2">J7</f>
        <v>0</v>
      </c>
      <c r="X7" s="675"/>
      <c r="Y7" s="3346" t="s">
        <v>2125</v>
      </c>
      <c r="Z7" s="3347"/>
      <c r="AA7" s="53" t="e">
        <f>D7/F7</f>
        <v>#DIV/0!</v>
      </c>
      <c r="AB7" s="53" t="e">
        <f>D7/H7</f>
        <v>#DIV/0!</v>
      </c>
      <c r="AC7" s="53" t="e">
        <f>D7/J7</f>
        <v>#DIV/0!</v>
      </c>
    </row>
    <row r="8" spans="1:29" s="107" customFormat="1" ht="15.75" thickBot="1">
      <c r="A8" s="358" t="s">
        <v>2126</v>
      </c>
      <c r="B8" s="359"/>
      <c r="C8" s="364" t="s">
        <v>2127</v>
      </c>
      <c r="D8" s="361">
        <v>100</v>
      </c>
      <c r="E8" s="364"/>
      <c r="F8" s="363">
        <f>SUMIF(55:55,E8,56:56)-SUMIF(55:55,C8,56:56)+100</f>
        <v>0</v>
      </c>
      <c r="G8" s="364"/>
      <c r="H8" s="361">
        <f>SUMIF(55:55,G8,56:56)-SUMIF(55:55,C8,56:56)+100</f>
        <v>0</v>
      </c>
      <c r="I8" s="364"/>
      <c r="J8" s="361">
        <f>SUMIF(55:55,I8,56:56)-SUMIF(55:55,C8,56:56)+100</f>
        <v>0</v>
      </c>
      <c r="K8" s="41"/>
      <c r="L8" s="969"/>
      <c r="M8" s="970"/>
      <c r="N8" s="970"/>
      <c r="O8" s="970"/>
      <c r="P8" s="3346" t="s">
        <v>2128</v>
      </c>
      <c r="Q8" s="3347"/>
      <c r="R8" s="673" t="s">
        <v>17</v>
      </c>
      <c r="S8" s="674">
        <f t="shared" si="0"/>
        <v>0</v>
      </c>
      <c r="T8" s="673" t="s">
        <v>17</v>
      </c>
      <c r="U8" s="674">
        <f t="shared" si="1"/>
        <v>0</v>
      </c>
      <c r="V8" s="673" t="s">
        <v>17</v>
      </c>
      <c r="W8" s="674">
        <f t="shared" si="2"/>
        <v>0</v>
      </c>
      <c r="X8" s="675"/>
      <c r="Y8" s="3346" t="s">
        <v>2128</v>
      </c>
      <c r="Z8" s="3347"/>
      <c r="AA8" s="53" t="e">
        <f t="shared" ref="AA8:AA40" si="3">D8/F8</f>
        <v>#DIV/0!</v>
      </c>
      <c r="AB8" s="53" t="e">
        <f t="shared" ref="AB8:AB40" si="4">D8/H8</f>
        <v>#DIV/0!</v>
      </c>
      <c r="AC8" s="53" t="e">
        <f t="shared" ref="AC8:AC40" si="5">D8/J8</f>
        <v>#DIV/0!</v>
      </c>
    </row>
    <row r="9" spans="1:29" s="107" customFormat="1">
      <c r="A9" s="365" t="s">
        <v>2129</v>
      </c>
      <c r="B9" s="64" t="s">
        <v>2130</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360" t="s">
        <v>2131</v>
      </c>
      <c r="Q9" s="538" t="str">
        <f t="shared" ref="Q9:Q15" si="6">B9</f>
        <v>用途</v>
      </c>
      <c r="R9" s="673" t="s">
        <v>17</v>
      </c>
      <c r="S9" s="674">
        <f t="shared" si="0"/>
        <v>100</v>
      </c>
      <c r="T9" s="673" t="s">
        <v>17</v>
      </c>
      <c r="U9" s="674">
        <f t="shared" si="1"/>
        <v>100</v>
      </c>
      <c r="V9" s="673" t="s">
        <v>17</v>
      </c>
      <c r="W9" s="674">
        <f t="shared" si="2"/>
        <v>100</v>
      </c>
      <c r="X9" s="675"/>
      <c r="Y9" s="3316" t="s">
        <v>2132</v>
      </c>
      <c r="Z9" s="53" t="str">
        <f t="shared" ref="Z9:Z15" si="7">Q9</f>
        <v>用途</v>
      </c>
      <c r="AA9" s="53">
        <f t="shared" si="3"/>
        <v>1</v>
      </c>
      <c r="AB9" s="53">
        <f t="shared" si="4"/>
        <v>1</v>
      </c>
      <c r="AC9" s="53">
        <f t="shared" si="5"/>
        <v>1</v>
      </c>
    </row>
    <row r="10" spans="1:29" s="374" customFormat="1" ht="27">
      <c r="A10" s="369"/>
      <c r="B10" s="370" t="s">
        <v>2133</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360"/>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53">
        <f t="shared" si="5"/>
        <v>1</v>
      </c>
    </row>
    <row r="11" spans="1:29" ht="15">
      <c r="A11" s="375"/>
      <c r="B11" s="370" t="s">
        <v>2134</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360"/>
      <c r="Q11" s="538" t="str">
        <f t="shared" si="6"/>
        <v>容积率</v>
      </c>
      <c r="R11" s="673" t="s">
        <v>17</v>
      </c>
      <c r="S11" s="674" t="e">
        <f t="shared" si="0"/>
        <v>#N/A</v>
      </c>
      <c r="T11" s="673" t="s">
        <v>17</v>
      </c>
      <c r="U11" s="674" t="e">
        <f t="shared" si="1"/>
        <v>#N/A</v>
      </c>
      <c r="V11" s="673" t="s">
        <v>17</v>
      </c>
      <c r="W11" s="674" t="e">
        <f t="shared" si="2"/>
        <v>#N/A</v>
      </c>
      <c r="X11" s="675"/>
      <c r="Y11" s="3316"/>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8"/>
      <c r="H12" s="124">
        <f>SUMIF(64:64,G12,65:65)-SUMIF(64:64,C12,65:65)+100</f>
        <v>100</v>
      </c>
      <c r="I12" s="415"/>
      <c r="J12" s="124">
        <f>SUMIF(64:64,I12,65:65)-SUMIF(64:64,C12,65:65)+100</f>
        <v>100</v>
      </c>
      <c r="K12" s="547"/>
      <c r="L12" s="969"/>
      <c r="M12" s="970"/>
      <c r="N12" s="970"/>
      <c r="O12" s="971"/>
      <c r="P12" s="3360"/>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8"/>
      <c r="H13" s="382">
        <f>SUMIF(66:66,G13,67:67)-SUMIF(66:66,C13,67:67)+100</f>
        <v>100</v>
      </c>
      <c r="I13" s="415"/>
      <c r="J13" s="382">
        <f>SUMIF(66:66,I13,67:67)-SUMIF(66:66,C13,67:67)+100</f>
        <v>100</v>
      </c>
      <c r="K13" s="547"/>
      <c r="L13" s="977"/>
      <c r="M13" s="968"/>
      <c r="N13" s="968"/>
      <c r="O13" s="976"/>
      <c r="P13" s="3360"/>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53">
        <f t="shared" si="5"/>
        <v>1</v>
      </c>
    </row>
    <row r="14" spans="1:29" ht="15.75" thickBot="1">
      <c r="A14" s="383"/>
      <c r="B14" s="1879">
        <v>111</v>
      </c>
      <c r="C14" s="384"/>
      <c r="D14" s="385">
        <v>100</v>
      </c>
      <c r="E14" s="384"/>
      <c r="F14" s="385">
        <f>SUMIF(68:68,E14,69:69)-SUMIF(68:68,C14,69:69)+100</f>
        <v>100</v>
      </c>
      <c r="G14" s="1948"/>
      <c r="H14" s="385">
        <f>SUMIF(68:68,G14,69:69)-SUMIF(68:68,C14,69:69)+100</f>
        <v>100</v>
      </c>
      <c r="I14" s="415"/>
      <c r="J14" s="385">
        <f>SUMIF(68:68,I14,69:69)-SUMIF(68:68,C14,69:69)+100</f>
        <v>100</v>
      </c>
      <c r="K14" s="547"/>
      <c r="L14" s="977"/>
      <c r="M14" s="968"/>
      <c r="N14" s="968"/>
      <c r="O14" s="976"/>
      <c r="P14" s="3360"/>
      <c r="Q14" s="538">
        <f t="shared" si="6"/>
        <v>111</v>
      </c>
      <c r="R14" s="673" t="s">
        <v>17</v>
      </c>
      <c r="S14" s="674">
        <f t="shared" si="0"/>
        <v>100</v>
      </c>
      <c r="T14" s="673" t="s">
        <v>17</v>
      </c>
      <c r="U14" s="674">
        <f t="shared" si="1"/>
        <v>100</v>
      </c>
      <c r="V14" s="673" t="s">
        <v>17</v>
      </c>
      <c r="W14" s="674">
        <f t="shared" si="2"/>
        <v>100</v>
      </c>
      <c r="X14" s="675"/>
      <c r="Y14" s="3316"/>
      <c r="Z14" s="53">
        <f t="shared" si="7"/>
        <v>111</v>
      </c>
      <c r="AA14" s="53">
        <f t="shared" si="3"/>
        <v>1</v>
      </c>
      <c r="AB14" s="53">
        <f t="shared" si="4"/>
        <v>1</v>
      </c>
      <c r="AC14" s="53">
        <f t="shared" si="5"/>
        <v>1</v>
      </c>
    </row>
    <row r="15" spans="1:29" ht="57">
      <c r="A15" s="387" t="s">
        <v>2135</v>
      </c>
      <c r="B15" s="62" t="s">
        <v>2279</v>
      </c>
      <c r="C15" s="1949"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375" t="s">
        <v>2136</v>
      </c>
      <c r="Q15" s="1392" t="str">
        <f t="shared" si="6"/>
        <v>产业集聚程度</v>
      </c>
      <c r="R15" s="676" t="s">
        <v>17</v>
      </c>
      <c r="S15" s="677">
        <f t="shared" si="0"/>
        <v>100</v>
      </c>
      <c r="T15" s="676" t="s">
        <v>17</v>
      </c>
      <c r="U15" s="677">
        <f t="shared" si="1"/>
        <v>100</v>
      </c>
      <c r="V15" s="676" t="s">
        <v>17</v>
      </c>
      <c r="W15" s="677">
        <f t="shared" si="2"/>
        <v>100</v>
      </c>
      <c r="X15" s="1394"/>
      <c r="Y15" s="3375" t="s">
        <v>2136</v>
      </c>
      <c r="Z15" s="1393" t="str">
        <f t="shared" si="7"/>
        <v>产业集聚程度</v>
      </c>
      <c r="AA15" s="1393">
        <f t="shared" si="3"/>
        <v>1</v>
      </c>
      <c r="AB15" s="1393">
        <f t="shared" si="4"/>
        <v>1</v>
      </c>
      <c r="AC15" s="1393">
        <f t="shared" si="5"/>
        <v>1</v>
      </c>
    </row>
    <row r="16" spans="1:29" ht="15">
      <c r="A16" s="375"/>
      <c r="B16" s="393"/>
      <c r="C16" s="394"/>
      <c r="D16" s="395"/>
      <c r="E16" s="394"/>
      <c r="F16" s="396"/>
      <c r="G16" s="394"/>
      <c r="H16" s="397"/>
      <c r="I16" s="394"/>
      <c r="J16" s="395"/>
      <c r="K16" s="549"/>
      <c r="L16" s="977"/>
      <c r="M16" s="968"/>
      <c r="N16" s="968"/>
      <c r="O16" s="976"/>
      <c r="P16" s="3376"/>
      <c r="Q16" s="1392"/>
      <c r="R16" s="676"/>
      <c r="S16" s="677"/>
      <c r="T16" s="676"/>
      <c r="U16" s="677"/>
      <c r="V16" s="676"/>
      <c r="W16" s="677"/>
      <c r="X16" s="1394"/>
      <c r="Y16" s="3376"/>
      <c r="Z16" s="1393"/>
      <c r="AA16" s="1393">
        <v>1</v>
      </c>
      <c r="AB16" s="1393">
        <v>1</v>
      </c>
      <c r="AC16" s="1393">
        <v>1</v>
      </c>
    </row>
    <row r="17" spans="1:29" ht="85.5">
      <c r="A17" s="375"/>
      <c r="B17" s="398" t="s">
        <v>1704</v>
      </c>
      <c r="C17" s="1884"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376"/>
      <c r="Q17" s="1392" t="str">
        <f>B17</f>
        <v>交通便捷度</v>
      </c>
      <c r="R17" s="676" t="s">
        <v>17</v>
      </c>
      <c r="S17" s="677">
        <f>F17</f>
        <v>100</v>
      </c>
      <c r="T17" s="676" t="s">
        <v>17</v>
      </c>
      <c r="U17" s="677">
        <f>H17</f>
        <v>100</v>
      </c>
      <c r="V17" s="676" t="s">
        <v>17</v>
      </c>
      <c r="W17" s="677">
        <f>J17</f>
        <v>100</v>
      </c>
      <c r="X17" s="1394"/>
      <c r="Y17" s="3376"/>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977"/>
      <c r="M18" s="968"/>
      <c r="N18" s="968"/>
      <c r="O18" s="976"/>
      <c r="P18" s="3376"/>
      <c r="Q18" s="1392"/>
      <c r="R18" s="676"/>
      <c r="S18" s="677"/>
      <c r="T18" s="676"/>
      <c r="U18" s="677"/>
      <c r="V18" s="676"/>
      <c r="W18" s="677"/>
      <c r="X18" s="1394"/>
      <c r="Y18" s="3376"/>
      <c r="Z18" s="1393"/>
      <c r="AA18" s="1393">
        <v>1</v>
      </c>
      <c r="AB18" s="1393">
        <v>1</v>
      </c>
      <c r="AC18" s="1393">
        <v>1</v>
      </c>
    </row>
    <row r="19" spans="1:29" ht="42.75">
      <c r="A19" s="375"/>
      <c r="B19" s="398" t="s">
        <v>2264</v>
      </c>
      <c r="C19" s="1884"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376"/>
      <c r="Q19" s="1392" t="str">
        <f>B19</f>
        <v>公共配套设施</v>
      </c>
      <c r="R19" s="676" t="s">
        <v>17</v>
      </c>
      <c r="S19" s="677">
        <f>F19</f>
        <v>100</v>
      </c>
      <c r="T19" s="676" t="s">
        <v>17</v>
      </c>
      <c r="U19" s="677">
        <f>H19</f>
        <v>100</v>
      </c>
      <c r="V19" s="676" t="s">
        <v>17</v>
      </c>
      <c r="W19" s="677">
        <f>J19</f>
        <v>100</v>
      </c>
      <c r="X19" s="1394"/>
      <c r="Y19" s="3376"/>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977"/>
      <c r="M20" s="968"/>
      <c r="N20" s="968"/>
      <c r="O20" s="976"/>
      <c r="P20" s="3376"/>
      <c r="Q20" s="1392"/>
      <c r="R20" s="676"/>
      <c r="S20" s="677"/>
      <c r="T20" s="676"/>
      <c r="U20" s="677"/>
      <c r="V20" s="676"/>
      <c r="W20" s="677"/>
      <c r="X20" s="1394"/>
      <c r="Y20" s="3376"/>
      <c r="Z20" s="1393"/>
      <c r="AA20" s="1393">
        <v>1</v>
      </c>
      <c r="AB20" s="1393">
        <v>1</v>
      </c>
      <c r="AC20" s="1393">
        <v>1</v>
      </c>
    </row>
    <row r="21" spans="1:29" ht="28.5">
      <c r="A21" s="375"/>
      <c r="B21" s="594" t="s">
        <v>2265</v>
      </c>
      <c r="C21" s="1884"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376"/>
      <c r="Q21" s="1392" t="str">
        <f>B21</f>
        <v>基础设施水平</v>
      </c>
      <c r="R21" s="676" t="s">
        <v>17</v>
      </c>
      <c r="S21" s="677">
        <f>F21</f>
        <v>100</v>
      </c>
      <c r="T21" s="676" t="s">
        <v>17</v>
      </c>
      <c r="U21" s="677">
        <f>H21</f>
        <v>100</v>
      </c>
      <c r="V21" s="676" t="s">
        <v>17</v>
      </c>
      <c r="W21" s="677">
        <f>J21</f>
        <v>100</v>
      </c>
      <c r="X21" s="1394"/>
      <c r="Y21" s="3376"/>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6"/>
      <c r="G22" s="394"/>
      <c r="H22" s="395"/>
      <c r="I22" s="394"/>
      <c r="J22" s="395"/>
      <c r="K22" s="1174"/>
      <c r="L22" s="977"/>
      <c r="M22" s="968"/>
      <c r="N22" s="968"/>
      <c r="O22" s="976"/>
      <c r="P22" s="3376"/>
      <c r="Q22" s="1392"/>
      <c r="R22" s="676"/>
      <c r="S22" s="677"/>
      <c r="T22" s="676"/>
      <c r="U22" s="677"/>
      <c r="V22" s="676"/>
      <c r="W22" s="677"/>
      <c r="X22" s="1394"/>
      <c r="Y22" s="3376"/>
      <c r="Z22" s="1393"/>
      <c r="AA22" s="1393">
        <v>1</v>
      </c>
      <c r="AB22" s="1393">
        <v>1</v>
      </c>
      <c r="AC22" s="1393">
        <v>1</v>
      </c>
    </row>
    <row r="23" spans="1:29" ht="71.25">
      <c r="A23" s="375"/>
      <c r="B23" s="398" t="s">
        <v>2266</v>
      </c>
      <c r="C23" s="1884"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376"/>
      <c r="Q23" s="1392" t="str">
        <f>B23</f>
        <v>环境质量</v>
      </c>
      <c r="R23" s="676" t="s">
        <v>17</v>
      </c>
      <c r="S23" s="677">
        <f>F23</f>
        <v>100</v>
      </c>
      <c r="T23" s="676" t="s">
        <v>17</v>
      </c>
      <c r="U23" s="677">
        <f>H23</f>
        <v>100</v>
      </c>
      <c r="V23" s="676" t="s">
        <v>17</v>
      </c>
      <c r="W23" s="677">
        <f>J23</f>
        <v>100</v>
      </c>
      <c r="X23" s="1394"/>
      <c r="Y23" s="3376"/>
      <c r="Z23" s="1393" t="str">
        <f>Q23</f>
        <v>环境质量</v>
      </c>
      <c r="AA23" s="1393">
        <f t="shared" si="3"/>
        <v>1</v>
      </c>
      <c r="AB23" s="1393">
        <f t="shared" si="4"/>
        <v>1</v>
      </c>
      <c r="AC23" s="1393">
        <f t="shared" si="5"/>
        <v>1</v>
      </c>
    </row>
    <row r="24" spans="1:29" ht="15">
      <c r="A24" s="375"/>
      <c r="B24" s="594"/>
      <c r="C24" s="394"/>
      <c r="D24" s="395"/>
      <c r="E24" s="1882"/>
      <c r="F24" s="396"/>
      <c r="G24" s="1881"/>
      <c r="H24" s="395"/>
      <c r="I24" s="1882"/>
      <c r="J24" s="395"/>
      <c r="K24" s="549"/>
      <c r="L24" s="977"/>
      <c r="M24" s="968"/>
      <c r="N24" s="968"/>
      <c r="O24" s="976"/>
      <c r="P24" s="3376"/>
      <c r="Q24" s="1392"/>
      <c r="R24" s="676"/>
      <c r="S24" s="677"/>
      <c r="T24" s="676"/>
      <c r="U24" s="677"/>
      <c r="V24" s="676"/>
      <c r="W24" s="677"/>
      <c r="X24" s="1394"/>
      <c r="Y24" s="3376"/>
      <c r="Z24" s="1393"/>
      <c r="AA24" s="1393">
        <v>1</v>
      </c>
      <c r="AB24" s="1393">
        <v>1</v>
      </c>
      <c r="AC24" s="1393">
        <v>1</v>
      </c>
    </row>
    <row r="25" spans="1:29" ht="1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376"/>
      <c r="Q25" s="1392">
        <f>B25</f>
        <v>111</v>
      </c>
      <c r="R25" s="676" t="s">
        <v>17</v>
      </c>
      <c r="S25" s="677">
        <f>F25</f>
        <v>100</v>
      </c>
      <c r="T25" s="676" t="s">
        <v>17</v>
      </c>
      <c r="U25" s="677">
        <f>H25</f>
        <v>100</v>
      </c>
      <c r="V25" s="676" t="s">
        <v>17</v>
      </c>
      <c r="W25" s="677">
        <f>J25</f>
        <v>100</v>
      </c>
      <c r="X25" s="1394"/>
      <c r="Y25" s="3376"/>
      <c r="Z25" s="1393">
        <f>Q25</f>
        <v>111</v>
      </c>
      <c r="AA25" s="1393">
        <f t="shared" si="3"/>
        <v>1</v>
      </c>
      <c r="AB25" s="1393">
        <f t="shared" si="4"/>
        <v>1</v>
      </c>
      <c r="AC25" s="1393">
        <f t="shared" si="5"/>
        <v>1</v>
      </c>
    </row>
    <row r="26" spans="1:29" ht="1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376"/>
      <c r="Q26" s="1392">
        <f t="shared" ref="Q26:Q40" si="11">B26</f>
        <v>111</v>
      </c>
      <c r="R26" s="676" t="s">
        <v>17</v>
      </c>
      <c r="S26" s="677">
        <f>F26</f>
        <v>100</v>
      </c>
      <c r="T26" s="676" t="s">
        <v>17</v>
      </c>
      <c r="U26" s="677">
        <f>H26</f>
        <v>100</v>
      </c>
      <c r="V26" s="676" t="s">
        <v>17</v>
      </c>
      <c r="W26" s="677">
        <f>J26</f>
        <v>100</v>
      </c>
      <c r="X26" s="1394"/>
      <c r="Y26" s="3376"/>
      <c r="Z26" s="1393">
        <f>Q26</f>
        <v>111</v>
      </c>
      <c r="AA26" s="1393">
        <f t="shared" si="3"/>
        <v>1</v>
      </c>
      <c r="AB26" s="1393">
        <f t="shared" si="4"/>
        <v>1</v>
      </c>
      <c r="AC26" s="1393">
        <f t="shared" si="5"/>
        <v>1</v>
      </c>
    </row>
    <row r="27" spans="1:29" s="107" customFormat="1" ht="1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376"/>
      <c r="Q27" s="538">
        <f t="shared" si="11"/>
        <v>111</v>
      </c>
      <c r="R27" s="673" t="s">
        <v>17</v>
      </c>
      <c r="S27" s="674">
        <f>F27</f>
        <v>100</v>
      </c>
      <c r="T27" s="673" t="s">
        <v>17</v>
      </c>
      <c r="U27" s="674">
        <f>H27</f>
        <v>100</v>
      </c>
      <c r="V27" s="673" t="s">
        <v>17</v>
      </c>
      <c r="W27" s="674">
        <f>J27</f>
        <v>100</v>
      </c>
      <c r="X27" s="675"/>
      <c r="Y27" s="3376"/>
      <c r="Z27" s="53">
        <f>Q27</f>
        <v>111</v>
      </c>
      <c r="AA27" s="1393">
        <f>D27/F27</f>
        <v>1</v>
      </c>
      <c r="AB27" s="1393">
        <f>D27/H27</f>
        <v>1</v>
      </c>
      <c r="AC27" s="1393">
        <f>D27/J27</f>
        <v>1</v>
      </c>
    </row>
    <row r="28" spans="1:29" ht="15.75"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376"/>
      <c r="Q28" s="1392">
        <f t="shared" si="11"/>
        <v>111</v>
      </c>
      <c r="R28" s="676" t="s">
        <v>17</v>
      </c>
      <c r="S28" s="677">
        <f t="shared" ref="S28:S40" si="12">F28</f>
        <v>100</v>
      </c>
      <c r="T28" s="676" t="s">
        <v>17</v>
      </c>
      <c r="U28" s="677">
        <f t="shared" ref="U28:U40" si="13">H28</f>
        <v>100</v>
      </c>
      <c r="V28" s="676" t="s">
        <v>17</v>
      </c>
      <c r="W28" s="677">
        <f t="shared" ref="W28:W40" si="14">J28</f>
        <v>100</v>
      </c>
      <c r="X28" s="1394"/>
      <c r="Y28" s="3376"/>
      <c r="Z28" s="1393">
        <f t="shared" ref="Z28:Z40" si="15">Q28</f>
        <v>111</v>
      </c>
      <c r="AA28" s="1393">
        <f t="shared" si="3"/>
        <v>1</v>
      </c>
      <c r="AB28" s="1393">
        <f t="shared" si="4"/>
        <v>1</v>
      </c>
      <c r="AC28" s="1393">
        <f t="shared" si="5"/>
        <v>1</v>
      </c>
    </row>
    <row r="29" spans="1:29" ht="28.5">
      <c r="A29" s="412" t="s">
        <v>2139</v>
      </c>
      <c r="B29" s="64" t="s">
        <v>2269</v>
      </c>
      <c r="C29" s="1894"/>
      <c r="D29" s="413">
        <v>100</v>
      </c>
      <c r="E29" s="1894"/>
      <c r="F29" s="408">
        <f>SUMIF(88:88,E29,89:89)-SUMIF(88:88,C29,89:89)+100</f>
        <v>100</v>
      </c>
      <c r="G29" s="1894"/>
      <c r="H29" s="382">
        <f>SUMIF(88:88,G29,89:89)-SUMIF(88:88,C29,89:89)+100</f>
        <v>100</v>
      </c>
      <c r="I29" s="1894"/>
      <c r="J29" s="413">
        <f>SUMIF(88:88,I29,89:89)-SUMIF(88:88,C29,89:89)+100</f>
        <v>100</v>
      </c>
      <c r="K29" s="546"/>
      <c r="L29" s="977"/>
      <c r="M29" s="968"/>
      <c r="N29" s="968"/>
      <c r="O29" s="976"/>
      <c r="P29" s="3377" t="s">
        <v>2141</v>
      </c>
      <c r="Q29" s="1392" t="str">
        <f t="shared" si="11"/>
        <v>建筑类型</v>
      </c>
      <c r="R29" s="676" t="s">
        <v>17</v>
      </c>
      <c r="S29" s="677">
        <f t="shared" si="12"/>
        <v>100</v>
      </c>
      <c r="T29" s="676" t="s">
        <v>17</v>
      </c>
      <c r="U29" s="677">
        <f t="shared" si="13"/>
        <v>100</v>
      </c>
      <c r="V29" s="676" t="s">
        <v>17</v>
      </c>
      <c r="W29" s="677">
        <f t="shared" si="14"/>
        <v>100</v>
      </c>
      <c r="X29" s="1394"/>
      <c r="Y29" s="3378" t="s">
        <v>2141</v>
      </c>
      <c r="Z29" s="1393" t="str">
        <f t="shared" si="15"/>
        <v>建筑类型</v>
      </c>
      <c r="AA29" s="1393">
        <f t="shared" si="3"/>
        <v>1</v>
      </c>
      <c r="AB29" s="1393">
        <f t="shared" si="4"/>
        <v>1</v>
      </c>
      <c r="AC29" s="1393">
        <f t="shared" si="5"/>
        <v>1</v>
      </c>
    </row>
    <row r="30" spans="1:29" s="416" customFormat="1" ht="15">
      <c r="A30" s="414"/>
      <c r="B30" s="370" t="s">
        <v>2142</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378"/>
      <c r="Q30" s="539" t="str">
        <f t="shared" si="11"/>
        <v>项目建筑规模</v>
      </c>
      <c r="R30" s="678" t="s">
        <v>17</v>
      </c>
      <c r="S30" s="679" t="e">
        <f t="shared" si="12"/>
        <v>#N/A</v>
      </c>
      <c r="T30" s="678" t="s">
        <v>17</v>
      </c>
      <c r="U30" s="679" t="e">
        <f t="shared" si="13"/>
        <v>#N/A</v>
      </c>
      <c r="V30" s="678" t="s">
        <v>17</v>
      </c>
      <c r="W30" s="679" t="e">
        <f t="shared" si="14"/>
        <v>#N/A</v>
      </c>
      <c r="X30" s="680"/>
      <c r="Y30" s="3378"/>
      <c r="Z30" s="681" t="str">
        <f t="shared" si="15"/>
        <v>项目建筑规模</v>
      </c>
      <c r="AA30" s="1393" t="e">
        <f t="shared" si="3"/>
        <v>#N/A</v>
      </c>
      <c r="AB30" s="1393" t="e">
        <f t="shared" si="4"/>
        <v>#N/A</v>
      </c>
      <c r="AC30" s="1393" t="e">
        <f t="shared" si="5"/>
        <v>#N/A</v>
      </c>
    </row>
    <row r="31" spans="1:29" ht="15">
      <c r="A31" s="417"/>
      <c r="B31" s="370" t="s">
        <v>2143</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378"/>
      <c r="Q31" s="1392" t="str">
        <f t="shared" si="11"/>
        <v>建筑结构</v>
      </c>
      <c r="R31" s="676" t="s">
        <v>17</v>
      </c>
      <c r="S31" s="677">
        <f t="shared" si="12"/>
        <v>100</v>
      </c>
      <c r="T31" s="676" t="s">
        <v>17</v>
      </c>
      <c r="U31" s="677">
        <f t="shared" si="13"/>
        <v>100</v>
      </c>
      <c r="V31" s="676" t="s">
        <v>17</v>
      </c>
      <c r="W31" s="677">
        <f t="shared" si="14"/>
        <v>100</v>
      </c>
      <c r="X31" s="1394"/>
      <c r="Y31" s="3378"/>
      <c r="Z31" s="1393" t="str">
        <f t="shared" si="15"/>
        <v>建筑结构</v>
      </c>
      <c r="AA31" s="1393">
        <f t="shared" si="3"/>
        <v>1</v>
      </c>
      <c r="AB31" s="1393">
        <f t="shared" si="4"/>
        <v>1</v>
      </c>
      <c r="AC31" s="1393">
        <f t="shared" si="5"/>
        <v>1</v>
      </c>
    </row>
    <row r="32" spans="1:29" ht="15">
      <c r="A32" s="417"/>
      <c r="B32" s="370" t="s">
        <v>2237</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378"/>
      <c r="Q32" s="1392" t="str">
        <f t="shared" si="11"/>
        <v>公共部分装修</v>
      </c>
      <c r="R32" s="676" t="s">
        <v>17</v>
      </c>
      <c r="S32" s="677">
        <f t="shared" si="12"/>
        <v>100</v>
      </c>
      <c r="T32" s="676" t="s">
        <v>17</v>
      </c>
      <c r="U32" s="677">
        <f t="shared" si="13"/>
        <v>100</v>
      </c>
      <c r="V32" s="676" t="s">
        <v>17</v>
      </c>
      <c r="W32" s="677">
        <f t="shared" si="14"/>
        <v>100</v>
      </c>
      <c r="X32" s="1394"/>
      <c r="Y32" s="3378"/>
      <c r="Z32" s="1393" t="str">
        <f t="shared" si="15"/>
        <v>公共部分装修</v>
      </c>
      <c r="AA32" s="1393">
        <f t="shared" si="3"/>
        <v>1</v>
      </c>
      <c r="AB32" s="1393">
        <f t="shared" si="4"/>
        <v>1</v>
      </c>
      <c r="AC32" s="1393">
        <f t="shared" si="5"/>
        <v>1</v>
      </c>
    </row>
    <row r="33" spans="1:29" ht="15">
      <c r="A33" s="417"/>
      <c r="B33" s="370" t="s">
        <v>2238</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378"/>
      <c r="Q33" s="1392" t="str">
        <f t="shared" si="11"/>
        <v>成新度</v>
      </c>
      <c r="R33" s="676" t="s">
        <v>17</v>
      </c>
      <c r="S33" s="677" t="e">
        <f t="shared" si="12"/>
        <v>#N/A</v>
      </c>
      <c r="T33" s="676" t="s">
        <v>17</v>
      </c>
      <c r="U33" s="677" t="e">
        <f t="shared" si="13"/>
        <v>#N/A</v>
      </c>
      <c r="V33" s="676" t="s">
        <v>17</v>
      </c>
      <c r="W33" s="677" t="e">
        <f t="shared" si="14"/>
        <v>#N/A</v>
      </c>
      <c r="X33" s="1394"/>
      <c r="Y33" s="3378"/>
      <c r="Z33" s="1393" t="str">
        <f t="shared" si="15"/>
        <v>成新度</v>
      </c>
      <c r="AA33" s="1393" t="e">
        <f t="shared" si="3"/>
        <v>#N/A</v>
      </c>
      <c r="AB33" s="1393" t="e">
        <f t="shared" si="4"/>
        <v>#N/A</v>
      </c>
      <c r="AC33" s="1393" t="e">
        <f t="shared" si="5"/>
        <v>#N/A</v>
      </c>
    </row>
    <row r="34" spans="1:29" s="107" customFormat="1" ht="15">
      <c r="A34" s="418"/>
      <c r="B34" s="370" t="s">
        <v>2271</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378"/>
      <c r="Q34" s="538" t="str">
        <f t="shared" si="11"/>
        <v>物业管理</v>
      </c>
      <c r="R34" s="673" t="s">
        <v>17</v>
      </c>
      <c r="S34" s="674">
        <f t="shared" si="12"/>
        <v>100</v>
      </c>
      <c r="T34" s="673" t="s">
        <v>17</v>
      </c>
      <c r="U34" s="674">
        <f t="shared" si="13"/>
        <v>100</v>
      </c>
      <c r="V34" s="673" t="s">
        <v>17</v>
      </c>
      <c r="W34" s="674">
        <f t="shared" si="14"/>
        <v>100</v>
      </c>
      <c r="X34" s="675"/>
      <c r="Y34" s="3378"/>
      <c r="Z34" s="53" t="str">
        <f t="shared" si="15"/>
        <v>物业管理</v>
      </c>
      <c r="AA34" s="53">
        <f t="shared" si="3"/>
        <v>1</v>
      </c>
      <c r="AB34" s="53">
        <f t="shared" si="4"/>
        <v>1</v>
      </c>
      <c r="AC34" s="53">
        <f t="shared" si="5"/>
        <v>1</v>
      </c>
    </row>
    <row r="35" spans="1:29" ht="15">
      <c r="A35" s="417"/>
      <c r="B35" s="370" t="s">
        <v>2239</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378" t="s">
        <v>2141</v>
      </c>
      <c r="Q35" s="1392" t="str">
        <f t="shared" si="11"/>
        <v>市政基础设施</v>
      </c>
      <c r="R35" s="676" t="s">
        <v>17</v>
      </c>
      <c r="S35" s="677">
        <f t="shared" si="12"/>
        <v>100</v>
      </c>
      <c r="T35" s="676" t="s">
        <v>17</v>
      </c>
      <c r="U35" s="677">
        <f t="shared" si="13"/>
        <v>100</v>
      </c>
      <c r="V35" s="676" t="s">
        <v>17</v>
      </c>
      <c r="W35" s="677">
        <f t="shared" si="14"/>
        <v>100</v>
      </c>
      <c r="X35" s="1394"/>
      <c r="Y35" s="3378" t="s">
        <v>2141</v>
      </c>
      <c r="Z35" s="1393" t="str">
        <f t="shared" si="15"/>
        <v>市政基础设施</v>
      </c>
      <c r="AA35" s="1393">
        <f t="shared" si="3"/>
        <v>1</v>
      </c>
      <c r="AB35" s="1393">
        <f t="shared" si="4"/>
        <v>1</v>
      </c>
      <c r="AC35" s="1393">
        <f t="shared" si="5"/>
        <v>1</v>
      </c>
    </row>
    <row r="36" spans="1:29" ht="15">
      <c r="A36" s="417"/>
      <c r="B36" s="370" t="s">
        <v>2244</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378"/>
      <c r="Q36" s="1392" t="str">
        <f t="shared" si="11"/>
        <v>内部装修</v>
      </c>
      <c r="R36" s="676" t="s">
        <v>17</v>
      </c>
      <c r="S36" s="677">
        <f t="shared" si="12"/>
        <v>100</v>
      </c>
      <c r="T36" s="676" t="s">
        <v>17</v>
      </c>
      <c r="U36" s="677">
        <f t="shared" si="13"/>
        <v>100</v>
      </c>
      <c r="V36" s="676" t="s">
        <v>17</v>
      </c>
      <c r="W36" s="677">
        <f t="shared" si="14"/>
        <v>100</v>
      </c>
      <c r="X36" s="1394"/>
      <c r="Y36" s="3378"/>
      <c r="Z36" s="1393" t="str">
        <f t="shared" si="15"/>
        <v>内部装修</v>
      </c>
      <c r="AA36" s="1393">
        <f t="shared" si="3"/>
        <v>1</v>
      </c>
      <c r="AB36" s="1393">
        <f t="shared" si="4"/>
        <v>1</v>
      </c>
      <c r="AC36" s="1393">
        <f t="shared" si="5"/>
        <v>1</v>
      </c>
    </row>
    <row r="37" spans="1:29" ht="15">
      <c r="A37" s="417"/>
      <c r="B37" s="370" t="s">
        <v>2280</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378"/>
      <c r="Q37" s="1392" t="str">
        <f t="shared" si="11"/>
        <v>内部装修状况</v>
      </c>
      <c r="R37" s="676" t="s">
        <v>17</v>
      </c>
      <c r="S37" s="677">
        <f t="shared" si="12"/>
        <v>100</v>
      </c>
      <c r="T37" s="676" t="s">
        <v>17</v>
      </c>
      <c r="U37" s="677">
        <f t="shared" si="13"/>
        <v>100</v>
      </c>
      <c r="V37" s="676" t="s">
        <v>17</v>
      </c>
      <c r="W37" s="677">
        <f t="shared" si="14"/>
        <v>100</v>
      </c>
      <c r="X37" s="1394"/>
      <c r="Y37" s="3378"/>
      <c r="Z37" s="1393" t="str">
        <f t="shared" si="15"/>
        <v>内部装修状况</v>
      </c>
      <c r="AA37" s="1393">
        <f t="shared" si="3"/>
        <v>1</v>
      </c>
      <c r="AB37" s="1393">
        <f t="shared" si="4"/>
        <v>1</v>
      </c>
      <c r="AC37" s="1393">
        <f t="shared" si="5"/>
        <v>1</v>
      </c>
    </row>
    <row r="38" spans="1:29" s="416" customFormat="1" ht="1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378"/>
      <c r="Q38" s="539">
        <f t="shared" si="11"/>
        <v>111</v>
      </c>
      <c r="R38" s="678" t="s">
        <v>17</v>
      </c>
      <c r="S38" s="679">
        <f t="shared" si="12"/>
        <v>100</v>
      </c>
      <c r="T38" s="678" t="s">
        <v>17</v>
      </c>
      <c r="U38" s="679">
        <f t="shared" si="13"/>
        <v>100</v>
      </c>
      <c r="V38" s="678" t="s">
        <v>17</v>
      </c>
      <c r="W38" s="679">
        <f t="shared" si="14"/>
        <v>100</v>
      </c>
      <c r="X38" s="680"/>
      <c r="Y38" s="3378"/>
      <c r="Z38" s="681">
        <f t="shared" si="15"/>
        <v>111</v>
      </c>
      <c r="AA38" s="1393">
        <f t="shared" si="3"/>
        <v>1</v>
      </c>
      <c r="AB38" s="1393">
        <f t="shared" si="4"/>
        <v>1</v>
      </c>
      <c r="AC38" s="1393">
        <f t="shared" si="5"/>
        <v>1</v>
      </c>
    </row>
    <row r="39" spans="1:29" ht="1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378"/>
      <c r="Q39" s="1392">
        <f t="shared" si="11"/>
        <v>111</v>
      </c>
      <c r="R39" s="676" t="s">
        <v>17</v>
      </c>
      <c r="S39" s="677">
        <f t="shared" si="12"/>
        <v>100</v>
      </c>
      <c r="T39" s="676" t="s">
        <v>17</v>
      </c>
      <c r="U39" s="677">
        <f t="shared" si="13"/>
        <v>100</v>
      </c>
      <c r="V39" s="676" t="s">
        <v>17</v>
      </c>
      <c r="W39" s="677">
        <f t="shared" si="14"/>
        <v>100</v>
      </c>
      <c r="X39" s="1394"/>
      <c r="Y39" s="3378"/>
      <c r="Z39" s="1393">
        <f t="shared" si="15"/>
        <v>111</v>
      </c>
      <c r="AA39" s="1393">
        <f t="shared" si="3"/>
        <v>1</v>
      </c>
      <c r="AB39" s="1393">
        <f t="shared" si="4"/>
        <v>1</v>
      </c>
      <c r="AC39" s="1393">
        <f t="shared" si="5"/>
        <v>1</v>
      </c>
    </row>
    <row r="40" spans="1:29" ht="15.75" thickBot="1">
      <c r="A40" s="423"/>
      <c r="B40" s="1879">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415"/>
      <c r="Q40" s="1392">
        <f t="shared" si="11"/>
        <v>111</v>
      </c>
      <c r="R40" s="676" t="s">
        <v>17</v>
      </c>
      <c r="S40" s="677">
        <f t="shared" si="12"/>
        <v>100</v>
      </c>
      <c r="T40" s="676" t="s">
        <v>17</v>
      </c>
      <c r="U40" s="677">
        <f t="shared" si="13"/>
        <v>100</v>
      </c>
      <c r="V40" s="676" t="s">
        <v>17</v>
      </c>
      <c r="W40" s="677">
        <f t="shared" si="14"/>
        <v>100</v>
      </c>
      <c r="X40" s="1394"/>
      <c r="Y40" s="3415"/>
      <c r="Z40" s="1393">
        <f t="shared" si="15"/>
        <v>111</v>
      </c>
      <c r="AA40" s="1393">
        <f t="shared" si="3"/>
        <v>1</v>
      </c>
      <c r="AB40" s="1393">
        <f t="shared" si="4"/>
        <v>1</v>
      </c>
      <c r="AC40" s="1393">
        <f t="shared" si="5"/>
        <v>1</v>
      </c>
    </row>
    <row r="41" spans="1:29" ht="15">
      <c r="A41" s="424" t="s">
        <v>2153</v>
      </c>
      <c r="B41" s="425"/>
      <c r="C41" s="1191" t="s">
        <v>1</v>
      </c>
      <c r="D41" s="426"/>
      <c r="E41" s="427"/>
      <c r="F41" s="428"/>
      <c r="G41" s="429"/>
      <c r="H41" s="430"/>
      <c r="I41" s="427"/>
      <c r="J41" s="430"/>
      <c r="K41" s="683"/>
      <c r="L41" s="980"/>
      <c r="M41" s="968"/>
      <c r="N41" s="968"/>
      <c r="O41" s="968"/>
      <c r="P41" s="3360" t="str">
        <f>A41</f>
        <v>成交单价（元/平方米）</v>
      </c>
      <c r="Q41" s="3360"/>
      <c r="R41" s="3373">
        <f>E41</f>
        <v>0</v>
      </c>
      <c r="S41" s="3373"/>
      <c r="T41" s="3373">
        <f>G41</f>
        <v>0</v>
      </c>
      <c r="U41" s="3373"/>
      <c r="V41" s="3373">
        <f>I41</f>
        <v>0</v>
      </c>
      <c r="W41" s="3373"/>
      <c r="X41" s="393"/>
      <c r="Y41" s="682"/>
      <c r="Z41" s="393"/>
      <c r="AA41" s="393"/>
      <c r="AB41" s="393"/>
      <c r="AC41" s="393"/>
    </row>
    <row r="42" spans="1:29" ht="15.75" thickBot="1">
      <c r="A42" s="431" t="s">
        <v>2245</v>
      </c>
      <c r="B42" s="432"/>
      <c r="C42" s="1192" t="e">
        <f>R43</f>
        <v>#DIV/0!</v>
      </c>
      <c r="D42" s="2301" t="s">
        <v>2634</v>
      </c>
      <c r="E42" s="1193" t="e">
        <f>R42</f>
        <v>#DIV/0!</v>
      </c>
      <c r="F42" s="2302"/>
      <c r="G42" s="1192" t="e">
        <f>T42</f>
        <v>#DIV/0!</v>
      </c>
      <c r="H42" s="2302"/>
      <c r="I42" s="1193" t="e">
        <f>V42</f>
        <v>#DIV/0!</v>
      </c>
      <c r="J42" s="2302"/>
      <c r="K42" s="2304">
        <f>F42+H42+J42</f>
        <v>0</v>
      </c>
      <c r="L42" s="980"/>
      <c r="M42" s="968"/>
      <c r="N42" s="968"/>
      <c r="O42" s="968"/>
      <c r="P42" s="3360" t="str">
        <f>A42</f>
        <v>比较价值（元/平方米）</v>
      </c>
      <c r="Q42" s="3360"/>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393"/>
      <c r="Y42" s="393"/>
      <c r="Z42" s="393"/>
      <c r="AA42" s="393"/>
      <c r="AB42" s="393"/>
      <c r="AC42" s="393"/>
    </row>
    <row r="43" spans="1:29" ht="15.75" thickBot="1">
      <c r="A43" s="435" t="s">
        <v>2246</v>
      </c>
      <c r="B43" s="436"/>
      <c r="C43" s="357" t="e">
        <f>R43</f>
        <v>#DIV/0!</v>
      </c>
      <c r="D43" s="357"/>
      <c r="E43" s="357"/>
      <c r="F43" s="357"/>
      <c r="G43" s="357"/>
      <c r="H43" s="357"/>
      <c r="I43" s="357"/>
      <c r="J43" s="357"/>
      <c r="K43" s="684"/>
      <c r="L43" s="980"/>
      <c r="M43" s="968"/>
      <c r="N43" s="968"/>
      <c r="O43" s="968"/>
      <c r="P43" s="3380" t="str">
        <f>A43</f>
        <v>估价对象XX用房的比较价值（楼面单价，元/平方米）</v>
      </c>
      <c r="Q43" s="3381"/>
      <c r="R43" s="3411" t="e">
        <f>IF(F1="售价",ROUND(IF(D42="简单平均",AVERAGE(R42:V42),R42*F42+T42*H42+V42*J42),0),ROUND(IF(D42="简单平均",AVERAGE(R42:V42),R42*F42+T42*H42+V42*J42),1))</f>
        <v>#DIV/0!</v>
      </c>
      <c r="S43" s="3411"/>
      <c r="T43" s="3411"/>
      <c r="U43" s="3411"/>
      <c r="V43" s="3411"/>
      <c r="W43" s="3411"/>
      <c r="X43" s="393"/>
      <c r="Y43" s="393"/>
      <c r="Z43" s="393"/>
      <c r="AA43" s="393"/>
      <c r="AB43" s="393"/>
      <c r="AC43" s="393"/>
    </row>
    <row r="44" spans="1:29">
      <c r="A44" s="2649"/>
      <c r="B44" s="2649"/>
      <c r="C44" s="2649"/>
      <c r="D44" s="2649"/>
      <c r="E44" s="2649"/>
      <c r="F44" s="2649"/>
      <c r="G44" s="2660"/>
      <c r="H44" s="2649"/>
      <c r="I44" s="2649"/>
      <c r="J44" s="2649"/>
      <c r="K44" s="2661"/>
      <c r="L44" s="943"/>
      <c r="M44" s="968"/>
      <c r="N44" s="968"/>
      <c r="O44" s="968"/>
    </row>
    <row r="45" spans="1:29">
      <c r="A45" s="2649"/>
      <c r="B45" s="2649"/>
      <c r="C45" s="2649"/>
      <c r="D45" s="2649"/>
      <c r="E45" s="2649"/>
      <c r="F45" s="2649"/>
      <c r="G45" s="2649"/>
      <c r="H45" s="2649"/>
      <c r="I45" s="2649"/>
      <c r="J45" s="2649"/>
      <c r="K45" s="2661"/>
      <c r="L45" s="943"/>
      <c r="M45" s="968"/>
      <c r="N45" s="968"/>
      <c r="O45" s="968"/>
    </row>
    <row r="46" spans="1:29" ht="13.5" customHeight="1">
      <c r="A46" s="2649"/>
      <c r="B46" s="2649"/>
      <c r="C46" s="440" t="s">
        <v>2247</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1"/>
      <c r="L46" s="943"/>
      <c r="M46" s="968"/>
      <c r="N46" s="968"/>
      <c r="O46" s="968"/>
    </row>
    <row r="47" spans="1:29" ht="13.5" customHeight="1">
      <c r="A47" s="2649"/>
      <c r="B47" s="2649"/>
      <c r="C47" s="440" t="s">
        <v>2248</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1"/>
      <c r="L47" s="943"/>
      <c r="M47" s="968"/>
      <c r="N47" s="968"/>
      <c r="O47" s="968"/>
    </row>
    <row r="48" spans="1:29" s="445" customFormat="1" ht="13.5" customHeight="1">
      <c r="A48" s="2659"/>
      <c r="B48" s="2659"/>
      <c r="C48" s="440" t="s">
        <v>2249</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4"/>
      <c r="L48" s="983"/>
      <c r="M48" s="981"/>
      <c r="N48" s="981"/>
      <c r="O48" s="981"/>
    </row>
    <row r="49" spans="1:17" s="445" customFormat="1">
      <c r="A49" s="2659"/>
      <c r="B49" s="2662"/>
      <c r="C49" s="2663"/>
      <c r="D49" s="2659"/>
      <c r="E49" s="2659"/>
      <c r="F49" s="2659"/>
      <c r="G49" s="2659"/>
      <c r="H49" s="2659"/>
      <c r="I49" s="2659"/>
      <c r="J49" s="2659"/>
      <c r="K49" s="2664"/>
      <c r="L49" s="983"/>
      <c r="M49" s="981"/>
      <c r="N49" s="981"/>
      <c r="O49" s="981"/>
    </row>
    <row r="50" spans="1:17">
      <c r="A50" s="2649"/>
      <c r="B50" s="2662"/>
      <c r="C50" s="2663"/>
      <c r="D50" s="2649"/>
      <c r="E50" s="2649"/>
      <c r="F50" s="2649"/>
      <c r="G50" s="2649"/>
      <c r="H50" s="2649"/>
      <c r="I50" s="2649"/>
      <c r="J50" s="2649"/>
      <c r="K50" s="2661"/>
      <c r="L50" s="943"/>
      <c r="M50" s="968"/>
      <c r="N50" s="968"/>
      <c r="O50" s="968"/>
    </row>
    <row r="51" spans="1:17" ht="21.75" thickBot="1">
      <c r="A51" s="667" t="s">
        <v>2250</v>
      </c>
      <c r="B51" s="393"/>
      <c r="C51" s="668"/>
      <c r="D51" s="668"/>
      <c r="E51" s="668"/>
      <c r="F51" s="669"/>
      <c r="G51" s="669"/>
      <c r="H51" s="668"/>
      <c r="I51" s="668"/>
      <c r="J51" s="668"/>
      <c r="K51" s="994"/>
      <c r="L51" s="995"/>
      <c r="M51" s="993"/>
      <c r="N51" s="993"/>
      <c r="O51" s="993"/>
      <c r="P51" s="446"/>
      <c r="Q51" s="447"/>
    </row>
    <row r="52" spans="1:17" s="450" customFormat="1" ht="15">
      <c r="A52" s="448" t="s">
        <v>2124</v>
      </c>
      <c r="B52" s="449"/>
      <c r="C52" s="1213" t="str">
        <f>YEAR(C7)&amp;"-"&amp;MONTH(C7)</f>
        <v>2022-11</v>
      </c>
      <c r="D52" s="1214">
        <f>EDATE(C52,-1)</f>
        <v>44835</v>
      </c>
      <c r="E52" s="1214">
        <f t="shared" ref="E52:O52" si="16">EDATE(D52,-1)</f>
        <v>44805</v>
      </c>
      <c r="F52" s="1214">
        <f t="shared" si="16"/>
        <v>44774</v>
      </c>
      <c r="G52" s="1214">
        <f t="shared" si="16"/>
        <v>44743</v>
      </c>
      <c r="H52" s="1214">
        <f t="shared" si="16"/>
        <v>44713</v>
      </c>
      <c r="I52" s="1214">
        <f t="shared" si="16"/>
        <v>44682</v>
      </c>
      <c r="J52" s="1214">
        <f t="shared" si="16"/>
        <v>44652</v>
      </c>
      <c r="K52" s="1214">
        <f t="shared" si="16"/>
        <v>44621</v>
      </c>
      <c r="L52" s="1214">
        <f t="shared" si="16"/>
        <v>44593</v>
      </c>
      <c r="M52" s="1214">
        <f t="shared" si="16"/>
        <v>44562</v>
      </c>
      <c r="N52" s="1214">
        <f t="shared" si="16"/>
        <v>44531</v>
      </c>
      <c r="O52" s="1214">
        <f t="shared" si="16"/>
        <v>44501</v>
      </c>
    </row>
    <row r="53" spans="1:17" s="107" customFormat="1" ht="15">
      <c r="A53" s="451"/>
      <c r="B53" s="452"/>
      <c r="C53" s="1212">
        <v>100</v>
      </c>
      <c r="D53" s="454"/>
      <c r="E53" s="454"/>
      <c r="F53" s="454"/>
      <c r="G53" s="454"/>
      <c r="H53" s="454"/>
      <c r="I53" s="454"/>
      <c r="J53" s="454"/>
      <c r="K53" s="454"/>
      <c r="L53" s="454"/>
      <c r="M53" s="455"/>
      <c r="N53" s="454"/>
      <c r="O53" s="456"/>
      <c r="P53" s="447"/>
    </row>
    <row r="54" spans="1:17" s="107" customFormat="1" ht="15.75" thickBot="1">
      <c r="A54" s="457" t="s">
        <v>2161</v>
      </c>
      <c r="B54" s="458"/>
      <c r="C54" s="459"/>
      <c r="D54" s="460"/>
      <c r="E54" s="460"/>
      <c r="F54" s="460"/>
      <c r="G54" s="460"/>
      <c r="H54" s="460"/>
      <c r="I54" s="460"/>
      <c r="J54" s="460"/>
      <c r="K54" s="460"/>
      <c r="L54" s="460"/>
      <c r="M54" s="461"/>
      <c r="N54" s="2700"/>
      <c r="O54" s="2701"/>
      <c r="P54" s="447"/>
      <c r="Q54" s="447"/>
    </row>
    <row r="55" spans="1:17" s="107" customFormat="1" ht="15">
      <c r="A55" s="463" t="s">
        <v>2126</v>
      </c>
      <c r="B55" s="452"/>
      <c r="C55" s="464" t="s">
        <v>2228</v>
      </c>
      <c r="D55" s="34"/>
      <c r="E55" s="34"/>
      <c r="F55" s="34"/>
      <c r="G55" s="34"/>
      <c r="H55" s="34"/>
      <c r="I55" s="34"/>
      <c r="J55" s="34"/>
      <c r="K55" s="34"/>
      <c r="L55" s="465"/>
      <c r="M55" s="466"/>
      <c r="N55" s="985"/>
      <c r="O55" s="985"/>
      <c r="P55" s="467"/>
      <c r="Q55" s="447"/>
    </row>
    <row r="56" spans="1:17" s="107" customFormat="1" ht="15.75" thickBot="1">
      <c r="A56" s="463"/>
      <c r="B56" s="452"/>
      <c r="C56" s="571">
        <v>100</v>
      </c>
      <c r="D56" s="454"/>
      <c r="E56" s="454"/>
      <c r="F56" s="454"/>
      <c r="G56" s="454"/>
      <c r="H56" s="454"/>
      <c r="I56" s="454"/>
      <c r="J56" s="454"/>
      <c r="K56" s="454"/>
      <c r="L56" s="454"/>
      <c r="M56" s="456"/>
      <c r="N56" s="985"/>
      <c r="O56" s="985"/>
      <c r="P56" s="447"/>
      <c r="Q56" s="447"/>
    </row>
    <row r="57" spans="1:17">
      <c r="A57" s="387" t="s">
        <v>2164</v>
      </c>
      <c r="B57" s="468" t="s">
        <v>2130</v>
      </c>
      <c r="C57" s="469">
        <f>C9</f>
        <v>0</v>
      </c>
      <c r="D57" s="470"/>
      <c r="E57" s="470"/>
      <c r="F57" s="470"/>
      <c r="G57" s="470"/>
      <c r="H57" s="470"/>
      <c r="I57" s="470"/>
      <c r="J57" s="470"/>
      <c r="K57" s="471"/>
      <c r="L57" s="472"/>
      <c r="M57" s="473"/>
      <c r="N57" s="986"/>
      <c r="O57" s="986"/>
      <c r="P57" s="43"/>
      <c r="Q57" s="447"/>
    </row>
    <row r="58" spans="1:17" ht="15.75" thickBot="1">
      <c r="A58" s="375"/>
      <c r="B58" s="474"/>
      <c r="C58" s="475">
        <v>100</v>
      </c>
      <c r="D58" s="475"/>
      <c r="E58" s="475"/>
      <c r="F58" s="475"/>
      <c r="G58" s="475"/>
      <c r="H58" s="475"/>
      <c r="I58" s="475"/>
      <c r="J58" s="475"/>
      <c r="K58" s="475"/>
      <c r="L58" s="475"/>
      <c r="M58" s="476"/>
      <c r="N58" s="987"/>
      <c r="O58" s="987"/>
      <c r="P58" s="43"/>
      <c r="Q58" s="447"/>
    </row>
    <row r="59" spans="1:17" ht="27.75" thickTop="1">
      <c r="A59" s="375"/>
      <c r="B59" s="477" t="s">
        <v>2133</v>
      </c>
      <c r="C59" s="478" t="s">
        <v>2165</v>
      </c>
      <c r="D59" s="478" t="s">
        <v>2166</v>
      </c>
      <c r="E59" s="478" t="s">
        <v>2167</v>
      </c>
      <c r="F59" s="478" t="s">
        <v>2168</v>
      </c>
      <c r="G59" s="478" t="s">
        <v>2169</v>
      </c>
      <c r="H59" s="478" t="s">
        <v>2170</v>
      </c>
      <c r="I59" s="478" t="s">
        <v>2171</v>
      </c>
      <c r="J59" s="478"/>
      <c r="K59" s="479"/>
      <c r="L59" s="480"/>
      <c r="M59" s="481"/>
      <c r="N59" s="986"/>
      <c r="O59" s="986"/>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5.75" thickTop="1">
      <c r="A61" s="375"/>
      <c r="B61" s="485" t="s">
        <v>2134</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ht="15">
      <c r="A62" s="375"/>
      <c r="B62" s="487"/>
      <c r="C62" s="488"/>
      <c r="D62" s="488"/>
      <c r="E62" s="488"/>
      <c r="F62" s="488"/>
      <c r="G62" s="488"/>
      <c r="H62" s="488"/>
      <c r="I62" s="488"/>
      <c r="J62" s="488"/>
      <c r="K62" s="489"/>
      <c r="L62" s="490"/>
      <c r="M62" s="491"/>
      <c r="N62" s="986"/>
      <c r="O62" s="986"/>
      <c r="P62" s="43"/>
      <c r="Q62" s="447"/>
    </row>
    <row r="63" spans="1:17" ht="15.7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5.75" thickTop="1">
      <c r="A64" s="492"/>
      <c r="B64" s="477">
        <f>B12</f>
        <v>111</v>
      </c>
      <c r="C64" s="493"/>
      <c r="D64" s="493"/>
      <c r="E64" s="493"/>
      <c r="F64" s="493"/>
      <c r="G64" s="493"/>
      <c r="H64" s="494"/>
      <c r="I64" s="494"/>
      <c r="J64" s="494"/>
      <c r="K64" s="494"/>
      <c r="L64" s="495"/>
      <c r="M64" s="496"/>
      <c r="N64" s="988"/>
      <c r="O64" s="988"/>
      <c r="P64" s="497"/>
      <c r="Q64" s="498"/>
    </row>
    <row r="65" spans="1:17" s="416" customFormat="1" ht="15.75" thickBot="1">
      <c r="A65" s="492"/>
      <c r="B65" s="482"/>
      <c r="C65" s="499"/>
      <c r="D65" s="475"/>
      <c r="E65" s="475"/>
      <c r="F65" s="475"/>
      <c r="G65" s="475"/>
      <c r="H65" s="475"/>
      <c r="I65" s="475"/>
      <c r="J65" s="475"/>
      <c r="K65" s="475"/>
      <c r="L65" s="475"/>
      <c r="M65" s="476"/>
      <c r="N65" s="987"/>
      <c r="O65" s="987"/>
      <c r="P65" s="497"/>
      <c r="Q65" s="498"/>
    </row>
    <row r="66" spans="1:17" s="416" customFormat="1" ht="15.75" thickTop="1">
      <c r="A66" s="492"/>
      <c r="B66" s="477">
        <f>B13</f>
        <v>111</v>
      </c>
      <c r="C66" s="493"/>
      <c r="D66" s="493"/>
      <c r="E66" s="493"/>
      <c r="F66" s="493"/>
      <c r="G66" s="493"/>
      <c r="H66" s="494"/>
      <c r="I66" s="494"/>
      <c r="J66" s="494"/>
      <c r="K66" s="494"/>
      <c r="L66" s="495"/>
      <c r="M66" s="496"/>
      <c r="N66" s="988"/>
      <c r="O66" s="988"/>
      <c r="Q66" s="500"/>
    </row>
    <row r="67" spans="1:17" s="416" customFormat="1" ht="15.75" thickBot="1">
      <c r="A67" s="492"/>
      <c r="B67" s="482"/>
      <c r="C67" s="499"/>
      <c r="D67" s="475"/>
      <c r="E67" s="475"/>
      <c r="F67" s="475"/>
      <c r="G67" s="499"/>
      <c r="H67" s="501"/>
      <c r="I67" s="501"/>
      <c r="J67" s="501"/>
      <c r="K67" s="501"/>
      <c r="L67" s="501"/>
      <c r="M67" s="502"/>
      <c r="N67" s="988"/>
      <c r="O67" s="988"/>
      <c r="P67" s="497"/>
      <c r="Q67" s="498"/>
    </row>
    <row r="68" spans="1:17" s="416" customFormat="1" ht="15.75" thickTop="1">
      <c r="A68" s="492"/>
      <c r="B68" s="485">
        <f>B14</f>
        <v>111</v>
      </c>
      <c r="C68" s="34"/>
      <c r="D68" s="34"/>
      <c r="E68" s="34"/>
      <c r="F68" s="34"/>
      <c r="G68" s="34"/>
      <c r="H68" s="503"/>
      <c r="I68" s="503"/>
      <c r="J68" s="503"/>
      <c r="K68" s="503"/>
      <c r="L68" s="504"/>
      <c r="M68" s="505"/>
      <c r="N68" s="988"/>
      <c r="O68" s="988"/>
      <c r="P68" s="506"/>
      <c r="Q68" s="498"/>
    </row>
    <row r="69" spans="1:17" s="416" customFormat="1" ht="15.75" thickBot="1">
      <c r="A69" s="507"/>
      <c r="B69" s="508"/>
      <c r="C69" s="509"/>
      <c r="D69" s="509"/>
      <c r="E69" s="509"/>
      <c r="F69" s="509"/>
      <c r="G69" s="509"/>
      <c r="H69" s="510"/>
      <c r="I69" s="510"/>
      <c r="J69" s="510"/>
      <c r="K69" s="510"/>
      <c r="L69" s="510"/>
      <c r="M69" s="511"/>
      <c r="N69" s="988"/>
      <c r="O69" s="988"/>
      <c r="P69" s="497"/>
      <c r="Q69" s="498"/>
    </row>
    <row r="70" spans="1:17">
      <c r="A70" s="387" t="s">
        <v>2135</v>
      </c>
      <c r="B70" s="468" t="s">
        <v>2281</v>
      </c>
      <c r="C70" s="512" t="s">
        <v>2173</v>
      </c>
      <c r="D70" s="512" t="s">
        <v>2174</v>
      </c>
      <c r="E70" s="512" t="s">
        <v>2175</v>
      </c>
      <c r="F70" s="512" t="s">
        <v>2176</v>
      </c>
      <c r="G70" s="512" t="s">
        <v>2177</v>
      </c>
      <c r="H70" s="469"/>
      <c r="I70" s="469"/>
      <c r="J70" s="469"/>
      <c r="K70" s="513"/>
      <c r="L70" s="514"/>
      <c r="M70" s="515"/>
      <c r="N70" s="986"/>
      <c r="O70" s="986"/>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5.75" thickTop="1">
      <c r="A72" s="375"/>
      <c r="B72" s="477" t="s">
        <v>2178</v>
      </c>
      <c r="C72" s="517" t="s">
        <v>2173</v>
      </c>
      <c r="D72" s="517" t="s">
        <v>2174</v>
      </c>
      <c r="E72" s="517" t="s">
        <v>2175</v>
      </c>
      <c r="F72" s="517" t="s">
        <v>2176</v>
      </c>
      <c r="G72" s="517" t="s">
        <v>2177</v>
      </c>
      <c r="H72" s="478"/>
      <c r="I72" s="478"/>
      <c r="J72" s="478"/>
      <c r="K72" s="479"/>
      <c r="L72" s="480"/>
      <c r="M72" s="481"/>
      <c r="N72" s="986"/>
      <c r="O72" s="986"/>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5.75" thickTop="1">
      <c r="A74" s="375"/>
      <c r="B74" s="477" t="s">
        <v>2179</v>
      </c>
      <c r="C74" s="517" t="s">
        <v>2173</v>
      </c>
      <c r="D74" s="517" t="s">
        <v>2174</v>
      </c>
      <c r="E74" s="517" t="s">
        <v>2175</v>
      </c>
      <c r="F74" s="517" t="s">
        <v>2176</v>
      </c>
      <c r="G74" s="517" t="s">
        <v>2177</v>
      </c>
      <c r="H74" s="478"/>
      <c r="I74" s="478"/>
      <c r="J74" s="478"/>
      <c r="K74" s="479"/>
      <c r="L74" s="480"/>
      <c r="M74" s="481"/>
      <c r="N74" s="986"/>
      <c r="O74" s="986"/>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5.75" thickTop="1">
      <c r="A76" s="375"/>
      <c r="B76" s="485" t="s">
        <v>2265</v>
      </c>
      <c r="C76" s="589" t="s">
        <v>2251</v>
      </c>
      <c r="D76" s="589" t="s">
        <v>2252</v>
      </c>
      <c r="E76" s="589" t="s">
        <v>2253</v>
      </c>
      <c r="F76" s="589" t="s">
        <v>2254</v>
      </c>
      <c r="G76" s="589" t="s">
        <v>2255</v>
      </c>
      <c r="H76" s="478"/>
      <c r="I76" s="478"/>
      <c r="J76" s="478"/>
      <c r="K76" s="478"/>
      <c r="L76" s="478"/>
      <c r="M76" s="1173"/>
      <c r="N76" s="987"/>
      <c r="O76" s="987"/>
      <c r="P76" s="43"/>
      <c r="Q76" s="447"/>
    </row>
    <row r="77" spans="1:17" ht="15.7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5.75" thickTop="1">
      <c r="A78" s="375"/>
      <c r="B78" s="477" t="s">
        <v>2274</v>
      </c>
      <c r="C78" s="517" t="s">
        <v>2173</v>
      </c>
      <c r="D78" s="517" t="s">
        <v>2174</v>
      </c>
      <c r="E78" s="517" t="s">
        <v>2175</v>
      </c>
      <c r="F78" s="517" t="s">
        <v>2176</v>
      </c>
      <c r="G78" s="517" t="s">
        <v>2177</v>
      </c>
      <c r="H78" s="478"/>
      <c r="I78" s="478"/>
      <c r="J78" s="478"/>
      <c r="K78" s="479"/>
      <c r="L78" s="480"/>
      <c r="M78" s="481"/>
      <c r="N78" s="986"/>
      <c r="O78" s="986"/>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5.75" thickTop="1">
      <c r="A80" s="378"/>
      <c r="B80" s="477">
        <f>B25</f>
        <v>111</v>
      </c>
      <c r="C80" s="493"/>
      <c r="D80" s="493"/>
      <c r="E80" s="493"/>
      <c r="F80" s="493"/>
      <c r="G80" s="493"/>
      <c r="H80" s="493"/>
      <c r="I80" s="493"/>
      <c r="J80" s="493"/>
      <c r="K80" s="493"/>
      <c r="L80" s="518"/>
      <c r="M80" s="519"/>
      <c r="N80" s="985"/>
      <c r="O80" s="985"/>
      <c r="P80" s="43"/>
      <c r="Q80" s="447"/>
    </row>
    <row r="81" spans="1:17" s="107" customFormat="1" ht="15.75" thickBot="1">
      <c r="A81" s="378"/>
      <c r="B81" s="482"/>
      <c r="C81" s="499"/>
      <c r="D81" s="475"/>
      <c r="E81" s="475"/>
      <c r="F81" s="475"/>
      <c r="G81" s="475"/>
      <c r="H81" s="475"/>
      <c r="I81" s="475"/>
      <c r="J81" s="475"/>
      <c r="K81" s="475"/>
      <c r="L81" s="475"/>
      <c r="M81" s="476"/>
      <c r="N81" s="987"/>
      <c r="O81" s="987"/>
      <c r="P81" s="43"/>
      <c r="Q81" s="447"/>
    </row>
    <row r="82" spans="1:17" s="107" customFormat="1" ht="15.75" thickTop="1">
      <c r="A82" s="378"/>
      <c r="B82" s="477">
        <f>B26</f>
        <v>111</v>
      </c>
      <c r="C82" s="493"/>
      <c r="D82" s="493"/>
      <c r="E82" s="493"/>
      <c r="F82" s="493"/>
      <c r="G82" s="493"/>
      <c r="H82" s="493"/>
      <c r="I82" s="493"/>
      <c r="J82" s="493"/>
      <c r="K82" s="493"/>
      <c r="L82" s="518"/>
      <c r="M82" s="519"/>
      <c r="N82" s="985"/>
      <c r="O82" s="985"/>
      <c r="P82" s="43"/>
      <c r="Q82" s="447"/>
    </row>
    <row r="83" spans="1:17" s="107" customFormat="1" ht="15.75" thickBot="1">
      <c r="A83" s="378"/>
      <c r="B83" s="482"/>
      <c r="C83" s="499"/>
      <c r="D83" s="475"/>
      <c r="E83" s="475"/>
      <c r="F83" s="475"/>
      <c r="G83" s="475"/>
      <c r="H83" s="475"/>
      <c r="I83" s="475"/>
      <c r="J83" s="475"/>
      <c r="K83" s="475"/>
      <c r="L83" s="475"/>
      <c r="M83" s="476"/>
      <c r="N83" s="987"/>
      <c r="O83" s="987"/>
      <c r="P83" s="43"/>
      <c r="Q83" s="447"/>
    </row>
    <row r="84" spans="1:17" s="416" customFormat="1" ht="15.75" thickTop="1">
      <c r="A84" s="492"/>
      <c r="B84" s="477">
        <f>B27</f>
        <v>111</v>
      </c>
      <c r="C84" s="493"/>
      <c r="D84" s="493"/>
      <c r="E84" s="493"/>
      <c r="F84" s="493"/>
      <c r="G84" s="493"/>
      <c r="H84" s="493"/>
      <c r="I84" s="493"/>
      <c r="J84" s="493"/>
      <c r="K84" s="493"/>
      <c r="L84" s="518"/>
      <c r="M84" s="519"/>
      <c r="N84" s="988"/>
      <c r="O84" s="988"/>
      <c r="P84" s="497"/>
      <c r="Q84" s="498"/>
    </row>
    <row r="85" spans="1:17" s="416" customFormat="1" ht="15.75" thickBot="1">
      <c r="A85" s="492"/>
      <c r="B85" s="482"/>
      <c r="C85" s="499"/>
      <c r="D85" s="475"/>
      <c r="E85" s="475"/>
      <c r="F85" s="475"/>
      <c r="G85" s="475"/>
      <c r="H85" s="475"/>
      <c r="I85" s="475"/>
      <c r="J85" s="475"/>
      <c r="K85" s="475"/>
      <c r="L85" s="475"/>
      <c r="M85" s="476"/>
      <c r="N85" s="988"/>
      <c r="O85" s="988"/>
      <c r="P85" s="497"/>
      <c r="Q85" s="498"/>
    </row>
    <row r="86" spans="1:17" ht="15.75" thickTop="1">
      <c r="A86" s="375"/>
      <c r="B86" s="485">
        <f>B28</f>
        <v>111</v>
      </c>
      <c r="C86" s="34"/>
      <c r="D86" s="34"/>
      <c r="E86" s="34"/>
      <c r="F86" s="34"/>
      <c r="G86" s="525"/>
      <c r="H86" s="525"/>
      <c r="I86" s="525"/>
      <c r="J86" s="525"/>
      <c r="K86" s="526"/>
      <c r="L86" s="527"/>
      <c r="M86" s="528"/>
      <c r="N86" s="986"/>
      <c r="O86" s="986"/>
      <c r="P86" s="43"/>
      <c r="Q86" s="447"/>
    </row>
    <row r="87" spans="1:17" ht="15.75" thickBot="1">
      <c r="A87" s="383"/>
      <c r="B87" s="508"/>
      <c r="C87" s="509"/>
      <c r="D87" s="509"/>
      <c r="E87" s="509"/>
      <c r="F87" s="509"/>
      <c r="G87" s="529"/>
      <c r="H87" s="529"/>
      <c r="I87" s="529"/>
      <c r="J87" s="529"/>
      <c r="K87" s="529"/>
      <c r="L87" s="529"/>
      <c r="M87" s="530"/>
      <c r="N87" s="987"/>
      <c r="O87" s="987"/>
      <c r="P87" s="43"/>
      <c r="Q87" s="447"/>
    </row>
    <row r="88" spans="1:17">
      <c r="A88" s="387" t="s">
        <v>2139</v>
      </c>
      <c r="B88" s="468" t="s">
        <v>2188</v>
      </c>
      <c r="C88" s="470"/>
      <c r="D88" s="470"/>
      <c r="E88" s="470"/>
      <c r="F88" s="470"/>
      <c r="G88" s="470"/>
      <c r="H88" s="470"/>
      <c r="I88" s="470"/>
      <c r="J88" s="470"/>
      <c r="K88" s="471"/>
      <c r="L88" s="472"/>
      <c r="M88" s="473"/>
      <c r="N88" s="986"/>
      <c r="O88" s="986"/>
      <c r="P88" s="43"/>
      <c r="Q88" s="447"/>
    </row>
    <row r="89" spans="1:17" ht="15.7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5.75" thickTop="1">
      <c r="A90" s="375"/>
      <c r="B90" s="477" t="s">
        <v>2189</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5.75" thickBot="1">
      <c r="A92" s="492"/>
      <c r="B92" s="482"/>
      <c r="C92" s="499"/>
      <c r="D92" s="475"/>
      <c r="E92" s="475"/>
      <c r="F92" s="475"/>
      <c r="G92" s="475"/>
      <c r="H92" s="475"/>
      <c r="I92" s="475"/>
      <c r="J92" s="475"/>
      <c r="K92" s="475"/>
      <c r="L92" s="475"/>
      <c r="M92" s="476"/>
      <c r="N92" s="987"/>
      <c r="O92" s="987"/>
      <c r="P92" s="497"/>
      <c r="Q92" s="498"/>
    </row>
    <row r="93" spans="1:17" ht="15" thickTop="1">
      <c r="A93" s="417"/>
      <c r="B93" s="477" t="s">
        <v>2190</v>
      </c>
      <c r="C93" s="493"/>
      <c r="D93" s="493"/>
      <c r="E93" s="521"/>
      <c r="F93" s="521"/>
      <c r="G93" s="521"/>
      <c r="H93" s="521"/>
      <c r="I93" s="521"/>
      <c r="J93" s="521"/>
      <c r="K93" s="522"/>
      <c r="L93" s="523"/>
      <c r="M93" s="524"/>
      <c r="N93" s="986"/>
      <c r="O93" s="986"/>
      <c r="P93" s="43"/>
      <c r="Q93" s="447"/>
    </row>
    <row r="94" spans="1:17" ht="15.7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5" thickTop="1">
      <c r="A95" s="417"/>
      <c r="B95" s="477" t="s">
        <v>2192</v>
      </c>
      <c r="C95" s="493"/>
      <c r="D95" s="493"/>
      <c r="E95" s="493"/>
      <c r="F95" s="521"/>
      <c r="G95" s="521"/>
      <c r="H95" s="521"/>
      <c r="I95" s="521"/>
      <c r="J95" s="521"/>
      <c r="K95" s="522"/>
      <c r="L95" s="523"/>
      <c r="M95" s="524"/>
      <c r="N95" s="986"/>
      <c r="O95" s="986"/>
      <c r="P95" s="43"/>
      <c r="Q95" s="447"/>
    </row>
    <row r="96" spans="1:17" ht="15.7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5" thickTop="1">
      <c r="A97" s="417"/>
      <c r="B97" s="477" t="s">
        <v>1635</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5.7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5" thickTop="1">
      <c r="A100" s="414"/>
      <c r="B100" s="477" t="s">
        <v>2193</v>
      </c>
      <c r="C100" s="493"/>
      <c r="D100" s="493"/>
      <c r="E100" s="493"/>
      <c r="F100" s="493"/>
      <c r="G100" s="493"/>
      <c r="H100" s="521"/>
      <c r="I100" s="521"/>
      <c r="J100" s="521"/>
      <c r="K100" s="522"/>
      <c r="L100" s="523"/>
      <c r="M100" s="524"/>
      <c r="N100" s="988"/>
      <c r="O100" s="988"/>
      <c r="P100" s="497"/>
      <c r="Q100" s="498"/>
    </row>
    <row r="101" spans="1:17" s="416"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5" thickTop="1">
      <c r="A102" s="417"/>
      <c r="B102" s="477" t="s">
        <v>2194</v>
      </c>
      <c r="C102" s="493"/>
      <c r="D102" s="493"/>
      <c r="E102" s="493"/>
      <c r="F102" s="493"/>
      <c r="G102" s="493"/>
      <c r="H102" s="521"/>
      <c r="I102" s="521"/>
      <c r="J102" s="521"/>
      <c r="K102" s="522"/>
      <c r="L102" s="523"/>
      <c r="M102" s="524"/>
      <c r="N102" s="986"/>
      <c r="O102" s="986"/>
      <c r="P102" s="43"/>
      <c r="Q102" s="447"/>
    </row>
    <row r="103" spans="1:17" ht="15.7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5" thickTop="1">
      <c r="A104" s="417"/>
      <c r="B104" s="477" t="s">
        <v>2196</v>
      </c>
      <c r="C104" s="493"/>
      <c r="D104" s="493"/>
      <c r="E104" s="493"/>
      <c r="F104" s="493"/>
      <c r="G104" s="493"/>
      <c r="H104" s="521"/>
      <c r="I104" s="521"/>
      <c r="J104" s="521"/>
      <c r="K104" s="522"/>
      <c r="L104" s="523"/>
      <c r="M104" s="524"/>
      <c r="N104" s="986"/>
      <c r="O104" s="986"/>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15" thickTop="1">
      <c r="A106" s="417"/>
      <c r="B106" s="568" t="s">
        <v>2282</v>
      </c>
      <c r="C106" s="517" t="s">
        <v>2173</v>
      </c>
      <c r="D106" s="517" t="s">
        <v>2174</v>
      </c>
      <c r="E106" s="517" t="s">
        <v>2175</v>
      </c>
      <c r="F106" s="517" t="s">
        <v>2176</v>
      </c>
      <c r="G106" s="517" t="s">
        <v>2177</v>
      </c>
      <c r="H106" s="478"/>
      <c r="I106" s="478"/>
      <c r="J106" s="478"/>
      <c r="K106" s="479"/>
      <c r="L106" s="480"/>
      <c r="M106" s="481"/>
      <c r="N106" s="987"/>
      <c r="O106" s="987"/>
      <c r="P106" s="569"/>
      <c r="Q106" s="570"/>
    </row>
    <row r="107" spans="1:17" ht="15.7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5.75" thickBot="1">
      <c r="A109" s="492"/>
      <c r="B109" s="474"/>
      <c r="C109" s="499"/>
      <c r="D109" s="475"/>
      <c r="E109" s="475"/>
      <c r="F109" s="475"/>
      <c r="G109" s="499"/>
      <c r="H109" s="501"/>
      <c r="I109" s="501"/>
      <c r="J109" s="501"/>
      <c r="K109" s="501"/>
      <c r="L109" s="501"/>
      <c r="M109" s="502"/>
      <c r="N109" s="988"/>
      <c r="O109" s="988"/>
      <c r="P109" s="497"/>
      <c r="Q109" s="498"/>
    </row>
    <row r="110" spans="1:17" ht="15" thickTop="1">
      <c r="A110" s="417"/>
      <c r="B110" s="477">
        <f>B39</f>
        <v>111</v>
      </c>
      <c r="C110" s="493"/>
      <c r="D110" s="493"/>
      <c r="E110" s="493"/>
      <c r="F110" s="493"/>
      <c r="G110" s="493"/>
      <c r="H110" s="494"/>
      <c r="I110" s="494"/>
      <c r="J110" s="494"/>
      <c r="K110" s="494"/>
      <c r="L110" s="495"/>
      <c r="M110" s="496"/>
      <c r="N110" s="986"/>
      <c r="O110" s="986"/>
      <c r="P110" s="43"/>
      <c r="Q110" s="447"/>
    </row>
    <row r="111" spans="1:17" ht="15.75" thickBot="1">
      <c r="A111" s="375"/>
      <c r="B111" s="482"/>
      <c r="C111" s="499"/>
      <c r="D111" s="475"/>
      <c r="E111" s="475"/>
      <c r="F111" s="475"/>
      <c r="G111" s="499"/>
      <c r="H111" s="501"/>
      <c r="I111" s="501"/>
      <c r="J111" s="501"/>
      <c r="K111" s="501"/>
      <c r="L111" s="501"/>
      <c r="M111" s="502"/>
      <c r="N111" s="987"/>
      <c r="O111" s="987"/>
      <c r="P111" s="43"/>
      <c r="Q111" s="447"/>
    </row>
    <row r="112" spans="1:17" ht="15" thickTop="1">
      <c r="A112" s="417"/>
      <c r="B112" s="485">
        <f>B40</f>
        <v>111</v>
      </c>
      <c r="C112" s="34"/>
      <c r="D112" s="34"/>
      <c r="E112" s="34"/>
      <c r="F112" s="34"/>
      <c r="G112" s="525"/>
      <c r="H112" s="525"/>
      <c r="I112" s="525"/>
      <c r="J112" s="525"/>
      <c r="K112" s="34"/>
      <c r="L112" s="465"/>
      <c r="M112" s="528"/>
      <c r="N112" s="986"/>
      <c r="O112" s="986"/>
      <c r="P112" s="43"/>
      <c r="Q112" s="447"/>
    </row>
    <row r="113" spans="1:17" ht="15.7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20" customWidth="1"/>
    <col min="2" max="2" width="37.25" style="1520" customWidth="1"/>
    <col min="3" max="3" width="11.375" style="1520" customWidth="1"/>
    <col min="4" max="4" width="31.75" style="1520" customWidth="1"/>
    <col min="5" max="5" width="0.5" style="1520" customWidth="1"/>
    <col min="6" max="7" width="13" style="1520" customWidth="1"/>
    <col min="8" max="16384" width="9" style="1520"/>
  </cols>
  <sheetData>
    <row r="1" spans="1:5" ht="18.75">
      <c r="A1" s="1519" t="s">
        <v>1345</v>
      </c>
    </row>
    <row r="2" spans="1:5" ht="78" customHeight="1">
      <c r="A2" s="31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5"/>
      <c r="C2" s="3135"/>
      <c r="D2" s="3135"/>
      <c r="E2" s="3135"/>
    </row>
    <row r="3" spans="1:5" ht="18">
      <c r="A3" s="3136" t="str">
        <f>IF(项目基本情况!B9="房地产市场价值","估价结果一览表（市场价值不需“结果表-1”）","估价结果一览表")</f>
        <v>估价结果一览表</v>
      </c>
      <c r="B3" s="3136"/>
      <c r="C3" s="3136"/>
      <c r="D3" s="3136"/>
      <c r="E3" s="3136"/>
    </row>
    <row r="4" spans="1:5" ht="19.5" thickBot="1">
      <c r="A4" s="1521"/>
      <c r="B4" s="3134" t="s">
        <v>1354</v>
      </c>
      <c r="C4" s="3134"/>
      <c r="D4" s="3134"/>
      <c r="E4" s="1521"/>
    </row>
    <row r="5" spans="1:5" ht="16.5" thickTop="1">
      <c r="B5" s="3132" t="s">
        <v>1346</v>
      </c>
      <c r="C5" s="1522" t="s">
        <v>1347</v>
      </c>
      <c r="D5" s="882">
        <f ca="1">结果表!H101</f>
        <v>429834</v>
      </c>
    </row>
    <row r="6" spans="1:5" ht="15.75">
      <c r="B6" s="3132"/>
      <c r="C6" s="1522" t="s">
        <v>1348</v>
      </c>
      <c r="D6" s="882" t="str">
        <f ca="1">NUMBERSTRING(INT(D5*10000),2)&amp;"元整"</f>
        <v>肆拾贰亿玖仟捌佰叁拾肆万元整</v>
      </c>
    </row>
    <row r="7" spans="1:5" ht="15.75">
      <c r="B7" s="3137"/>
      <c r="C7" s="1523" t="s">
        <v>1349</v>
      </c>
      <c r="D7" s="883">
        <f ca="1">结果表!H102</f>
        <v>24291</v>
      </c>
    </row>
    <row r="8" spans="1:5" ht="15.75">
      <c r="B8" s="3138" t="str">
        <f>结果表!E103</f>
        <v>2.估价师知悉的法定优先受偿款</v>
      </c>
      <c r="C8" s="1524" t="s">
        <v>1350</v>
      </c>
      <c r="D8" s="883">
        <f>结果表!H103</f>
        <v>0</v>
      </c>
    </row>
    <row r="9" spans="1:5" ht="15.75">
      <c r="B9" s="3140"/>
      <c r="C9" s="1522" t="s">
        <v>1348</v>
      </c>
      <c r="D9" s="882" t="str">
        <f>NUMBERSTRING(INT(D8*10000),2)&amp;"元整"</f>
        <v>零元整</v>
      </c>
    </row>
    <row r="10" spans="1:5" ht="15">
      <c r="B10" s="1525" t="s">
        <v>1353</v>
      </c>
      <c r="C10" s="1526" t="s">
        <v>1351</v>
      </c>
      <c r="D10" s="884">
        <f>结果表!H104</f>
        <v>0</v>
      </c>
    </row>
    <row r="11" spans="1:5" ht="15">
      <c r="B11" s="1525" t="s">
        <v>1355</v>
      </c>
      <c r="C11" s="1526" t="s">
        <v>1356</v>
      </c>
      <c r="D11" s="884">
        <f>结果表!H105</f>
        <v>0</v>
      </c>
    </row>
    <row r="12" spans="1:5" ht="15">
      <c r="B12" s="1525" t="s">
        <v>1357</v>
      </c>
      <c r="C12" s="1526" t="s">
        <v>1356</v>
      </c>
      <c r="D12" s="884">
        <f>结果表!H106</f>
        <v>0</v>
      </c>
    </row>
    <row r="13" spans="1:5" ht="15.75">
      <c r="B13" s="3131" t="str">
        <f>结果表!E107</f>
        <v>3.房地产抵押价值</v>
      </c>
      <c r="C13" s="1527" t="s">
        <v>1347</v>
      </c>
      <c r="D13" s="885">
        <f ca="1">结果表!H107</f>
        <v>429834</v>
      </c>
    </row>
    <row r="14" spans="1:5" ht="15.75">
      <c r="B14" s="3132"/>
      <c r="C14" s="1522" t="s">
        <v>1348</v>
      </c>
      <c r="D14" s="882" t="str">
        <f ca="1">NUMBERSTRING(INT(D13*10000),2)&amp;"元整"</f>
        <v>肆拾贰亿玖仟捌佰叁拾肆万元整</v>
      </c>
    </row>
    <row r="15" spans="1:5" ht="15">
      <c r="B15" s="3137"/>
      <c r="C15" s="1523" t="s">
        <v>1358</v>
      </c>
      <c r="D15" s="891">
        <f ca="1">结果表!H108</f>
        <v>24291</v>
      </c>
    </row>
    <row r="16" spans="1:5" ht="15">
      <c r="B16" s="3138" t="str">
        <f>结果表!E109</f>
        <v>——</v>
      </c>
      <c r="C16" s="1527" t="s">
        <v>1359</v>
      </c>
      <c r="D16" s="1528" t="str">
        <f>结果表!H109</f>
        <v>——</v>
      </c>
    </row>
    <row r="17" spans="1:5" ht="15.75">
      <c r="B17" s="3139"/>
      <c r="C17" s="1522" t="s">
        <v>1360</v>
      </c>
      <c r="D17" s="882" t="e">
        <f>NUMBERSTRING(INT(D16*10000),2)&amp;"元整"</f>
        <v>#VALUE!</v>
      </c>
    </row>
    <row r="18" spans="1:5" ht="15">
      <c r="B18" s="3140"/>
      <c r="C18" s="1523" t="s">
        <v>1349</v>
      </c>
      <c r="D18" s="891" t="str">
        <f>结果表!H110</f>
        <v>——</v>
      </c>
    </row>
    <row r="19" spans="1:5" ht="15.75">
      <c r="B19" s="3131" t="str">
        <f>结果表!E111</f>
        <v>——</v>
      </c>
      <c r="C19" s="1527" t="s">
        <v>1347</v>
      </c>
      <c r="D19" s="883" t="str">
        <f>结果表!H111</f>
        <v>——</v>
      </c>
    </row>
    <row r="20" spans="1:5" ht="15.75">
      <c r="B20" s="3132"/>
      <c r="C20" s="1522" t="s">
        <v>1360</v>
      </c>
      <c r="D20" s="882" t="e">
        <f>NUMBERSTRING(INT(D19*10000),2)&amp;"元整"</f>
        <v>#VALUE!</v>
      </c>
    </row>
    <row r="21" spans="1:5" ht="15.75" thickBot="1">
      <c r="B21" s="3133"/>
      <c r="C21" s="1529" t="s">
        <v>1358</v>
      </c>
      <c r="D21" s="892" t="str">
        <f>结果表!H112</f>
        <v>——</v>
      </c>
    </row>
    <row r="22" spans="1:5" ht="15" thickTop="1">
      <c r="B22" s="1530" t="s">
        <v>1361</v>
      </c>
    </row>
    <row r="24" spans="1:5" ht="18.75">
      <c r="A24" s="1531"/>
      <c r="B24" s="1532" t="s">
        <v>1352</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2283</v>
      </c>
      <c r="B1" s="1255"/>
      <c r="C1" s="1256" t="s">
        <v>2106</v>
      </c>
      <c r="D1" s="1257"/>
      <c r="E1" s="1258"/>
      <c r="F1" s="1865"/>
      <c r="G1" s="1259" t="s">
        <v>2219</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1903</v>
      </c>
      <c r="B2" s="1195" t="e">
        <f ca="1">IF(C2="——",IF(B37="元/平方米",ROUND(C39*D3/10000,0),ROUND(F3*C39/10000,0)),IF(B37="元/平方米",ROUND(C39*D3/10000,0),ROUND(F3*C39/10000,0))-D2)</f>
        <v>#DIV/0!</v>
      </c>
      <c r="C2" s="1867"/>
      <c r="D2" s="961" t="e">
        <f ca="1">SUMIF(INDIRECT("'"&amp;F2&amp;"'"&amp;"!A:A"),"承租人权益价值",INDIRECT("'"&amp;F2&amp;"'"&amp;"!c:c"))</f>
        <v>#REF!</v>
      </c>
      <c r="E2" s="1868" t="s">
        <v>1904</v>
      </c>
      <c r="F2" s="1869"/>
      <c r="G2" s="962"/>
      <c r="H2" s="962"/>
      <c r="I2" s="962"/>
      <c r="J2" s="962"/>
      <c r="K2" s="964"/>
      <c r="L2" s="2665"/>
      <c r="M2" s="2666"/>
      <c r="N2" s="2666"/>
      <c r="O2" s="2666"/>
      <c r="P2" s="1196"/>
      <c r="Q2" s="347"/>
      <c r="R2" s="347"/>
      <c r="S2" s="347"/>
      <c r="T2" s="347"/>
      <c r="U2" s="347"/>
      <c r="V2" s="347"/>
      <c r="W2" s="347"/>
      <c r="X2" s="347"/>
      <c r="Y2" s="347"/>
      <c r="Z2" s="347"/>
      <c r="AA2" s="347"/>
      <c r="AB2" s="347"/>
      <c r="AC2" s="672"/>
    </row>
    <row r="3" spans="1:29" s="348" customFormat="1" ht="28.5" customHeight="1" thickBot="1">
      <c r="A3" s="201" t="s">
        <v>1905</v>
      </c>
      <c r="B3" s="544" t="e">
        <f ca="1">IF(AND(C2="——",B37="元/平方米"),C39,ROUND(B2*10000/D3,0))</f>
        <v>#DIV/0!</v>
      </c>
      <c r="C3" s="350" t="s">
        <v>2220</v>
      </c>
      <c r="D3" s="349">
        <f>SUMIF('数据-汇总表'!$C19:$C33,D1,'数据-汇总表'!$E19:$E33)</f>
        <v>0</v>
      </c>
      <c r="E3" s="350" t="s">
        <v>2284</v>
      </c>
      <c r="F3" s="349">
        <f>SUMIF('数据-取费表'!A5:A15,D1,'数据-取费表'!AH5:AH15)</f>
        <v>0</v>
      </c>
      <c r="G3" s="962"/>
      <c r="H3" s="962"/>
      <c r="I3" s="962"/>
      <c r="J3" s="962"/>
      <c r="K3" s="964"/>
      <c r="L3" s="2665"/>
      <c r="M3" s="2666"/>
      <c r="N3" s="2666"/>
      <c r="O3" s="2666"/>
      <c r="P3" s="1196"/>
      <c r="Q3" s="347"/>
      <c r="R3" s="347"/>
      <c r="S3" s="347"/>
      <c r="T3" s="347"/>
      <c r="U3" s="347"/>
      <c r="V3" s="347"/>
      <c r="W3" s="347"/>
      <c r="X3" s="347"/>
      <c r="Y3" s="347"/>
      <c r="Z3" s="347"/>
      <c r="AA3" s="347"/>
      <c r="AB3" s="685"/>
      <c r="AC3" s="672"/>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365" t="s">
        <v>2227</v>
      </c>
      <c r="Q4" s="3366"/>
      <c r="R4" s="3348" t="s">
        <v>2223</v>
      </c>
      <c r="S4" s="3349"/>
      <c r="T4" s="3348" t="s">
        <v>2224</v>
      </c>
      <c r="U4" s="3349"/>
      <c r="V4" s="3373" t="s">
        <v>2225</v>
      </c>
      <c r="W4" s="3373"/>
      <c r="X4" s="1394"/>
      <c r="Y4" s="3348" t="s">
        <v>2227</v>
      </c>
      <c r="Z4" s="3349"/>
      <c r="AA4" s="3343" t="s">
        <v>2223</v>
      </c>
      <c r="AB4" s="3344" t="s">
        <v>2224</v>
      </c>
      <c r="AC4" s="3343" t="s">
        <v>2225</v>
      </c>
    </row>
    <row r="5" spans="1:29" ht="15">
      <c r="A5" s="354"/>
      <c r="B5" s="355"/>
      <c r="C5" s="3354" t="s">
        <v>2118</v>
      </c>
      <c r="D5" s="3355"/>
      <c r="E5" s="3352" t="s">
        <v>2119</v>
      </c>
      <c r="F5" s="3353"/>
      <c r="G5" s="3354" t="s">
        <v>2120</v>
      </c>
      <c r="H5" s="3355"/>
      <c r="I5" s="3354" t="s">
        <v>2121</v>
      </c>
      <c r="J5" s="3355"/>
      <c r="K5" s="545"/>
      <c r="L5" s="2648"/>
      <c r="M5" s="2649"/>
      <c r="N5" s="2649"/>
      <c r="O5" s="2649"/>
      <c r="P5" s="3367"/>
      <c r="Q5" s="3368"/>
      <c r="R5" s="3350"/>
      <c r="S5" s="3351"/>
      <c r="T5" s="3350"/>
      <c r="U5" s="3351"/>
      <c r="V5" s="3373"/>
      <c r="W5" s="3373"/>
      <c r="X5" s="1394"/>
      <c r="Y5" s="3350"/>
      <c r="Z5" s="3351"/>
      <c r="AA5" s="3344"/>
      <c r="AB5" s="3344"/>
      <c r="AC5" s="3344"/>
    </row>
    <row r="6" spans="1:29" ht="15.75" thickBot="1">
      <c r="A6" s="356"/>
      <c r="B6" s="357"/>
      <c r="C6" s="3356" t="s">
        <v>2122</v>
      </c>
      <c r="D6" s="3357"/>
      <c r="E6" s="3358" t="s">
        <v>2122</v>
      </c>
      <c r="F6" s="3359"/>
      <c r="G6" s="3356" t="s">
        <v>2122</v>
      </c>
      <c r="H6" s="3357"/>
      <c r="I6" s="3356" t="s">
        <v>2122</v>
      </c>
      <c r="J6" s="3357"/>
      <c r="K6" s="545" t="s">
        <v>2123</v>
      </c>
      <c r="L6" s="2648"/>
      <c r="M6" s="2649"/>
      <c r="N6" s="2649"/>
      <c r="O6" s="2649"/>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c r="F7" s="363">
        <f>SUMIF(48:48,YEAR(E7)&amp;"-"&amp;MONTH(E7),49:49)</f>
        <v>0</v>
      </c>
      <c r="G7" s="362"/>
      <c r="H7" s="361">
        <f>SUMIF(48:48,YEAR(G7)&amp;"-"&amp;MONTH(G7),49:49)</f>
        <v>0</v>
      </c>
      <c r="I7" s="362"/>
      <c r="J7" s="361">
        <f>SUMIF(48:48,YEAR(I7)&amp;"-"&amp;MONTH(I7),49:49)</f>
        <v>0</v>
      </c>
      <c r="K7" s="41"/>
      <c r="L7" s="2650"/>
      <c r="M7" s="2603"/>
      <c r="N7" s="2603"/>
      <c r="O7" s="2603"/>
      <c r="P7" s="3346" t="s">
        <v>2125</v>
      </c>
      <c r="Q7" s="3374"/>
      <c r="R7" s="673" t="s">
        <v>17</v>
      </c>
      <c r="S7" s="674">
        <f t="shared" ref="S7:S14" si="0">F7</f>
        <v>0</v>
      </c>
      <c r="T7" s="673" t="s">
        <v>17</v>
      </c>
      <c r="U7" s="674">
        <f t="shared" ref="U7:U14" si="1">H7</f>
        <v>0</v>
      </c>
      <c r="V7" s="673" t="s">
        <v>17</v>
      </c>
      <c r="W7" s="674">
        <f t="shared" ref="W7:W14" si="2">J7</f>
        <v>0</v>
      </c>
      <c r="X7" s="675"/>
      <c r="Y7" s="3346" t="s">
        <v>2125</v>
      </c>
      <c r="Z7" s="3347"/>
      <c r="AA7" s="53" t="e">
        <f>D7/F7</f>
        <v>#DIV/0!</v>
      </c>
      <c r="AB7" s="53" t="e">
        <f>D7/H7</f>
        <v>#DIV/0!</v>
      </c>
      <c r="AC7" s="53" t="e">
        <f>D7/J7</f>
        <v>#DIV/0!</v>
      </c>
    </row>
    <row r="8" spans="1:29" s="107" customFormat="1" ht="15.75" thickBot="1">
      <c r="A8" s="358" t="s">
        <v>2126</v>
      </c>
      <c r="B8" s="359"/>
      <c r="C8" s="364" t="s">
        <v>2228</v>
      </c>
      <c r="D8" s="361">
        <v>100</v>
      </c>
      <c r="E8" s="364"/>
      <c r="F8" s="363">
        <f>SUMIF(51:51,E8,52:52)-SUMIF(51:51,C8,52:52)+100</f>
        <v>0</v>
      </c>
      <c r="G8" s="364"/>
      <c r="H8" s="361">
        <f>SUMIF(51:51,G8,52:52)-SUMIF(51:51,C8,52:52)+100</f>
        <v>0</v>
      </c>
      <c r="I8" s="364"/>
      <c r="J8" s="361">
        <f>SUMIF(51:51,I8,52:52)-SUMIF(51:51,C8,52:52)+100</f>
        <v>0</v>
      </c>
      <c r="K8" s="41"/>
      <c r="L8" s="2650"/>
      <c r="M8" s="2603"/>
      <c r="N8" s="2603"/>
      <c r="O8" s="2603"/>
      <c r="P8" s="3346" t="s">
        <v>2128</v>
      </c>
      <c r="Q8" s="3347"/>
      <c r="R8" s="673" t="s">
        <v>17</v>
      </c>
      <c r="S8" s="674">
        <f t="shared" si="0"/>
        <v>0</v>
      </c>
      <c r="T8" s="673" t="s">
        <v>17</v>
      </c>
      <c r="U8" s="674">
        <f t="shared" si="1"/>
        <v>0</v>
      </c>
      <c r="V8" s="673" t="s">
        <v>17</v>
      </c>
      <c r="W8" s="674">
        <f t="shared" si="2"/>
        <v>0</v>
      </c>
      <c r="X8" s="675"/>
      <c r="Y8" s="3346" t="s">
        <v>2128</v>
      </c>
      <c r="Z8" s="3347"/>
      <c r="AA8" s="53" t="e">
        <f t="shared" ref="AA8:AA36" si="3">D8/F8</f>
        <v>#DIV/0!</v>
      </c>
      <c r="AB8" s="53" t="e">
        <f t="shared" ref="AB8:AB36" si="4">D8/H8</f>
        <v>#DIV/0!</v>
      </c>
      <c r="AC8" s="53" t="e">
        <f t="shared" ref="AC8:AC36" si="5">D8/J8</f>
        <v>#DIV/0!</v>
      </c>
    </row>
    <row r="9" spans="1:29" s="107" customFormat="1">
      <c r="A9" s="61" t="s">
        <v>2129</v>
      </c>
      <c r="B9" s="572" t="s">
        <v>2130</v>
      </c>
      <c r="C9" s="366"/>
      <c r="D9" s="63">
        <v>100</v>
      </c>
      <c r="E9" s="368"/>
      <c r="F9" s="63">
        <f>SUMIF(53:53,E9,54:54)-SUMIF(53:53,C9,54:54)+100</f>
        <v>100</v>
      </c>
      <c r="G9" s="367"/>
      <c r="H9" s="63">
        <f>SUMIF(53:53,G9,54:54)-SUMIF(53:53,C9,54:54)+100</f>
        <v>100</v>
      </c>
      <c r="I9" s="367"/>
      <c r="J9" s="63">
        <f>SUMIF(53:53,I9,54:54)-SUMIF(53:53,C9,54:54)+100</f>
        <v>100</v>
      </c>
      <c r="K9" s="41"/>
      <c r="L9" s="2650"/>
      <c r="M9" s="2603"/>
      <c r="N9" s="2603"/>
      <c r="O9" s="2603"/>
      <c r="P9" s="3360" t="s">
        <v>2131</v>
      </c>
      <c r="Q9" s="538" t="str">
        <f t="shared" ref="Q9:Q14" si="6">B9</f>
        <v>用途</v>
      </c>
      <c r="R9" s="673" t="s">
        <v>17</v>
      </c>
      <c r="S9" s="674">
        <f t="shared" si="0"/>
        <v>100</v>
      </c>
      <c r="T9" s="673" t="s">
        <v>17</v>
      </c>
      <c r="U9" s="674">
        <f t="shared" si="1"/>
        <v>100</v>
      </c>
      <c r="V9" s="673" t="s">
        <v>17</v>
      </c>
      <c r="W9" s="674">
        <f t="shared" si="2"/>
        <v>100</v>
      </c>
      <c r="X9" s="675"/>
      <c r="Y9" s="3316" t="s">
        <v>2132</v>
      </c>
      <c r="Z9" s="53" t="str">
        <f t="shared" ref="Z9:Z14" si="7">Q9</f>
        <v>用途</v>
      </c>
      <c r="AA9" s="53">
        <f t="shared" si="3"/>
        <v>1</v>
      </c>
      <c r="AB9" s="53">
        <f t="shared" si="4"/>
        <v>1</v>
      </c>
      <c r="AC9" s="53">
        <f t="shared" si="5"/>
        <v>1</v>
      </c>
    </row>
    <row r="10" spans="1:29" s="374" customFormat="1" ht="27">
      <c r="A10" s="573"/>
      <c r="B10" s="574" t="s">
        <v>2133</v>
      </c>
      <c r="C10" s="371"/>
      <c r="D10" s="124">
        <v>100</v>
      </c>
      <c r="E10" s="371"/>
      <c r="F10" s="124">
        <f>SUMIF(55:55,E10,56:56)-SUMIF(55:55,C10,56:56)+100</f>
        <v>100</v>
      </c>
      <c r="G10" s="372"/>
      <c r="H10" s="124">
        <f>SUMIF(55:55,G10,56:56)-SUMIF(55:55,C10,56:56)+100</f>
        <v>100</v>
      </c>
      <c r="I10" s="371"/>
      <c r="J10" s="124">
        <f>SUMIF(55:55,I10,56:56)-SUMIF(55:55,C10,56:56)+100</f>
        <v>100</v>
      </c>
      <c r="K10" s="546"/>
      <c r="L10" s="2651"/>
      <c r="M10" s="2652"/>
      <c r="N10" s="2652"/>
      <c r="O10" s="2652"/>
      <c r="P10" s="3360"/>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3"/>
      <c r="M11" s="2649"/>
      <c r="N11" s="2649"/>
      <c r="O11" s="2649"/>
      <c r="P11" s="3360"/>
      <c r="Q11" s="538">
        <f t="shared" si="6"/>
        <v>111</v>
      </c>
      <c r="R11" s="673" t="s">
        <v>17</v>
      </c>
      <c r="S11" s="674">
        <f t="shared" si="0"/>
        <v>100</v>
      </c>
      <c r="T11" s="673" t="s">
        <v>17</v>
      </c>
      <c r="U11" s="674">
        <f t="shared" si="1"/>
        <v>100</v>
      </c>
      <c r="V11" s="673" t="s">
        <v>17</v>
      </c>
      <c r="W11" s="674">
        <f t="shared" si="2"/>
        <v>100</v>
      </c>
      <c r="X11" s="675"/>
      <c r="Y11" s="3316"/>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0"/>
      <c r="M12" s="2603"/>
      <c r="N12" s="2603"/>
      <c r="O12" s="2603"/>
      <c r="P12" s="3360"/>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53">
        <f>D12/J12</f>
        <v>1</v>
      </c>
    </row>
    <row r="13" spans="1:29" ht="15.75"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4"/>
      <c r="M13" s="2649"/>
      <c r="N13" s="2649"/>
      <c r="O13" s="2649"/>
      <c r="P13" s="3360"/>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53">
        <f t="shared" si="5"/>
        <v>1</v>
      </c>
    </row>
    <row r="14" spans="1:29" ht="85.5">
      <c r="A14" s="351" t="s">
        <v>2135</v>
      </c>
      <c r="B14" s="562" t="s">
        <v>2285</v>
      </c>
      <c r="C14" s="1949"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4"/>
      <c r="M14" s="2649"/>
      <c r="N14" s="2649"/>
      <c r="O14" s="2649"/>
      <c r="P14" s="3375" t="s">
        <v>2136</v>
      </c>
      <c r="Q14" s="1392" t="str">
        <f t="shared" si="6"/>
        <v>交通便捷度</v>
      </c>
      <c r="R14" s="676" t="s">
        <v>17</v>
      </c>
      <c r="S14" s="677">
        <f t="shared" si="0"/>
        <v>100</v>
      </c>
      <c r="T14" s="676" t="s">
        <v>17</v>
      </c>
      <c r="U14" s="677">
        <f t="shared" si="1"/>
        <v>100</v>
      </c>
      <c r="V14" s="676" t="s">
        <v>17</v>
      </c>
      <c r="W14" s="677">
        <f t="shared" si="2"/>
        <v>100</v>
      </c>
      <c r="X14" s="1394"/>
      <c r="Y14" s="3375" t="s">
        <v>2136</v>
      </c>
      <c r="Z14" s="1393" t="str">
        <f t="shared" si="7"/>
        <v>交通便捷度</v>
      </c>
      <c r="AA14" s="1393">
        <f t="shared" si="3"/>
        <v>1</v>
      </c>
      <c r="AB14" s="1393">
        <f t="shared" si="4"/>
        <v>1</v>
      </c>
      <c r="AC14" s="1393">
        <f t="shared" si="5"/>
        <v>1</v>
      </c>
    </row>
    <row r="15" spans="1:29" ht="15">
      <c r="A15" s="354"/>
      <c r="B15" s="579"/>
      <c r="C15" s="394"/>
      <c r="D15" s="395"/>
      <c r="E15" s="394"/>
      <c r="F15" s="396"/>
      <c r="G15" s="394"/>
      <c r="H15" s="397"/>
      <c r="I15" s="394"/>
      <c r="J15" s="395"/>
      <c r="K15" s="549"/>
      <c r="L15" s="2654"/>
      <c r="M15" s="2649"/>
      <c r="N15" s="2649"/>
      <c r="O15" s="2649"/>
      <c r="P15" s="3376"/>
      <c r="Q15" s="1392"/>
      <c r="R15" s="676"/>
      <c r="S15" s="677"/>
      <c r="T15" s="676"/>
      <c r="U15" s="677"/>
      <c r="V15" s="676"/>
      <c r="W15" s="677"/>
      <c r="X15" s="1394"/>
      <c r="Y15" s="3376"/>
      <c r="Z15" s="1393"/>
      <c r="AA15" s="1393">
        <v>1</v>
      </c>
      <c r="AB15" s="1393">
        <v>1</v>
      </c>
      <c r="AC15" s="1393">
        <v>1</v>
      </c>
    </row>
    <row r="16" spans="1:29" ht="42.75">
      <c r="A16" s="354"/>
      <c r="B16" s="564" t="s">
        <v>2264</v>
      </c>
      <c r="C16" s="1884"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54"/>
      <c r="M16" s="2649"/>
      <c r="N16" s="2649"/>
      <c r="O16" s="2649"/>
      <c r="P16" s="3376"/>
      <c r="Q16" s="1392" t="str">
        <f>B16</f>
        <v>公共配套设施</v>
      </c>
      <c r="R16" s="676" t="s">
        <v>17</v>
      </c>
      <c r="S16" s="677">
        <f>F16</f>
        <v>100</v>
      </c>
      <c r="T16" s="676" t="s">
        <v>17</v>
      </c>
      <c r="U16" s="677">
        <f>H16</f>
        <v>100</v>
      </c>
      <c r="V16" s="676" t="s">
        <v>17</v>
      </c>
      <c r="W16" s="677">
        <f>J16</f>
        <v>100</v>
      </c>
      <c r="X16" s="1394"/>
      <c r="Y16" s="3376"/>
      <c r="Z16" s="1393" t="str">
        <f>Q16</f>
        <v>公共配套设施</v>
      </c>
      <c r="AA16" s="1393">
        <f t="shared" si="3"/>
        <v>1</v>
      </c>
      <c r="AB16" s="1393">
        <f t="shared" si="4"/>
        <v>1</v>
      </c>
      <c r="AC16" s="1393">
        <f t="shared" si="5"/>
        <v>1</v>
      </c>
    </row>
    <row r="17" spans="1:29" ht="15">
      <c r="A17" s="354"/>
      <c r="B17" s="409"/>
      <c r="C17" s="1885"/>
      <c r="D17" s="395"/>
      <c r="E17" s="394"/>
      <c r="F17" s="396"/>
      <c r="G17" s="394"/>
      <c r="H17" s="395"/>
      <c r="I17" s="394"/>
      <c r="J17" s="395"/>
      <c r="K17" s="549"/>
      <c r="L17" s="2654"/>
      <c r="M17" s="2649"/>
      <c r="N17" s="2649"/>
      <c r="O17" s="2649"/>
      <c r="P17" s="3376"/>
      <c r="Q17" s="1392"/>
      <c r="R17" s="676"/>
      <c r="S17" s="677"/>
      <c r="T17" s="676"/>
      <c r="U17" s="677"/>
      <c r="V17" s="676"/>
      <c r="W17" s="677"/>
      <c r="X17" s="1394"/>
      <c r="Y17" s="3376"/>
      <c r="Z17" s="1393"/>
      <c r="AA17" s="1393">
        <v>1</v>
      </c>
      <c r="AB17" s="1393">
        <v>1</v>
      </c>
      <c r="AC17" s="1393">
        <v>1</v>
      </c>
    </row>
    <row r="18" spans="1:29" ht="28.5">
      <c r="A18" s="354"/>
      <c r="B18" s="565" t="s">
        <v>2265</v>
      </c>
      <c r="C18" s="1884"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54"/>
      <c r="M18" s="2649"/>
      <c r="N18" s="2649"/>
      <c r="O18" s="2649"/>
      <c r="P18" s="3376"/>
      <c r="Q18" s="1392" t="str">
        <f>B18</f>
        <v>基础设施水平</v>
      </c>
      <c r="R18" s="676" t="s">
        <v>17</v>
      </c>
      <c r="S18" s="677">
        <f>F18</f>
        <v>100</v>
      </c>
      <c r="T18" s="676" t="s">
        <v>17</v>
      </c>
      <c r="U18" s="677">
        <f>H18</f>
        <v>100</v>
      </c>
      <c r="V18" s="676" t="s">
        <v>17</v>
      </c>
      <c r="W18" s="677">
        <f>J18</f>
        <v>100</v>
      </c>
      <c r="X18" s="1394"/>
      <c r="Y18" s="3376"/>
      <c r="Z18" s="1393" t="str">
        <f>Q18</f>
        <v>基础设施水平</v>
      </c>
      <c r="AA18" s="1393">
        <f t="shared" ref="AA18" si="8">D18/F18</f>
        <v>1</v>
      </c>
      <c r="AB18" s="1393">
        <f t="shared" ref="AB18" si="9">D18/H18</f>
        <v>1</v>
      </c>
      <c r="AC18" s="1393">
        <f t="shared" ref="AC18" si="10">D18/J18</f>
        <v>1</v>
      </c>
    </row>
    <row r="19" spans="1:29" ht="15">
      <c r="A19" s="354"/>
      <c r="B19" s="565"/>
      <c r="C19" s="1885"/>
      <c r="D19" s="397"/>
      <c r="E19" s="1885"/>
      <c r="F19" s="400"/>
      <c r="G19" s="1885"/>
      <c r="H19" s="395"/>
      <c r="I19" s="394"/>
      <c r="J19" s="395"/>
      <c r="K19" s="1174"/>
      <c r="L19" s="2654"/>
      <c r="M19" s="2649"/>
      <c r="N19" s="2649"/>
      <c r="O19" s="2649"/>
      <c r="P19" s="3376"/>
      <c r="Q19" s="1392"/>
      <c r="R19" s="676"/>
      <c r="S19" s="677"/>
      <c r="T19" s="676"/>
      <c r="U19" s="677"/>
      <c r="V19" s="676"/>
      <c r="W19" s="677"/>
      <c r="X19" s="1394"/>
      <c r="Y19" s="3376"/>
      <c r="Z19" s="1393"/>
      <c r="AA19" s="1393">
        <v>1</v>
      </c>
      <c r="AB19" s="1393">
        <v>1</v>
      </c>
      <c r="AC19" s="1393">
        <v>1</v>
      </c>
    </row>
    <row r="20" spans="1:29" ht="57">
      <c r="A20" s="354"/>
      <c r="B20" s="564" t="s">
        <v>2286</v>
      </c>
      <c r="C20" s="1884"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54"/>
      <c r="M20" s="2649"/>
      <c r="N20" s="2649"/>
      <c r="O20" s="2649"/>
      <c r="P20" s="3376"/>
      <c r="Q20" s="1392" t="str">
        <f>B20</f>
        <v>自然及人文环境</v>
      </c>
      <c r="R20" s="676" t="s">
        <v>17</v>
      </c>
      <c r="S20" s="677">
        <f>F20</f>
        <v>100</v>
      </c>
      <c r="T20" s="676" t="s">
        <v>17</v>
      </c>
      <c r="U20" s="677">
        <f>H20</f>
        <v>100</v>
      </c>
      <c r="V20" s="676" t="s">
        <v>17</v>
      </c>
      <c r="W20" s="677">
        <f>J20</f>
        <v>100</v>
      </c>
      <c r="X20" s="1394"/>
      <c r="Y20" s="3376"/>
      <c r="Z20" s="1393" t="str">
        <f>Q20</f>
        <v>自然及人文环境</v>
      </c>
      <c r="AA20" s="1393">
        <f t="shared" si="3"/>
        <v>1</v>
      </c>
      <c r="AB20" s="1393">
        <f t="shared" si="4"/>
        <v>1</v>
      </c>
      <c r="AC20" s="1393">
        <f t="shared" si="5"/>
        <v>1</v>
      </c>
    </row>
    <row r="21" spans="1:29" ht="15">
      <c r="A21" s="354"/>
      <c r="B21" s="409"/>
      <c r="C21" s="394"/>
      <c r="D21" s="395"/>
      <c r="E21" s="394"/>
      <c r="F21" s="396"/>
      <c r="G21" s="394"/>
      <c r="H21" s="395"/>
      <c r="I21" s="394"/>
      <c r="J21" s="395"/>
      <c r="K21" s="549"/>
      <c r="L21" s="2654"/>
      <c r="M21" s="2649"/>
      <c r="N21" s="2649"/>
      <c r="O21" s="2649"/>
      <c r="P21" s="3376"/>
      <c r="Q21" s="1392"/>
      <c r="R21" s="676"/>
      <c r="S21" s="677"/>
      <c r="T21" s="676"/>
      <c r="U21" s="677"/>
      <c r="V21" s="676"/>
      <c r="W21" s="677"/>
      <c r="X21" s="1394"/>
      <c r="Y21" s="3376"/>
      <c r="Z21" s="1393"/>
      <c r="AA21" s="1393">
        <v>1</v>
      </c>
      <c r="AB21" s="1393">
        <v>1</v>
      </c>
      <c r="AC21" s="1393">
        <v>1</v>
      </c>
    </row>
    <row r="22" spans="1:29" ht="15">
      <c r="A22" s="354"/>
      <c r="B22" s="564" t="s">
        <v>2287</v>
      </c>
      <c r="C22" s="550"/>
      <c r="D22" s="397">
        <v>100</v>
      </c>
      <c r="E22" s="550"/>
      <c r="F22" s="408">
        <f>SUMIF(71:71,E22,72:72)-SUMIF(71:71,C22,72:72)+100</f>
        <v>100</v>
      </c>
      <c r="G22" s="550"/>
      <c r="H22" s="382">
        <f>SUMIF(71:71,G22,72:72)-SUMIF(71:71,C22,72:72)+100</f>
        <v>100</v>
      </c>
      <c r="I22" s="550"/>
      <c r="J22" s="382">
        <f>SUMIF(71:71,I22,72:72)-SUMIF(71:71,C22,72:72)+100</f>
        <v>100</v>
      </c>
      <c r="K22" s="546"/>
      <c r="L22" s="2654"/>
      <c r="M22" s="2649"/>
      <c r="N22" s="2649"/>
      <c r="O22" s="2649"/>
      <c r="P22" s="3376"/>
      <c r="Q22" s="1392" t="str">
        <f>B22</f>
        <v>楼层</v>
      </c>
      <c r="R22" s="676" t="s">
        <v>17</v>
      </c>
      <c r="S22" s="677">
        <f>F22</f>
        <v>100</v>
      </c>
      <c r="T22" s="676" t="s">
        <v>17</v>
      </c>
      <c r="U22" s="677">
        <f>H22</f>
        <v>100</v>
      </c>
      <c r="V22" s="676" t="s">
        <v>17</v>
      </c>
      <c r="W22" s="677">
        <f>J22</f>
        <v>100</v>
      </c>
      <c r="X22" s="1394"/>
      <c r="Y22" s="3376"/>
      <c r="Z22" s="1393" t="str">
        <f>Q22</f>
        <v>楼层</v>
      </c>
      <c r="AA22" s="1393">
        <f t="shared" si="3"/>
        <v>1</v>
      </c>
      <c r="AB22" s="1393">
        <f t="shared" si="4"/>
        <v>1</v>
      </c>
      <c r="AC22" s="1393">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4"/>
      <c r="M23" s="2649"/>
      <c r="N23" s="2649"/>
      <c r="O23" s="2649"/>
      <c r="P23" s="3376"/>
      <c r="Q23" s="1392">
        <f>B23</f>
        <v>111</v>
      </c>
      <c r="R23" s="676" t="s">
        <v>17</v>
      </c>
      <c r="S23" s="677">
        <f>F23</f>
        <v>100</v>
      </c>
      <c r="T23" s="676" t="s">
        <v>17</v>
      </c>
      <c r="U23" s="677">
        <f>H23</f>
        <v>100</v>
      </c>
      <c r="V23" s="676" t="s">
        <v>17</v>
      </c>
      <c r="W23" s="677">
        <f>J23</f>
        <v>100</v>
      </c>
      <c r="X23" s="1394"/>
      <c r="Y23" s="3376"/>
      <c r="Z23" s="1393">
        <f>Q23</f>
        <v>111</v>
      </c>
      <c r="AA23" s="1393">
        <f t="shared" si="3"/>
        <v>1</v>
      </c>
      <c r="AB23" s="1393">
        <f t="shared" si="4"/>
        <v>1</v>
      </c>
      <c r="AC23" s="1393">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4"/>
      <c r="M24" s="2649"/>
      <c r="N24" s="2649"/>
      <c r="O24" s="2649"/>
      <c r="P24" s="3376"/>
      <c r="Q24" s="1392">
        <f t="shared" ref="Q24:Q36" si="11">B24</f>
        <v>111</v>
      </c>
      <c r="R24" s="676" t="s">
        <v>17</v>
      </c>
      <c r="S24" s="677">
        <f>F24</f>
        <v>100</v>
      </c>
      <c r="T24" s="676" t="s">
        <v>17</v>
      </c>
      <c r="U24" s="677">
        <f>H24</f>
        <v>100</v>
      </c>
      <c r="V24" s="676" t="s">
        <v>17</v>
      </c>
      <c r="W24" s="677">
        <f>J24</f>
        <v>100</v>
      </c>
      <c r="X24" s="1394"/>
      <c r="Y24" s="3376"/>
      <c r="Z24" s="1393">
        <f>Q24</f>
        <v>111</v>
      </c>
      <c r="AA24" s="1393">
        <f t="shared" si="3"/>
        <v>1</v>
      </c>
      <c r="AB24" s="1393">
        <f t="shared" si="4"/>
        <v>1</v>
      </c>
      <c r="AC24" s="1393">
        <f t="shared" si="5"/>
        <v>1</v>
      </c>
    </row>
    <row r="25" spans="1:29" s="107" customFormat="1" ht="15.75"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0"/>
      <c r="M25" s="2603"/>
      <c r="N25" s="2603"/>
      <c r="O25" s="2603"/>
      <c r="P25" s="3376"/>
      <c r="Q25" s="538">
        <f t="shared" si="11"/>
        <v>111</v>
      </c>
      <c r="R25" s="673" t="s">
        <v>17</v>
      </c>
      <c r="S25" s="674">
        <f>F25</f>
        <v>100</v>
      </c>
      <c r="T25" s="673" t="s">
        <v>17</v>
      </c>
      <c r="U25" s="674">
        <f>H25</f>
        <v>100</v>
      </c>
      <c r="V25" s="673" t="s">
        <v>17</v>
      </c>
      <c r="W25" s="674">
        <f>J25</f>
        <v>100</v>
      </c>
      <c r="X25" s="675"/>
      <c r="Y25" s="3376"/>
      <c r="Z25" s="53">
        <f>Q25</f>
        <v>111</v>
      </c>
      <c r="AA25" s="1393">
        <f>D25/F25</f>
        <v>1</v>
      </c>
      <c r="AB25" s="1393">
        <f>D25/H25</f>
        <v>1</v>
      </c>
      <c r="AC25" s="1393">
        <f>D25/J25</f>
        <v>1</v>
      </c>
    </row>
    <row r="26" spans="1:29" ht="28.5">
      <c r="A26" s="582" t="s">
        <v>2139</v>
      </c>
      <c r="B26" s="63" t="s">
        <v>2288</v>
      </c>
      <c r="C26" s="1950">
        <f>B1</f>
        <v>0</v>
      </c>
      <c r="D26" s="395">
        <v>100</v>
      </c>
      <c r="E26" s="394"/>
      <c r="F26" s="396">
        <f>SUMIF(79:79,E26,80:80)-SUMIF(79:79,C26,80:80)+100</f>
        <v>100</v>
      </c>
      <c r="G26" s="394"/>
      <c r="H26" s="395">
        <f>SUMIF(79:79,G26,80:80)-SUMIF(79:79,C26,80:80)+100</f>
        <v>100</v>
      </c>
      <c r="I26" s="394"/>
      <c r="J26" s="395">
        <f>SUMIF(79:79,I26,80:80)-SUMIF(79:79,C26,80:80)+100</f>
        <v>100</v>
      </c>
      <c r="K26" s="546"/>
      <c r="L26" s="2654"/>
      <c r="M26" s="2649"/>
      <c r="N26" s="2649"/>
      <c r="O26" s="2649"/>
      <c r="P26" s="3377" t="s">
        <v>2141</v>
      </c>
      <c r="Q26" s="1392" t="str">
        <f t="shared" si="11"/>
        <v>配套类型</v>
      </c>
      <c r="R26" s="676" t="s">
        <v>17</v>
      </c>
      <c r="S26" s="677">
        <f t="shared" ref="S26:S36" si="12">F26</f>
        <v>100</v>
      </c>
      <c r="T26" s="676" t="s">
        <v>17</v>
      </c>
      <c r="U26" s="677">
        <f t="shared" ref="U26:U36" si="13">H26</f>
        <v>100</v>
      </c>
      <c r="V26" s="676" t="s">
        <v>17</v>
      </c>
      <c r="W26" s="677">
        <f t="shared" ref="W26:W36" si="14">J26</f>
        <v>100</v>
      </c>
      <c r="X26" s="1394"/>
      <c r="Y26" s="3378" t="s">
        <v>2141</v>
      </c>
      <c r="Z26" s="1393" t="str">
        <f t="shared" ref="Z26:Z36" si="15">Q26</f>
        <v>配套类型</v>
      </c>
      <c r="AA26" s="1393">
        <f t="shared" si="3"/>
        <v>1</v>
      </c>
      <c r="AB26" s="1393">
        <f t="shared" si="4"/>
        <v>1</v>
      </c>
      <c r="AC26" s="1393">
        <f t="shared" si="5"/>
        <v>1</v>
      </c>
    </row>
    <row r="27" spans="1:29" s="416" customFormat="1" ht="15">
      <c r="A27" s="583"/>
      <c r="B27" s="124" t="s">
        <v>2289</v>
      </c>
      <c r="C27" s="584"/>
      <c r="D27" s="124">
        <v>100</v>
      </c>
      <c r="E27" s="584"/>
      <c r="F27" s="408">
        <f>SUMIF(81:81,E27,82:82)-SUMIF(81:81,C27,82:82)+100</f>
        <v>100</v>
      </c>
      <c r="G27" s="584"/>
      <c r="H27" s="382">
        <f>SUMIF(81:81,G27,82:82)-SUMIF(81:81,C27,82:82)+100</f>
        <v>100</v>
      </c>
      <c r="I27" s="584"/>
      <c r="J27" s="382">
        <f>SUMIF(81:81,I27,82:82)-SUMIF(81:81,C27,82:82)+100</f>
        <v>100</v>
      </c>
      <c r="K27" s="547"/>
      <c r="L27" s="2653"/>
      <c r="M27" s="2655"/>
      <c r="N27" s="2655"/>
      <c r="O27" s="2655"/>
      <c r="P27" s="3378"/>
      <c r="Q27" s="539" t="str">
        <f t="shared" si="11"/>
        <v>项目停车位配比</v>
      </c>
      <c r="R27" s="678" t="s">
        <v>17</v>
      </c>
      <c r="S27" s="679">
        <f t="shared" si="12"/>
        <v>100</v>
      </c>
      <c r="T27" s="678" t="s">
        <v>17</v>
      </c>
      <c r="U27" s="679">
        <f t="shared" si="13"/>
        <v>100</v>
      </c>
      <c r="V27" s="678" t="s">
        <v>17</v>
      </c>
      <c r="W27" s="679">
        <f t="shared" si="14"/>
        <v>100</v>
      </c>
      <c r="X27" s="680"/>
      <c r="Y27" s="3378"/>
      <c r="Z27" s="681" t="str">
        <f t="shared" si="15"/>
        <v>项目停车位配比</v>
      </c>
      <c r="AA27" s="1393">
        <f t="shared" si="3"/>
        <v>1</v>
      </c>
      <c r="AB27" s="1393">
        <f t="shared" si="4"/>
        <v>1</v>
      </c>
      <c r="AC27" s="1393">
        <f t="shared" si="5"/>
        <v>1</v>
      </c>
    </row>
    <row r="28" spans="1:29" ht="15">
      <c r="A28" s="585"/>
      <c r="B28" s="124" t="s">
        <v>2290</v>
      </c>
      <c r="C28" s="407"/>
      <c r="D28" s="382">
        <v>100</v>
      </c>
      <c r="E28" s="407"/>
      <c r="F28" s="408">
        <f>SUMIF(83:83,E28,84:84)-SUMIF(83:83,C28,84:84)+100</f>
        <v>100</v>
      </c>
      <c r="G28" s="407"/>
      <c r="H28" s="382">
        <f>SUMIF(83:83,G28,84:84)-SUMIF(83:83,C28,84:84)+100</f>
        <v>100</v>
      </c>
      <c r="I28" s="407"/>
      <c r="J28" s="382">
        <f>SUMIF(83:83,I28,84:84)-SUMIF(83:83,C28,84:84)+100</f>
        <v>100</v>
      </c>
      <c r="K28" s="546"/>
      <c r="L28" s="2654"/>
      <c r="M28" s="2649"/>
      <c r="N28" s="2649"/>
      <c r="O28" s="2649"/>
      <c r="P28" s="3378"/>
      <c r="Q28" s="1392" t="str">
        <f t="shared" si="11"/>
        <v>公共部分装修</v>
      </c>
      <c r="R28" s="676" t="s">
        <v>17</v>
      </c>
      <c r="S28" s="677">
        <f t="shared" si="12"/>
        <v>100</v>
      </c>
      <c r="T28" s="676" t="s">
        <v>17</v>
      </c>
      <c r="U28" s="677">
        <f t="shared" si="13"/>
        <v>100</v>
      </c>
      <c r="V28" s="676" t="s">
        <v>17</v>
      </c>
      <c r="W28" s="677">
        <f t="shared" si="14"/>
        <v>100</v>
      </c>
      <c r="X28" s="1394"/>
      <c r="Y28" s="3378"/>
      <c r="Z28" s="1393" t="str">
        <f t="shared" si="15"/>
        <v>公共部分装修</v>
      </c>
      <c r="AA28" s="1393">
        <f t="shared" si="3"/>
        <v>1</v>
      </c>
      <c r="AB28" s="1393">
        <f t="shared" si="4"/>
        <v>1</v>
      </c>
      <c r="AC28" s="1393">
        <f t="shared" si="5"/>
        <v>1</v>
      </c>
    </row>
    <row r="29" spans="1:29" ht="15">
      <c r="A29" s="585"/>
      <c r="B29" s="124" t="s">
        <v>2291</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4"/>
      <c r="M29" s="2649"/>
      <c r="N29" s="2649"/>
      <c r="O29" s="2649"/>
      <c r="P29" s="3378"/>
      <c r="Q29" s="1392" t="str">
        <f t="shared" si="11"/>
        <v>成新率</v>
      </c>
      <c r="R29" s="676" t="s">
        <v>17</v>
      </c>
      <c r="S29" s="677" t="e">
        <f t="shared" si="12"/>
        <v>#N/A</v>
      </c>
      <c r="T29" s="676" t="s">
        <v>17</v>
      </c>
      <c r="U29" s="677" t="e">
        <f t="shared" si="13"/>
        <v>#N/A</v>
      </c>
      <c r="V29" s="676" t="s">
        <v>17</v>
      </c>
      <c r="W29" s="677" t="e">
        <f t="shared" si="14"/>
        <v>#N/A</v>
      </c>
      <c r="X29" s="1394"/>
      <c r="Y29" s="3378"/>
      <c r="Z29" s="1393" t="str">
        <f t="shared" si="15"/>
        <v>成新率</v>
      </c>
      <c r="AA29" s="1393" t="e">
        <f t="shared" si="3"/>
        <v>#N/A</v>
      </c>
      <c r="AB29" s="1393" t="e">
        <f t="shared" si="4"/>
        <v>#N/A</v>
      </c>
      <c r="AC29" s="1393" t="e">
        <f t="shared" si="5"/>
        <v>#N/A</v>
      </c>
    </row>
    <row r="30" spans="1:29" ht="15">
      <c r="A30" s="585"/>
      <c r="B30" s="124" t="s">
        <v>2292</v>
      </c>
      <c r="C30" s="586"/>
      <c r="D30" s="382">
        <v>100</v>
      </c>
      <c r="E30" s="586"/>
      <c r="F30" s="408">
        <f>SUMIF(88:88,E30,89:89)-SUMIF(88:88,C30,89:89)+100</f>
        <v>100</v>
      </c>
      <c r="G30" s="586"/>
      <c r="H30" s="382">
        <f>SUMIF(88:88,E30,89:89)-SUMIF(88:88,C30,89:89)+100</f>
        <v>100</v>
      </c>
      <c r="I30" s="586"/>
      <c r="J30" s="382">
        <f>SUMIF(88:88,E30,89:89)-SUMIF(88:88,C30,89:89)+100</f>
        <v>100</v>
      </c>
      <c r="K30" s="546"/>
      <c r="L30" s="2654"/>
      <c r="M30" s="2649"/>
      <c r="N30" s="2649"/>
      <c r="O30" s="2649"/>
      <c r="P30" s="3378"/>
      <c r="Q30" s="1392" t="str">
        <f t="shared" si="11"/>
        <v>物业等级</v>
      </c>
      <c r="R30" s="676" t="s">
        <v>17</v>
      </c>
      <c r="S30" s="677">
        <f t="shared" si="12"/>
        <v>100</v>
      </c>
      <c r="T30" s="676" t="s">
        <v>17</v>
      </c>
      <c r="U30" s="677">
        <f t="shared" si="13"/>
        <v>100</v>
      </c>
      <c r="V30" s="676" t="s">
        <v>17</v>
      </c>
      <c r="W30" s="677">
        <f t="shared" si="14"/>
        <v>100</v>
      </c>
      <c r="X30" s="1394"/>
      <c r="Y30" s="3378"/>
      <c r="Z30" s="1393" t="str">
        <f t="shared" si="15"/>
        <v>物业等级</v>
      </c>
      <c r="AA30" s="1393">
        <f t="shared" si="3"/>
        <v>1</v>
      </c>
      <c r="AB30" s="1393">
        <f t="shared" si="4"/>
        <v>1</v>
      </c>
      <c r="AC30" s="1393">
        <f t="shared" si="5"/>
        <v>1</v>
      </c>
    </row>
    <row r="31" spans="1:29" s="107" customFormat="1" ht="15">
      <c r="A31" s="587"/>
      <c r="B31" s="124" t="s">
        <v>2293</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0"/>
      <c r="M31" s="2603"/>
      <c r="N31" s="2603"/>
      <c r="O31" s="2603"/>
      <c r="P31" s="3378"/>
      <c r="Q31" s="538" t="str">
        <f t="shared" si="11"/>
        <v>停车位面积</v>
      </c>
      <c r="R31" s="673" t="s">
        <v>17</v>
      </c>
      <c r="S31" s="674" t="e">
        <f t="shared" si="12"/>
        <v>#N/A</v>
      </c>
      <c r="T31" s="673" t="s">
        <v>17</v>
      </c>
      <c r="U31" s="674" t="e">
        <f t="shared" si="13"/>
        <v>#N/A</v>
      </c>
      <c r="V31" s="673" t="s">
        <v>17</v>
      </c>
      <c r="W31" s="674" t="e">
        <f t="shared" si="14"/>
        <v>#N/A</v>
      </c>
      <c r="X31" s="675"/>
      <c r="Y31" s="3378"/>
      <c r="Z31" s="53" t="str">
        <f t="shared" si="15"/>
        <v>停车位面积</v>
      </c>
      <c r="AA31" s="53" t="e">
        <f t="shared" si="3"/>
        <v>#N/A</v>
      </c>
      <c r="AB31" s="53" t="e">
        <f t="shared" si="4"/>
        <v>#N/A</v>
      </c>
      <c r="AC31" s="53" t="e">
        <f t="shared" si="5"/>
        <v>#N/A</v>
      </c>
    </row>
    <row r="32" spans="1:29" ht="15">
      <c r="A32" s="585"/>
      <c r="B32" s="124" t="s">
        <v>2294</v>
      </c>
      <c r="C32" s="407"/>
      <c r="D32" s="382">
        <v>100</v>
      </c>
      <c r="E32" s="407"/>
      <c r="F32" s="408">
        <f>SUMIF(93:93,E32,94:94)-SUMIF(93:93,C32,94:94)+100</f>
        <v>100</v>
      </c>
      <c r="G32" s="407"/>
      <c r="H32" s="382">
        <f>SUMIF(93:93,G32,94:94)-SUMIF(93:93,C32,94:94)+100</f>
        <v>100</v>
      </c>
      <c r="I32" s="407"/>
      <c r="J32" s="382">
        <f>SUMIF(93:93,I32,94:94)-SUMIF(93:93,C32,94:94)+100</f>
        <v>100</v>
      </c>
      <c r="K32" s="546"/>
      <c r="L32" s="2654"/>
      <c r="M32" s="2649"/>
      <c r="N32" s="2649"/>
      <c r="O32" s="2649"/>
      <c r="P32" s="3378" t="s">
        <v>2141</v>
      </c>
      <c r="Q32" s="1392" t="str">
        <f t="shared" si="11"/>
        <v>车位类型</v>
      </c>
      <c r="R32" s="676" t="s">
        <v>17</v>
      </c>
      <c r="S32" s="677">
        <f t="shared" si="12"/>
        <v>100</v>
      </c>
      <c r="T32" s="676" t="s">
        <v>17</v>
      </c>
      <c r="U32" s="677">
        <f t="shared" si="13"/>
        <v>100</v>
      </c>
      <c r="V32" s="676" t="s">
        <v>17</v>
      </c>
      <c r="W32" s="677">
        <f t="shared" si="14"/>
        <v>100</v>
      </c>
      <c r="X32" s="1394"/>
      <c r="Y32" s="3378" t="s">
        <v>2141</v>
      </c>
      <c r="Z32" s="1393" t="str">
        <f t="shared" si="15"/>
        <v>车位类型</v>
      </c>
      <c r="AA32" s="1393">
        <f t="shared" si="3"/>
        <v>1</v>
      </c>
      <c r="AB32" s="1393">
        <f t="shared" si="4"/>
        <v>1</v>
      </c>
      <c r="AC32" s="1393">
        <f t="shared" si="5"/>
        <v>1</v>
      </c>
    </row>
    <row r="33" spans="1:29" ht="15">
      <c r="A33" s="585"/>
      <c r="B33" s="124" t="s">
        <v>2295</v>
      </c>
      <c r="C33" s="407"/>
      <c r="D33" s="382">
        <v>100</v>
      </c>
      <c r="E33" s="407"/>
      <c r="F33" s="408">
        <f>SUMIF(95:95,E33,96:96)-SUMIF(95:95,C33,96:96)+100</f>
        <v>100</v>
      </c>
      <c r="G33" s="407"/>
      <c r="H33" s="382">
        <f>SUMIF(95:95,G33,96:96)-SUMIF(95:95,C33,96:96)+100</f>
        <v>100</v>
      </c>
      <c r="I33" s="407"/>
      <c r="J33" s="382">
        <f>SUMIF(95:95,I33,96:96)-SUMIF(95:95,C33,96:96)+100</f>
        <v>100</v>
      </c>
      <c r="K33" s="546"/>
      <c r="L33" s="2654"/>
      <c r="M33" s="2649"/>
      <c r="N33" s="2649"/>
      <c r="O33" s="2649"/>
      <c r="P33" s="3378"/>
      <c r="Q33" s="1392" t="str">
        <f t="shared" si="11"/>
        <v>是否直接入户</v>
      </c>
      <c r="R33" s="676" t="s">
        <v>17</v>
      </c>
      <c r="S33" s="677">
        <f t="shared" si="12"/>
        <v>100</v>
      </c>
      <c r="T33" s="676" t="s">
        <v>17</v>
      </c>
      <c r="U33" s="677">
        <f t="shared" si="13"/>
        <v>100</v>
      </c>
      <c r="V33" s="676" t="s">
        <v>17</v>
      </c>
      <c r="W33" s="677">
        <f t="shared" si="14"/>
        <v>100</v>
      </c>
      <c r="X33" s="1394"/>
      <c r="Y33" s="3378"/>
      <c r="Z33" s="1393" t="str">
        <f t="shared" si="15"/>
        <v>是否直接入户</v>
      </c>
      <c r="AA33" s="1393">
        <f t="shared" si="3"/>
        <v>1</v>
      </c>
      <c r="AB33" s="1393">
        <f t="shared" si="4"/>
        <v>1</v>
      </c>
      <c r="AC33" s="1393">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4"/>
      <c r="M34" s="2649"/>
      <c r="N34" s="2649"/>
      <c r="O34" s="2649"/>
      <c r="P34" s="3378"/>
      <c r="Q34" s="1392">
        <f t="shared" si="11"/>
        <v>111</v>
      </c>
      <c r="R34" s="676" t="s">
        <v>17</v>
      </c>
      <c r="S34" s="677">
        <f t="shared" si="12"/>
        <v>100</v>
      </c>
      <c r="T34" s="676" t="s">
        <v>17</v>
      </c>
      <c r="U34" s="677">
        <f t="shared" si="13"/>
        <v>100</v>
      </c>
      <c r="V34" s="676" t="s">
        <v>17</v>
      </c>
      <c r="W34" s="677">
        <f t="shared" si="14"/>
        <v>100</v>
      </c>
      <c r="X34" s="1394"/>
      <c r="Y34" s="3378"/>
      <c r="Z34" s="1393">
        <f t="shared" si="15"/>
        <v>111</v>
      </c>
      <c r="AA34" s="1393">
        <f t="shared" si="3"/>
        <v>1</v>
      </c>
      <c r="AB34" s="1393">
        <f t="shared" si="4"/>
        <v>1</v>
      </c>
      <c r="AC34" s="1393">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3"/>
      <c r="M35" s="2655"/>
      <c r="N35" s="2655"/>
      <c r="O35" s="2655"/>
      <c r="P35" s="3378"/>
      <c r="Q35" s="539">
        <f t="shared" si="11"/>
        <v>111</v>
      </c>
      <c r="R35" s="678" t="s">
        <v>17</v>
      </c>
      <c r="S35" s="679">
        <f t="shared" si="12"/>
        <v>100</v>
      </c>
      <c r="T35" s="678" t="s">
        <v>17</v>
      </c>
      <c r="U35" s="679">
        <f t="shared" si="13"/>
        <v>100</v>
      </c>
      <c r="V35" s="678" t="s">
        <v>17</v>
      </c>
      <c r="W35" s="679">
        <f t="shared" si="14"/>
        <v>100</v>
      </c>
      <c r="X35" s="680"/>
      <c r="Y35" s="3378"/>
      <c r="Z35" s="681">
        <f t="shared" si="15"/>
        <v>111</v>
      </c>
      <c r="AA35" s="1393">
        <f t="shared" si="3"/>
        <v>1</v>
      </c>
      <c r="AB35" s="1393">
        <f t="shared" si="4"/>
        <v>1</v>
      </c>
      <c r="AC35" s="1393">
        <f t="shared" si="5"/>
        <v>1</v>
      </c>
    </row>
    <row r="36" spans="1:29" ht="15.75"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4"/>
      <c r="M36" s="2649"/>
      <c r="N36" s="2649"/>
      <c r="O36" s="2649"/>
      <c r="P36" s="3378"/>
      <c r="Q36" s="1392">
        <f t="shared" si="11"/>
        <v>111</v>
      </c>
      <c r="R36" s="676" t="s">
        <v>17</v>
      </c>
      <c r="S36" s="677">
        <f t="shared" si="12"/>
        <v>100</v>
      </c>
      <c r="T36" s="676" t="s">
        <v>17</v>
      </c>
      <c r="U36" s="677">
        <f t="shared" si="13"/>
        <v>100</v>
      </c>
      <c r="V36" s="676" t="s">
        <v>17</v>
      </c>
      <c r="W36" s="677">
        <f t="shared" si="14"/>
        <v>100</v>
      </c>
      <c r="X36" s="1394"/>
      <c r="Y36" s="3378"/>
      <c r="Z36" s="1393">
        <f t="shared" si="15"/>
        <v>111</v>
      </c>
      <c r="AA36" s="1393">
        <f t="shared" si="3"/>
        <v>1</v>
      </c>
      <c r="AB36" s="1393">
        <f t="shared" si="4"/>
        <v>1</v>
      </c>
      <c r="AC36" s="1393">
        <f t="shared" si="5"/>
        <v>1</v>
      </c>
    </row>
    <row r="37" spans="1:29" ht="15">
      <c r="A37" s="424" t="s">
        <v>2296</v>
      </c>
      <c r="B37" s="1951" t="s">
        <v>2297</v>
      </c>
      <c r="C37" s="1191" t="s">
        <v>1</v>
      </c>
      <c r="D37" s="426"/>
      <c r="E37" s="427"/>
      <c r="F37" s="428"/>
      <c r="G37" s="429"/>
      <c r="H37" s="430"/>
      <c r="I37" s="427"/>
      <c r="J37" s="430"/>
      <c r="K37" s="553"/>
      <c r="L37" s="2656"/>
      <c r="M37" s="2649"/>
      <c r="N37" s="2649"/>
      <c r="O37" s="2649"/>
      <c r="P37" s="3360" t="str">
        <f>A37</f>
        <v>成交单价</v>
      </c>
      <c r="Q37" s="3360"/>
      <c r="R37" s="3373">
        <f>E37</f>
        <v>0</v>
      </c>
      <c r="S37" s="3373"/>
      <c r="T37" s="3373">
        <f>G37</f>
        <v>0</v>
      </c>
      <c r="U37" s="3373"/>
      <c r="V37" s="3373">
        <f>I37</f>
        <v>0</v>
      </c>
      <c r="W37" s="3373"/>
      <c r="X37" s="393"/>
      <c r="Y37" s="682"/>
      <c r="Z37" s="393"/>
      <c r="AA37" s="393"/>
      <c r="AB37" s="393"/>
      <c r="AC37" s="393"/>
    </row>
    <row r="38" spans="1:29" ht="15.75" thickBot="1">
      <c r="A38" s="431" t="s">
        <v>2298</v>
      </c>
      <c r="B38" s="432" t="str">
        <f>B37</f>
        <v>元/车位</v>
      </c>
      <c r="C38" s="1192" t="e">
        <f>R39</f>
        <v>#DIV/0!</v>
      </c>
      <c r="D38" s="2301" t="s">
        <v>2634</v>
      </c>
      <c r="E38" s="1193" t="e">
        <f>R38</f>
        <v>#DIV/0!</v>
      </c>
      <c r="F38" s="2302"/>
      <c r="G38" s="1192" t="e">
        <f>T38</f>
        <v>#DIV/0!</v>
      </c>
      <c r="H38" s="2302"/>
      <c r="I38" s="1193" t="e">
        <f>V38</f>
        <v>#DIV/0!</v>
      </c>
      <c r="J38" s="2302"/>
      <c r="K38" s="2304">
        <f>F38+H38+J38</f>
        <v>0</v>
      </c>
      <c r="L38" s="2656"/>
      <c r="M38" s="2649"/>
      <c r="N38" s="2649"/>
      <c r="O38" s="2649"/>
      <c r="P38" s="3360" t="str">
        <f>A38</f>
        <v>比较价值（元/平方米）</v>
      </c>
      <c r="Q38" s="3360"/>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393"/>
      <c r="Y38" s="393"/>
      <c r="Z38" s="393"/>
      <c r="AA38" s="393"/>
      <c r="AB38" s="393"/>
      <c r="AC38" s="393"/>
    </row>
    <row r="39" spans="1:29" ht="15.75" thickBot="1">
      <c r="A39" s="435" t="s">
        <v>2299</v>
      </c>
      <c r="B39" s="436"/>
      <c r="C39" s="357" t="e">
        <f>R39</f>
        <v>#DIV/0!</v>
      </c>
      <c r="D39" s="357"/>
      <c r="E39" s="357"/>
      <c r="F39" s="357"/>
      <c r="G39" s="357"/>
      <c r="H39" s="357"/>
      <c r="I39" s="357"/>
      <c r="J39" s="357"/>
      <c r="K39" s="554"/>
      <c r="L39" s="2656"/>
      <c r="M39" s="2649"/>
      <c r="N39" s="2649"/>
      <c r="O39" s="2649"/>
      <c r="P39" s="3380" t="str">
        <f>A39</f>
        <v>估价对象XX用房的比较价值（楼面单价，元/平方米）</v>
      </c>
      <c r="Q39" s="3381"/>
      <c r="R39" s="3433" t="e">
        <f>IF(F1="售价",ROUND(IF(D38="简单平均",AVERAGE(R38:W38),R38*F38+T38*H38+V38*J38),0),ROUND(IF(D38="简单平均",AVERAGE(R38:V38),R38*F38+T38*H38+V38*J38),1))</f>
        <v>#DIV/0!</v>
      </c>
      <c r="S39" s="3433"/>
      <c r="T39" s="3433"/>
      <c r="U39" s="3433"/>
      <c r="V39" s="3433"/>
      <c r="W39" s="3433"/>
      <c r="X39" s="393"/>
      <c r="Y39" s="393"/>
      <c r="Z39" s="393"/>
      <c r="AA39" s="393"/>
      <c r="AB39" s="393"/>
      <c r="AC39" s="393"/>
    </row>
    <row r="40" spans="1:29">
      <c r="A40" s="2649"/>
      <c r="B40" s="2649"/>
      <c r="C40" s="2649"/>
      <c r="D40" s="2649"/>
      <c r="E40" s="2649"/>
      <c r="F40" s="2649"/>
      <c r="G40" s="2660"/>
      <c r="H40" s="2649"/>
      <c r="I40" s="2649"/>
      <c r="J40" s="2649"/>
      <c r="K40" s="2661"/>
      <c r="L40" s="2657"/>
      <c r="M40" s="2649"/>
      <c r="N40" s="2649"/>
      <c r="O40" s="2649"/>
      <c r="P40" s="2686"/>
      <c r="Q40" s="2649"/>
      <c r="R40" s="2649"/>
      <c r="S40" s="2649"/>
      <c r="T40" s="2649"/>
      <c r="U40" s="2649"/>
      <c r="V40" s="2649"/>
      <c r="W40" s="2649"/>
      <c r="X40" s="2649"/>
      <c r="Y40" s="2649"/>
      <c r="Z40" s="2649"/>
      <c r="AA40" s="2649"/>
      <c r="AB40" s="2649"/>
      <c r="AC40" s="2649"/>
    </row>
    <row r="41" spans="1:29">
      <c r="A41" s="2649"/>
      <c r="B41" s="2649"/>
      <c r="C41" s="2649"/>
      <c r="D41" s="2649"/>
      <c r="E41" s="2649"/>
      <c r="F41" s="2649"/>
      <c r="G41" s="2649"/>
      <c r="H41" s="2649"/>
      <c r="I41" s="2649"/>
      <c r="J41" s="2649"/>
      <c r="K41" s="2661"/>
      <c r="L41" s="2657"/>
      <c r="M41" s="2649"/>
      <c r="N41" s="2649"/>
      <c r="O41" s="2649"/>
      <c r="P41" s="2686"/>
      <c r="Q41" s="2649"/>
      <c r="R41" s="2649"/>
      <c r="S41" s="2649"/>
      <c r="T41" s="2649"/>
      <c r="U41" s="2649"/>
      <c r="V41" s="2649"/>
      <c r="W41" s="2649"/>
      <c r="X41" s="2649"/>
      <c r="Y41" s="2649"/>
      <c r="Z41" s="2649"/>
      <c r="AA41" s="2649"/>
      <c r="AB41" s="2649"/>
      <c r="AC41" s="2649"/>
    </row>
    <row r="42" spans="1:29" ht="13.5" customHeight="1">
      <c r="A42" s="2649"/>
      <c r="B42" s="2649"/>
      <c r="C42" s="440" t="s">
        <v>2300</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1"/>
      <c r="L42" s="2657"/>
      <c r="M42" s="2649"/>
      <c r="N42" s="2649"/>
      <c r="O42" s="2649"/>
      <c r="P42" s="2686"/>
      <c r="Q42" s="2649"/>
      <c r="R42" s="2649"/>
      <c r="S42" s="2649"/>
      <c r="T42" s="2649"/>
      <c r="U42" s="2649"/>
      <c r="V42" s="2649"/>
      <c r="W42" s="2649"/>
      <c r="X42" s="2649"/>
      <c r="Y42" s="2649"/>
      <c r="Z42" s="2649"/>
      <c r="AA42" s="2649"/>
      <c r="AB42" s="2649"/>
      <c r="AC42" s="2649"/>
    </row>
    <row r="43" spans="1:29" ht="13.5" customHeight="1">
      <c r="A43" s="2649"/>
      <c r="B43" s="2649"/>
      <c r="C43" s="440" t="s">
        <v>2301</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1"/>
      <c r="L43" s="2657"/>
      <c r="M43" s="2649"/>
      <c r="N43" s="2649"/>
      <c r="O43" s="2649"/>
      <c r="P43" s="2686"/>
      <c r="Q43" s="2649"/>
      <c r="R43" s="2649"/>
      <c r="S43" s="2649"/>
      <c r="T43" s="2649"/>
      <c r="U43" s="2649"/>
      <c r="V43" s="2649"/>
      <c r="W43" s="2649"/>
      <c r="X43" s="2649"/>
      <c r="Y43" s="2649"/>
      <c r="Z43" s="2649"/>
      <c r="AA43" s="2649"/>
      <c r="AB43" s="2649"/>
      <c r="AC43" s="2649"/>
    </row>
    <row r="44" spans="1:29" s="445" customFormat="1" ht="13.5" customHeight="1">
      <c r="A44" s="2659"/>
      <c r="B44" s="2659"/>
      <c r="C44" s="440" t="s">
        <v>2302</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4"/>
      <c r="L44" s="2658"/>
      <c r="M44" s="2659"/>
      <c r="N44" s="2659"/>
      <c r="O44" s="2659"/>
      <c r="P44" s="2687"/>
      <c r="Q44" s="2659"/>
      <c r="R44" s="2659"/>
      <c r="S44" s="2659"/>
      <c r="T44" s="2659"/>
      <c r="U44" s="2659"/>
      <c r="V44" s="2659"/>
      <c r="W44" s="2659"/>
      <c r="X44" s="2659"/>
      <c r="Y44" s="2659"/>
      <c r="Z44" s="2659"/>
      <c r="AA44" s="2659"/>
      <c r="AB44" s="2659"/>
      <c r="AC44" s="2659"/>
    </row>
    <row r="45" spans="1:29" s="445" customFormat="1">
      <c r="A45" s="2659"/>
      <c r="B45" s="2662"/>
      <c r="C45" s="2663"/>
      <c r="D45" s="2659"/>
      <c r="E45" s="2659"/>
      <c r="F45" s="2659"/>
      <c r="G45" s="2659"/>
      <c r="H45" s="2659"/>
      <c r="I45" s="2659"/>
      <c r="J45" s="2659"/>
      <c r="K45" s="2664"/>
      <c r="L45" s="2658"/>
      <c r="M45" s="2659"/>
      <c r="N45" s="2659"/>
      <c r="O45" s="2659"/>
      <c r="P45" s="2687"/>
      <c r="Q45" s="2659"/>
      <c r="R45" s="2659"/>
      <c r="S45" s="2659"/>
      <c r="T45" s="2659"/>
      <c r="U45" s="2659"/>
      <c r="V45" s="2659"/>
      <c r="W45" s="2659"/>
      <c r="X45" s="2659"/>
      <c r="Y45" s="2659"/>
      <c r="Z45" s="2659"/>
      <c r="AA45" s="2659"/>
      <c r="AB45" s="2659"/>
      <c r="AC45" s="2659"/>
    </row>
    <row r="46" spans="1:29">
      <c r="A46" s="2649"/>
      <c r="B46" s="2662"/>
      <c r="C46" s="2663"/>
      <c r="D46" s="2649"/>
      <c r="E46" s="2649"/>
      <c r="F46" s="2649"/>
      <c r="G46" s="2649"/>
      <c r="H46" s="2649"/>
      <c r="I46" s="2649"/>
      <c r="J46" s="2649"/>
      <c r="K46" s="2661"/>
      <c r="L46" s="2657"/>
      <c r="M46" s="2649"/>
      <c r="N46" s="2649"/>
      <c r="O46" s="2649"/>
      <c r="P46" s="2686"/>
      <c r="Q46" s="2649"/>
      <c r="R46" s="2649"/>
      <c r="S46" s="2649"/>
      <c r="T46" s="2649"/>
      <c r="U46" s="2649"/>
      <c r="V46" s="2649"/>
      <c r="W46" s="2649"/>
      <c r="X46" s="2649"/>
      <c r="Y46" s="2649"/>
      <c r="Z46" s="2649"/>
      <c r="AA46" s="2649"/>
      <c r="AB46" s="2649"/>
      <c r="AC46" s="2649"/>
    </row>
    <row r="47" spans="1:29" ht="21.75" thickBot="1">
      <c r="A47" s="1197" t="s">
        <v>2303</v>
      </c>
      <c r="B47" s="968"/>
      <c r="C47" s="993"/>
      <c r="D47" s="993"/>
      <c r="E47" s="993"/>
      <c r="F47" s="1198"/>
      <c r="G47" s="1198"/>
      <c r="H47" s="993"/>
      <c r="I47" s="993"/>
      <c r="J47" s="993"/>
      <c r="K47" s="994"/>
      <c r="L47" s="995"/>
      <c r="M47" s="993"/>
      <c r="N47" s="2699"/>
      <c r="O47" s="2699"/>
      <c r="P47" s="2688"/>
      <c r="Q47" s="2670"/>
      <c r="R47" s="2649"/>
      <c r="S47" s="2649"/>
      <c r="T47" s="2649"/>
      <c r="U47" s="2649"/>
      <c r="V47" s="2649"/>
      <c r="W47" s="2649"/>
      <c r="X47" s="2649"/>
      <c r="Y47" s="2649"/>
      <c r="Z47" s="2649"/>
      <c r="AA47" s="2649"/>
      <c r="AB47" s="2649"/>
      <c r="AC47" s="2649"/>
    </row>
    <row r="48" spans="1:29" s="450" customFormat="1" ht="15">
      <c r="A48" s="448" t="s">
        <v>2304</v>
      </c>
      <c r="B48" s="449"/>
      <c r="C48" s="1213" t="str">
        <f>YEAR(C7)&amp;"-"&amp;MONTH(C7)</f>
        <v>2022-11</v>
      </c>
      <c r="D48" s="1214">
        <f>EDATE(C48,-1)</f>
        <v>44835</v>
      </c>
      <c r="E48" s="1214">
        <f t="shared" ref="E48:O48" si="16">EDATE(D48,-1)</f>
        <v>44805</v>
      </c>
      <c r="F48" s="1214">
        <f t="shared" si="16"/>
        <v>44774</v>
      </c>
      <c r="G48" s="1214">
        <f t="shared" si="16"/>
        <v>44743</v>
      </c>
      <c r="H48" s="1214">
        <f t="shared" si="16"/>
        <v>44713</v>
      </c>
      <c r="I48" s="1214">
        <f t="shared" si="16"/>
        <v>44682</v>
      </c>
      <c r="J48" s="1214">
        <f t="shared" si="16"/>
        <v>44652</v>
      </c>
      <c r="K48" s="1214">
        <f t="shared" si="16"/>
        <v>44621</v>
      </c>
      <c r="L48" s="1214">
        <f t="shared" si="16"/>
        <v>44593</v>
      </c>
      <c r="M48" s="1214">
        <f t="shared" si="16"/>
        <v>44562</v>
      </c>
      <c r="N48" s="1214">
        <f t="shared" si="16"/>
        <v>44531</v>
      </c>
      <c r="O48" s="1214">
        <f t="shared" si="16"/>
        <v>44501</v>
      </c>
      <c r="P48" s="2689"/>
      <c r="Q48" s="2672"/>
      <c r="R48" s="2672"/>
      <c r="S48" s="2672"/>
      <c r="T48" s="2672"/>
      <c r="U48" s="2672"/>
      <c r="V48" s="2672"/>
      <c r="W48" s="2672"/>
      <c r="X48" s="2672"/>
      <c r="Y48" s="2672"/>
      <c r="Z48" s="2672"/>
      <c r="AA48" s="2672"/>
      <c r="AB48" s="2672"/>
      <c r="AC48" s="2672"/>
    </row>
    <row r="49" spans="1:29" s="107" customFormat="1" ht="15">
      <c r="A49" s="451"/>
      <c r="B49" s="452"/>
      <c r="C49" s="1207">
        <v>100</v>
      </c>
      <c r="D49" s="454"/>
      <c r="E49" s="454"/>
      <c r="F49" s="454"/>
      <c r="G49" s="454"/>
      <c r="H49" s="454"/>
      <c r="I49" s="454"/>
      <c r="J49" s="454"/>
      <c r="K49" s="454"/>
      <c r="L49" s="454"/>
      <c r="M49" s="455"/>
      <c r="N49" s="454"/>
      <c r="O49" s="455"/>
      <c r="P49" s="2690"/>
      <c r="Q49" s="2603"/>
      <c r="R49" s="2603"/>
      <c r="S49" s="2603"/>
      <c r="T49" s="2603"/>
      <c r="U49" s="2603"/>
      <c r="V49" s="2603"/>
      <c r="W49" s="2603"/>
      <c r="X49" s="2603"/>
      <c r="Y49" s="2603"/>
      <c r="Z49" s="2603"/>
      <c r="AA49" s="2603"/>
      <c r="AB49" s="2603"/>
      <c r="AC49" s="2603"/>
    </row>
    <row r="50" spans="1:29" s="107" customFormat="1" ht="15.75" thickBot="1">
      <c r="A50" s="457" t="s">
        <v>2161</v>
      </c>
      <c r="B50" s="458"/>
      <c r="C50" s="459"/>
      <c r="D50" s="460"/>
      <c r="E50" s="460"/>
      <c r="F50" s="460"/>
      <c r="G50" s="460"/>
      <c r="H50" s="460"/>
      <c r="I50" s="460"/>
      <c r="J50" s="460"/>
      <c r="K50" s="460"/>
      <c r="L50" s="460"/>
      <c r="M50" s="461"/>
      <c r="N50" s="460"/>
      <c r="O50" s="461"/>
      <c r="P50" s="2690"/>
      <c r="Q50" s="2670"/>
      <c r="R50" s="2603"/>
      <c r="S50" s="2603"/>
      <c r="T50" s="2603"/>
      <c r="U50" s="2603"/>
      <c r="V50" s="2603"/>
      <c r="W50" s="2603"/>
      <c r="X50" s="2603"/>
      <c r="Y50" s="2603"/>
      <c r="Z50" s="2603"/>
      <c r="AA50" s="2603"/>
      <c r="AB50" s="2603"/>
      <c r="AC50" s="2603"/>
    </row>
    <row r="51" spans="1:29" s="107" customFormat="1" ht="15">
      <c r="A51" s="463" t="s">
        <v>2126</v>
      </c>
      <c r="B51" s="452"/>
      <c r="C51" s="464" t="s">
        <v>2228</v>
      </c>
      <c r="D51" s="34"/>
      <c r="E51" s="34"/>
      <c r="F51" s="34"/>
      <c r="G51" s="34"/>
      <c r="H51" s="34"/>
      <c r="I51" s="34"/>
      <c r="J51" s="34"/>
      <c r="K51" s="34"/>
      <c r="L51" s="465"/>
      <c r="M51" s="466"/>
      <c r="N51" s="2682"/>
      <c r="O51" s="2682"/>
      <c r="P51" s="2691"/>
      <c r="Q51" s="2670"/>
      <c r="R51" s="2603"/>
      <c r="S51" s="2603"/>
      <c r="T51" s="2603"/>
      <c r="U51" s="2603"/>
      <c r="V51" s="2603"/>
      <c r="W51" s="2603"/>
      <c r="X51" s="2603"/>
      <c r="Y51" s="2603"/>
      <c r="Z51" s="2603"/>
      <c r="AA51" s="2603"/>
      <c r="AB51" s="2603"/>
      <c r="AC51" s="2603"/>
    </row>
    <row r="52" spans="1:29" s="107" customFormat="1" ht="15.75" thickBot="1">
      <c r="A52" s="463"/>
      <c r="B52" s="452"/>
      <c r="C52" s="571">
        <v>100</v>
      </c>
      <c r="D52" s="454"/>
      <c r="E52" s="454"/>
      <c r="F52" s="454"/>
      <c r="G52" s="454"/>
      <c r="H52" s="454"/>
      <c r="I52" s="454"/>
      <c r="J52" s="454"/>
      <c r="K52" s="454"/>
      <c r="L52" s="454"/>
      <c r="M52" s="456"/>
      <c r="N52" s="2682"/>
      <c r="O52" s="2682"/>
      <c r="P52" s="2690"/>
      <c r="Q52" s="2670"/>
      <c r="R52" s="2603"/>
      <c r="S52" s="2603"/>
      <c r="T52" s="2603"/>
      <c r="U52" s="2603"/>
      <c r="V52" s="2603"/>
      <c r="W52" s="2603"/>
      <c r="X52" s="2603"/>
      <c r="Y52" s="2603"/>
      <c r="Z52" s="2603"/>
      <c r="AA52" s="2603"/>
      <c r="AB52" s="2603"/>
      <c r="AC52" s="2603"/>
    </row>
    <row r="53" spans="1:29">
      <c r="A53" s="387" t="s">
        <v>2164</v>
      </c>
      <c r="B53" s="468" t="s">
        <v>2130</v>
      </c>
      <c r="C53" s="469">
        <f>C9</f>
        <v>0</v>
      </c>
      <c r="D53" s="470"/>
      <c r="E53" s="470"/>
      <c r="F53" s="470"/>
      <c r="G53" s="470"/>
      <c r="H53" s="470"/>
      <c r="I53" s="470"/>
      <c r="J53" s="470"/>
      <c r="K53" s="471"/>
      <c r="L53" s="472"/>
      <c r="M53" s="473"/>
      <c r="N53" s="2683"/>
      <c r="O53" s="2683"/>
      <c r="P53" s="2692"/>
      <c r="Q53" s="2670"/>
      <c r="R53" s="2649"/>
      <c r="S53" s="2649"/>
      <c r="T53" s="2649"/>
      <c r="U53" s="2649"/>
      <c r="V53" s="2649"/>
      <c r="W53" s="2649"/>
      <c r="X53" s="2649"/>
      <c r="Y53" s="2649"/>
      <c r="Z53" s="2649"/>
      <c r="AA53" s="2649"/>
      <c r="AB53" s="2649"/>
      <c r="AC53" s="2649"/>
    </row>
    <row r="54" spans="1:29" ht="15.75" thickBot="1">
      <c r="A54" s="375"/>
      <c r="B54" s="474"/>
      <c r="C54" s="475">
        <v>100</v>
      </c>
      <c r="D54" s="475"/>
      <c r="E54" s="475"/>
      <c r="F54" s="475"/>
      <c r="G54" s="475"/>
      <c r="H54" s="475"/>
      <c r="I54" s="475"/>
      <c r="J54" s="475"/>
      <c r="K54" s="475"/>
      <c r="L54" s="475"/>
      <c r="M54" s="476"/>
      <c r="N54" s="2684"/>
      <c r="O54" s="2684"/>
      <c r="P54" s="2692"/>
      <c r="Q54" s="2670"/>
      <c r="R54" s="2649"/>
      <c r="S54" s="2649"/>
      <c r="T54" s="2649"/>
      <c r="U54" s="2649"/>
      <c r="V54" s="2649"/>
      <c r="W54" s="2649"/>
      <c r="X54" s="2649"/>
      <c r="Y54" s="2649"/>
      <c r="Z54" s="2649"/>
      <c r="AA54" s="2649"/>
      <c r="AB54" s="2649"/>
      <c r="AC54" s="2649"/>
    </row>
    <row r="55" spans="1:29" ht="27.75" thickTop="1">
      <c r="A55" s="375"/>
      <c r="B55" s="477" t="s">
        <v>2133</v>
      </c>
      <c r="C55" s="478" t="s">
        <v>2165</v>
      </c>
      <c r="D55" s="478" t="s">
        <v>2166</v>
      </c>
      <c r="E55" s="478" t="s">
        <v>2167</v>
      </c>
      <c r="F55" s="478" t="s">
        <v>2168</v>
      </c>
      <c r="G55" s="478" t="s">
        <v>2169</v>
      </c>
      <c r="H55" s="478" t="s">
        <v>2170</v>
      </c>
      <c r="I55" s="478" t="s">
        <v>2171</v>
      </c>
      <c r="J55" s="478"/>
      <c r="K55" s="479"/>
      <c r="L55" s="480"/>
      <c r="M55" s="481"/>
      <c r="N55" s="2683"/>
      <c r="O55" s="2683"/>
      <c r="P55" s="2692"/>
      <c r="Q55" s="2670"/>
      <c r="R55" s="2649"/>
      <c r="S55" s="2649"/>
      <c r="T55" s="2649"/>
      <c r="U55" s="2649"/>
      <c r="V55" s="2649"/>
      <c r="W55" s="2649"/>
      <c r="X55" s="2649"/>
      <c r="Y55" s="2649"/>
      <c r="Z55" s="2649"/>
      <c r="AA55" s="2649"/>
      <c r="AB55" s="2649"/>
      <c r="AC55" s="2649"/>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84"/>
      <c r="O56" s="2684"/>
      <c r="P56" s="2692"/>
      <c r="Q56" s="2670"/>
      <c r="R56" s="2649"/>
      <c r="S56" s="2649"/>
      <c r="T56" s="2649"/>
      <c r="U56" s="2649"/>
      <c r="V56" s="2649"/>
      <c r="W56" s="2649"/>
      <c r="X56" s="2649"/>
      <c r="Y56" s="2649"/>
      <c r="Z56" s="2649"/>
      <c r="AA56" s="2649"/>
      <c r="AB56" s="2649"/>
      <c r="AC56" s="2649"/>
    </row>
    <row r="57" spans="1:29" ht="15.75" thickTop="1">
      <c r="A57" s="375"/>
      <c r="B57" s="589">
        <f>B11</f>
        <v>111</v>
      </c>
      <c r="C57" s="488"/>
      <c r="D57" s="488"/>
      <c r="E57" s="488"/>
      <c r="F57" s="488"/>
      <c r="G57" s="488"/>
      <c r="H57" s="488"/>
      <c r="I57" s="488"/>
      <c r="J57" s="488"/>
      <c r="K57" s="489"/>
      <c r="L57" s="490"/>
      <c r="M57" s="491"/>
      <c r="N57" s="2683"/>
      <c r="O57" s="2683"/>
      <c r="P57" s="2692"/>
      <c r="Q57" s="2670"/>
      <c r="R57" s="2649"/>
      <c r="S57" s="2649"/>
      <c r="T57" s="2649"/>
      <c r="U57" s="2649"/>
      <c r="V57" s="2649"/>
      <c r="W57" s="2649"/>
      <c r="X57" s="2649"/>
      <c r="Y57" s="2649"/>
      <c r="Z57" s="2649"/>
      <c r="AA57" s="2649"/>
      <c r="AB57" s="2649"/>
      <c r="AC57" s="2649"/>
    </row>
    <row r="58" spans="1:29" ht="15.75" thickBot="1">
      <c r="A58" s="375"/>
      <c r="B58" s="474"/>
      <c r="C58" s="499"/>
      <c r="D58" s="475"/>
      <c r="E58" s="475"/>
      <c r="F58" s="475"/>
      <c r="G58" s="475"/>
      <c r="H58" s="475"/>
      <c r="I58" s="475"/>
      <c r="J58" s="475"/>
      <c r="K58" s="475"/>
      <c r="L58" s="475"/>
      <c r="M58" s="476"/>
      <c r="N58" s="2684"/>
      <c r="O58" s="2684"/>
      <c r="P58" s="2692"/>
      <c r="Q58" s="2670"/>
      <c r="R58" s="2649"/>
      <c r="S58" s="2649"/>
      <c r="T58" s="2649"/>
      <c r="U58" s="2649"/>
      <c r="V58" s="2649"/>
      <c r="W58" s="2649"/>
      <c r="X58" s="2649"/>
      <c r="Y58" s="2649"/>
      <c r="Z58" s="2649"/>
      <c r="AA58" s="2649"/>
      <c r="AB58" s="2649"/>
      <c r="AC58" s="2649"/>
    </row>
    <row r="59" spans="1:29" s="416" customFormat="1" ht="15.75" thickTop="1">
      <c r="A59" s="492"/>
      <c r="B59" s="477">
        <f>B12</f>
        <v>111</v>
      </c>
      <c r="C59" s="488"/>
      <c r="D59" s="488"/>
      <c r="E59" s="488"/>
      <c r="F59" s="488"/>
      <c r="G59" s="493"/>
      <c r="H59" s="494"/>
      <c r="I59" s="494"/>
      <c r="J59" s="494"/>
      <c r="K59" s="494"/>
      <c r="L59" s="495"/>
      <c r="M59" s="496"/>
      <c r="N59" s="2685"/>
      <c r="O59" s="2685"/>
      <c r="P59" s="2693"/>
      <c r="Q59" s="2677"/>
      <c r="R59" s="2655"/>
      <c r="S59" s="2655"/>
      <c r="T59" s="2655"/>
      <c r="U59" s="2655"/>
      <c r="V59" s="2655"/>
      <c r="W59" s="2655"/>
      <c r="X59" s="2655"/>
      <c r="Y59" s="2655"/>
      <c r="Z59" s="2655"/>
      <c r="AA59" s="2655"/>
      <c r="AB59" s="2655"/>
      <c r="AC59" s="2655"/>
    </row>
    <row r="60" spans="1:29" s="416" customFormat="1" ht="15.75" thickBot="1">
      <c r="A60" s="492"/>
      <c r="B60" s="482"/>
      <c r="C60" s="499"/>
      <c r="D60" s="475"/>
      <c r="E60" s="475"/>
      <c r="F60" s="475"/>
      <c r="G60" s="475"/>
      <c r="H60" s="475"/>
      <c r="I60" s="475"/>
      <c r="J60" s="475"/>
      <c r="K60" s="475"/>
      <c r="L60" s="475"/>
      <c r="M60" s="476"/>
      <c r="N60" s="2684"/>
      <c r="O60" s="2684"/>
      <c r="P60" s="2693"/>
      <c r="Q60" s="2677"/>
      <c r="R60" s="2655"/>
      <c r="S60" s="2655"/>
      <c r="T60" s="2655"/>
      <c r="U60" s="2655"/>
      <c r="V60" s="2655"/>
      <c r="W60" s="2655"/>
      <c r="X60" s="2655"/>
      <c r="Y60" s="2655"/>
      <c r="Z60" s="2655"/>
      <c r="AA60" s="2655"/>
      <c r="AB60" s="2655"/>
      <c r="AC60" s="2655"/>
    </row>
    <row r="61" spans="1:29" s="416" customFormat="1" ht="15.75" thickTop="1">
      <c r="A61" s="492"/>
      <c r="B61" s="477">
        <f>B13</f>
        <v>111</v>
      </c>
      <c r="C61" s="493"/>
      <c r="D61" s="493"/>
      <c r="E61" s="493"/>
      <c r="F61" s="493"/>
      <c r="G61" s="493"/>
      <c r="H61" s="494"/>
      <c r="I61" s="494"/>
      <c r="J61" s="494"/>
      <c r="K61" s="494"/>
      <c r="L61" s="495"/>
      <c r="M61" s="496"/>
      <c r="N61" s="2685"/>
      <c r="O61" s="2685"/>
      <c r="P61" s="2694"/>
      <c r="Q61" s="2679"/>
      <c r="R61" s="2655"/>
      <c r="S61" s="2655"/>
      <c r="T61" s="2655"/>
      <c r="U61" s="2655"/>
      <c r="V61" s="2655"/>
      <c r="W61" s="2655"/>
      <c r="X61" s="2655"/>
      <c r="Y61" s="2655"/>
      <c r="Z61" s="2655"/>
      <c r="AA61" s="2655"/>
      <c r="AB61" s="2655"/>
      <c r="AC61" s="2655"/>
    </row>
    <row r="62" spans="1:29" s="416" customFormat="1" ht="15.75" thickBot="1">
      <c r="A62" s="492"/>
      <c r="B62" s="482"/>
      <c r="C62" s="499"/>
      <c r="D62" s="499"/>
      <c r="E62" s="499"/>
      <c r="F62" s="499"/>
      <c r="G62" s="499"/>
      <c r="H62" s="501"/>
      <c r="I62" s="501"/>
      <c r="J62" s="501"/>
      <c r="K62" s="501"/>
      <c r="L62" s="501"/>
      <c r="M62" s="502"/>
      <c r="N62" s="2685"/>
      <c r="O62" s="2685"/>
      <c r="P62" s="2693"/>
      <c r="Q62" s="2677"/>
      <c r="R62" s="2655"/>
      <c r="S62" s="2655"/>
      <c r="T62" s="2655"/>
      <c r="U62" s="2655"/>
      <c r="V62" s="2655"/>
      <c r="W62" s="2655"/>
      <c r="X62" s="2655"/>
      <c r="Y62" s="2655"/>
      <c r="Z62" s="2655"/>
      <c r="AA62" s="2655"/>
      <c r="AB62" s="2655"/>
      <c r="AC62" s="2655"/>
    </row>
    <row r="63" spans="1:29" ht="15" thickTop="1">
      <c r="A63" s="387" t="s">
        <v>2135</v>
      </c>
      <c r="B63" s="468" t="s">
        <v>2178</v>
      </c>
      <c r="C63" s="512" t="s">
        <v>2173</v>
      </c>
      <c r="D63" s="512" t="s">
        <v>2174</v>
      </c>
      <c r="E63" s="512" t="s">
        <v>2175</v>
      </c>
      <c r="F63" s="512" t="s">
        <v>2176</v>
      </c>
      <c r="G63" s="512" t="s">
        <v>2177</v>
      </c>
      <c r="H63" s="469"/>
      <c r="I63" s="469"/>
      <c r="J63" s="469"/>
      <c r="K63" s="513"/>
      <c r="L63" s="514"/>
      <c r="M63" s="515"/>
      <c r="N63" s="2683"/>
      <c r="O63" s="2683"/>
      <c r="P63" s="2696"/>
      <c r="Q63" s="2670"/>
      <c r="R63" s="2649"/>
      <c r="S63" s="2649"/>
      <c r="T63" s="2649"/>
      <c r="U63" s="2649"/>
      <c r="V63" s="2649"/>
      <c r="W63" s="2649"/>
      <c r="X63" s="2649"/>
      <c r="Y63" s="2649"/>
      <c r="Z63" s="2649"/>
      <c r="AA63" s="2649"/>
      <c r="AB63" s="2649"/>
      <c r="AC63" s="2649"/>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84"/>
      <c r="O64" s="2684"/>
      <c r="P64" s="2692"/>
      <c r="Q64" s="2670"/>
      <c r="R64" s="2649"/>
      <c r="S64" s="2649"/>
      <c r="T64" s="2649"/>
      <c r="U64" s="2649"/>
      <c r="V64" s="2649"/>
      <c r="W64" s="2649"/>
      <c r="X64" s="2649"/>
      <c r="Y64" s="2649"/>
      <c r="Z64" s="2649"/>
      <c r="AA64" s="2649"/>
      <c r="AB64" s="2649"/>
      <c r="AC64" s="2649"/>
    </row>
    <row r="65" spans="1:29" ht="15.75" thickTop="1">
      <c r="A65" s="375"/>
      <c r="B65" s="477" t="s">
        <v>2179</v>
      </c>
      <c r="C65" s="517" t="s">
        <v>2173</v>
      </c>
      <c r="D65" s="517" t="s">
        <v>2174</v>
      </c>
      <c r="E65" s="517" t="s">
        <v>2175</v>
      </c>
      <c r="F65" s="517" t="s">
        <v>2176</v>
      </c>
      <c r="G65" s="517" t="s">
        <v>2177</v>
      </c>
      <c r="H65" s="478"/>
      <c r="I65" s="478"/>
      <c r="J65" s="478"/>
      <c r="K65" s="479"/>
      <c r="L65" s="480"/>
      <c r="M65" s="481"/>
      <c r="N65" s="2683"/>
      <c r="O65" s="2683"/>
      <c r="P65" s="2692"/>
      <c r="Q65" s="2670"/>
      <c r="R65" s="2649"/>
      <c r="S65" s="2649"/>
      <c r="T65" s="2649"/>
      <c r="U65" s="2649"/>
      <c r="V65" s="2649"/>
      <c r="W65" s="2649"/>
      <c r="X65" s="2649"/>
      <c r="Y65" s="2649"/>
      <c r="Z65" s="2649"/>
      <c r="AA65" s="2649"/>
      <c r="AB65" s="2649"/>
      <c r="AC65" s="2649"/>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84"/>
      <c r="O66" s="2684"/>
      <c r="P66" s="2692"/>
      <c r="Q66" s="2670"/>
      <c r="R66" s="2649"/>
      <c r="S66" s="2649"/>
      <c r="T66" s="2649"/>
      <c r="U66" s="2649"/>
      <c r="V66" s="2649"/>
      <c r="W66" s="2649"/>
      <c r="X66" s="2649"/>
      <c r="Y66" s="2649"/>
      <c r="Z66" s="2649"/>
      <c r="AA66" s="2649"/>
      <c r="AB66" s="2649"/>
      <c r="AC66" s="2649"/>
    </row>
    <row r="67" spans="1:29" ht="15.75" thickTop="1">
      <c r="A67" s="375"/>
      <c r="B67" s="485" t="s">
        <v>2265</v>
      </c>
      <c r="C67" s="589" t="s">
        <v>2251</v>
      </c>
      <c r="D67" s="589" t="s">
        <v>2252</v>
      </c>
      <c r="E67" s="589" t="s">
        <v>2253</v>
      </c>
      <c r="F67" s="589" t="s">
        <v>2254</v>
      </c>
      <c r="G67" s="589" t="s">
        <v>2255</v>
      </c>
      <c r="H67" s="478"/>
      <c r="I67" s="478"/>
      <c r="J67" s="478"/>
      <c r="K67" s="478"/>
      <c r="L67" s="478"/>
      <c r="M67" s="1173"/>
      <c r="N67" s="2684"/>
      <c r="O67" s="2684"/>
      <c r="P67" s="2692"/>
      <c r="Q67" s="2670"/>
      <c r="R67" s="2649"/>
      <c r="S67" s="2649"/>
      <c r="T67" s="2649"/>
      <c r="U67" s="2649"/>
      <c r="V67" s="2649"/>
      <c r="W67" s="2649"/>
      <c r="X67" s="2649"/>
      <c r="Y67" s="2649"/>
      <c r="Z67" s="2649"/>
      <c r="AA67" s="2649"/>
      <c r="AB67" s="2649"/>
      <c r="AC67" s="2649"/>
    </row>
    <row r="68" spans="1:29" ht="15.75" thickBot="1">
      <c r="A68" s="375"/>
      <c r="B68" s="485"/>
      <c r="C68" s="483">
        <v>100</v>
      </c>
      <c r="D68" s="483">
        <f>C68-$K18</f>
        <v>100</v>
      </c>
      <c r="E68" s="483">
        <f>D68-$K18</f>
        <v>100</v>
      </c>
      <c r="F68" s="483">
        <f>E68-$K18</f>
        <v>100</v>
      </c>
      <c r="G68" s="483">
        <f>F68-$K18</f>
        <v>100</v>
      </c>
      <c r="H68" s="589"/>
      <c r="I68" s="589"/>
      <c r="J68" s="589"/>
      <c r="K68" s="589"/>
      <c r="L68" s="589"/>
      <c r="M68" s="397"/>
      <c r="N68" s="2684"/>
      <c r="O68" s="2684"/>
      <c r="P68" s="2692"/>
      <c r="Q68" s="2670"/>
      <c r="R68" s="2649"/>
      <c r="S68" s="2649"/>
      <c r="T68" s="2649"/>
      <c r="U68" s="2649"/>
      <c r="V68" s="2649"/>
      <c r="W68" s="2649"/>
      <c r="X68" s="2649"/>
      <c r="Y68" s="2649"/>
      <c r="Z68" s="2649"/>
      <c r="AA68" s="2649"/>
      <c r="AB68" s="2649"/>
      <c r="AC68" s="2649"/>
    </row>
    <row r="69" spans="1:29" ht="15.75" thickTop="1">
      <c r="A69" s="375"/>
      <c r="B69" s="477" t="s">
        <v>2185</v>
      </c>
      <c r="C69" s="517" t="s">
        <v>2173</v>
      </c>
      <c r="D69" s="517" t="s">
        <v>2174</v>
      </c>
      <c r="E69" s="517" t="s">
        <v>2175</v>
      </c>
      <c r="F69" s="517" t="s">
        <v>2176</v>
      </c>
      <c r="G69" s="517" t="s">
        <v>2177</v>
      </c>
      <c r="H69" s="478"/>
      <c r="I69" s="478"/>
      <c r="J69" s="478"/>
      <c r="K69" s="479"/>
      <c r="L69" s="480"/>
      <c r="M69" s="481"/>
      <c r="N69" s="2683"/>
      <c r="O69" s="2683"/>
      <c r="P69" s="2692"/>
      <c r="Q69" s="2670"/>
      <c r="R69" s="2649"/>
      <c r="S69" s="2649"/>
      <c r="T69" s="2649"/>
      <c r="U69" s="2649"/>
      <c r="V69" s="2649"/>
      <c r="W69" s="2649"/>
      <c r="X69" s="2649"/>
      <c r="Y69" s="2649"/>
      <c r="Z69" s="2649"/>
      <c r="AA69" s="2649"/>
      <c r="AB69" s="2649"/>
      <c r="AC69" s="2649"/>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84"/>
      <c r="O70" s="2684"/>
      <c r="P70" s="2692"/>
      <c r="Q70" s="2670"/>
      <c r="R70" s="2649"/>
      <c r="S70" s="2649"/>
      <c r="T70" s="2649"/>
      <c r="U70" s="2649"/>
      <c r="V70" s="2649"/>
      <c r="W70" s="2649"/>
      <c r="X70" s="2649"/>
      <c r="Y70" s="2649"/>
      <c r="Z70" s="2649"/>
      <c r="AA70" s="2649"/>
      <c r="AB70" s="2649"/>
      <c r="AC70" s="2649"/>
    </row>
    <row r="71" spans="1:29" ht="15.75" thickTop="1">
      <c r="A71" s="375"/>
      <c r="B71" s="477" t="s">
        <v>2305</v>
      </c>
      <c r="C71" s="493"/>
      <c r="D71" s="493"/>
      <c r="E71" s="493"/>
      <c r="F71" s="493"/>
      <c r="G71" s="493"/>
      <c r="H71" s="521"/>
      <c r="I71" s="521"/>
      <c r="J71" s="521"/>
      <c r="K71" s="522"/>
      <c r="L71" s="523"/>
      <c r="M71" s="524"/>
      <c r="N71" s="2683"/>
      <c r="O71" s="2683"/>
      <c r="P71" s="2692"/>
      <c r="Q71" s="2670"/>
      <c r="R71" s="2649"/>
      <c r="S71" s="2649"/>
      <c r="T71" s="2649"/>
      <c r="U71" s="2649"/>
      <c r="V71" s="2649"/>
      <c r="W71" s="2649"/>
      <c r="X71" s="2649"/>
      <c r="Y71" s="2649"/>
      <c r="Z71" s="2649"/>
      <c r="AA71" s="2649"/>
      <c r="AB71" s="2649"/>
      <c r="AC71" s="2649"/>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84"/>
      <c r="O72" s="2684"/>
      <c r="P72" s="2692"/>
      <c r="Q72" s="2670"/>
      <c r="R72" s="2649"/>
      <c r="S72" s="2649"/>
      <c r="T72" s="2649"/>
      <c r="U72" s="2649"/>
      <c r="V72" s="2649"/>
      <c r="W72" s="2649"/>
      <c r="X72" s="2649"/>
      <c r="Y72" s="2649"/>
      <c r="Z72" s="2649"/>
      <c r="AA72" s="2649"/>
      <c r="AB72" s="2649"/>
      <c r="AC72" s="2649"/>
    </row>
    <row r="73" spans="1:29" s="107" customFormat="1" ht="15.75" thickTop="1">
      <c r="A73" s="378"/>
      <c r="B73" s="477">
        <f>B23</f>
        <v>111</v>
      </c>
      <c r="C73" s="488"/>
      <c r="D73" s="488"/>
      <c r="E73" s="488"/>
      <c r="F73" s="488"/>
      <c r="G73" s="493"/>
      <c r="H73" s="493"/>
      <c r="I73" s="493"/>
      <c r="J73" s="493"/>
      <c r="K73" s="493"/>
      <c r="L73" s="518"/>
      <c r="M73" s="519"/>
      <c r="N73" s="2682"/>
      <c r="O73" s="2682"/>
      <c r="P73" s="2692"/>
      <c r="Q73" s="2670"/>
      <c r="R73" s="2603"/>
      <c r="S73" s="2603"/>
      <c r="T73" s="2603"/>
      <c r="U73" s="2603"/>
      <c r="V73" s="2603"/>
      <c r="W73" s="2603"/>
      <c r="X73" s="2603"/>
      <c r="Y73" s="2603"/>
      <c r="Z73" s="2603"/>
      <c r="AA73" s="2603"/>
      <c r="AB73" s="2603"/>
      <c r="AC73" s="2603"/>
    </row>
    <row r="74" spans="1:29" s="107" customFormat="1" ht="15.75" thickBot="1">
      <c r="A74" s="378"/>
      <c r="B74" s="482"/>
      <c r="C74" s="499"/>
      <c r="D74" s="475"/>
      <c r="E74" s="475"/>
      <c r="F74" s="475"/>
      <c r="G74" s="475"/>
      <c r="H74" s="475"/>
      <c r="I74" s="475"/>
      <c r="J74" s="475"/>
      <c r="K74" s="475"/>
      <c r="L74" s="475"/>
      <c r="M74" s="476"/>
      <c r="N74" s="2684"/>
      <c r="O74" s="2684"/>
      <c r="P74" s="2692"/>
      <c r="Q74" s="2670"/>
      <c r="R74" s="2603"/>
      <c r="S74" s="2603"/>
      <c r="T74" s="2603"/>
      <c r="U74" s="2603"/>
      <c r="V74" s="2603"/>
      <c r="W74" s="2603"/>
      <c r="X74" s="2603"/>
      <c r="Y74" s="2603"/>
      <c r="Z74" s="2603"/>
      <c r="AA74" s="2603"/>
      <c r="AB74" s="2603"/>
      <c r="AC74" s="2603"/>
    </row>
    <row r="75" spans="1:29" s="107" customFormat="1" ht="15.75" thickTop="1">
      <c r="A75" s="378"/>
      <c r="B75" s="477">
        <f>B24</f>
        <v>111</v>
      </c>
      <c r="C75" s="488"/>
      <c r="D75" s="488"/>
      <c r="E75" s="488"/>
      <c r="F75" s="488"/>
      <c r="G75" s="493"/>
      <c r="H75" s="493"/>
      <c r="I75" s="493"/>
      <c r="J75" s="493"/>
      <c r="K75" s="493"/>
      <c r="L75" s="493"/>
      <c r="M75" s="519"/>
      <c r="N75" s="2682"/>
      <c r="O75" s="2682"/>
      <c r="P75" s="2692"/>
      <c r="Q75" s="2670"/>
      <c r="R75" s="2603"/>
      <c r="S75" s="2603"/>
      <c r="T75" s="2603"/>
      <c r="U75" s="2603"/>
      <c r="V75" s="2603"/>
      <c r="W75" s="2603"/>
      <c r="X75" s="2603"/>
      <c r="Y75" s="2603"/>
      <c r="Z75" s="2603"/>
      <c r="AA75" s="2603"/>
      <c r="AB75" s="2603"/>
      <c r="AC75" s="2603"/>
    </row>
    <row r="76" spans="1:29" s="107" customFormat="1" ht="15.75" thickBot="1">
      <c r="A76" s="378"/>
      <c r="B76" s="482"/>
      <c r="C76" s="499"/>
      <c r="D76" s="475"/>
      <c r="E76" s="475"/>
      <c r="F76" s="475"/>
      <c r="G76" s="475"/>
      <c r="H76" s="475"/>
      <c r="I76" s="475"/>
      <c r="J76" s="475"/>
      <c r="K76" s="475"/>
      <c r="L76" s="475"/>
      <c r="M76" s="476"/>
      <c r="N76" s="2684"/>
      <c r="O76" s="2684"/>
      <c r="P76" s="2692"/>
      <c r="Q76" s="2670"/>
      <c r="R76" s="2603"/>
      <c r="S76" s="2603"/>
      <c r="T76" s="2603"/>
      <c r="U76" s="2603"/>
      <c r="V76" s="2603"/>
      <c r="W76" s="2603"/>
      <c r="X76" s="2603"/>
      <c r="Y76" s="2603"/>
      <c r="Z76" s="2603"/>
      <c r="AA76" s="2603"/>
      <c r="AB76" s="2603"/>
      <c r="AC76" s="2603"/>
    </row>
    <row r="77" spans="1:29" s="416" customFormat="1" ht="15.75" thickTop="1">
      <c r="A77" s="492"/>
      <c r="B77" s="477">
        <f>B25</f>
        <v>111</v>
      </c>
      <c r="C77" s="493"/>
      <c r="D77" s="493"/>
      <c r="E77" s="493"/>
      <c r="F77" s="493"/>
      <c r="G77" s="493"/>
      <c r="H77" s="494"/>
      <c r="I77" s="494"/>
      <c r="J77" s="494"/>
      <c r="K77" s="494"/>
      <c r="L77" s="495"/>
      <c r="M77" s="496"/>
      <c r="N77" s="2685"/>
      <c r="O77" s="2685"/>
      <c r="P77" s="2693"/>
      <c r="Q77" s="2677"/>
      <c r="R77" s="2655"/>
      <c r="S77" s="2655"/>
      <c r="T77" s="2655"/>
      <c r="U77" s="2655"/>
      <c r="V77" s="2655"/>
      <c r="W77" s="2655"/>
      <c r="X77" s="2655"/>
      <c r="Y77" s="2655"/>
      <c r="Z77" s="2655"/>
      <c r="AA77" s="2655"/>
      <c r="AB77" s="2655"/>
      <c r="AC77" s="2655"/>
    </row>
    <row r="78" spans="1:29" s="416" customFormat="1" ht="15.75" thickBot="1">
      <c r="A78" s="492"/>
      <c r="B78" s="482"/>
      <c r="C78" s="499"/>
      <c r="D78" s="499"/>
      <c r="E78" s="499"/>
      <c r="F78" s="499"/>
      <c r="G78" s="475"/>
      <c r="H78" s="475"/>
      <c r="I78" s="475"/>
      <c r="J78" s="475"/>
      <c r="K78" s="475"/>
      <c r="L78" s="475"/>
      <c r="M78" s="476"/>
      <c r="N78" s="2685"/>
      <c r="O78" s="2685"/>
      <c r="P78" s="2693"/>
      <c r="Q78" s="2677"/>
      <c r="R78" s="2655"/>
      <c r="S78" s="2655"/>
      <c r="T78" s="2655"/>
      <c r="U78" s="2655"/>
      <c r="V78" s="2655"/>
      <c r="W78" s="2655"/>
      <c r="X78" s="2655"/>
      <c r="Y78" s="2655"/>
      <c r="Z78" s="2655"/>
      <c r="AA78" s="2655"/>
      <c r="AB78" s="2655"/>
      <c r="AC78" s="2655"/>
    </row>
    <row r="79" spans="1:29" ht="27.75" thickTop="1">
      <c r="A79" s="387" t="s">
        <v>2139</v>
      </c>
      <c r="B79" s="468" t="s">
        <v>2306</v>
      </c>
      <c r="C79" s="469">
        <f>C26</f>
        <v>0</v>
      </c>
      <c r="D79" s="470"/>
      <c r="E79" s="470"/>
      <c r="F79" s="470"/>
      <c r="G79" s="470"/>
      <c r="H79" s="470"/>
      <c r="I79" s="470"/>
      <c r="J79" s="470"/>
      <c r="K79" s="471"/>
      <c r="L79" s="472"/>
      <c r="M79" s="473"/>
      <c r="N79" s="2683"/>
      <c r="O79" s="2683"/>
      <c r="P79" s="2692"/>
      <c r="Q79" s="2670"/>
      <c r="R79" s="2649"/>
      <c r="S79" s="2649"/>
      <c r="T79" s="2649"/>
      <c r="U79" s="2649"/>
      <c r="V79" s="2649"/>
      <c r="W79" s="2649"/>
      <c r="X79" s="2649"/>
      <c r="Y79" s="2649"/>
      <c r="Z79" s="2649"/>
      <c r="AA79" s="2649"/>
      <c r="AB79" s="2649"/>
      <c r="AC79" s="2649"/>
    </row>
    <row r="80" spans="1:29" ht="15.7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4"/>
      <c r="O80" s="2684"/>
      <c r="P80" s="2692"/>
      <c r="Q80" s="2670"/>
      <c r="R80" s="2649"/>
      <c r="S80" s="2649"/>
      <c r="T80" s="2649"/>
      <c r="U80" s="2649"/>
      <c r="V80" s="2649"/>
      <c r="W80" s="2649"/>
      <c r="X80" s="2649"/>
      <c r="Y80" s="2649"/>
      <c r="Z80" s="2649"/>
      <c r="AA80" s="2649"/>
      <c r="AB80" s="2649"/>
      <c r="AC80" s="2649"/>
    </row>
    <row r="81" spans="1:29" ht="15.75" thickTop="1">
      <c r="A81" s="375"/>
      <c r="B81" s="477" t="s">
        <v>2307</v>
      </c>
      <c r="C81" s="590"/>
      <c r="D81" s="590"/>
      <c r="E81" s="590"/>
      <c r="F81" s="590"/>
      <c r="G81" s="590"/>
      <c r="H81" s="590"/>
      <c r="I81" s="590"/>
      <c r="J81" s="590"/>
      <c r="K81" s="591"/>
      <c r="L81" s="592"/>
      <c r="M81" s="593"/>
      <c r="N81" s="2682"/>
      <c r="O81" s="2682"/>
      <c r="P81" s="2692"/>
      <c r="Q81" s="2670"/>
      <c r="R81" s="2649"/>
      <c r="S81" s="2649"/>
      <c r="T81" s="2649"/>
      <c r="U81" s="2649"/>
      <c r="V81" s="2649"/>
      <c r="W81" s="2649"/>
      <c r="X81" s="2649"/>
      <c r="Y81" s="2649"/>
      <c r="Z81" s="2649"/>
      <c r="AA81" s="2649"/>
      <c r="AB81" s="2649"/>
      <c r="AC81" s="2649"/>
    </row>
    <row r="82" spans="1:29" s="416" customFormat="1" ht="15.75" thickBot="1">
      <c r="A82" s="492"/>
      <c r="B82" s="482"/>
      <c r="C82" s="499"/>
      <c r="D82" s="475"/>
      <c r="E82" s="475"/>
      <c r="F82" s="475"/>
      <c r="G82" s="475"/>
      <c r="H82" s="475"/>
      <c r="I82" s="475"/>
      <c r="J82" s="475"/>
      <c r="K82" s="475"/>
      <c r="L82" s="475"/>
      <c r="M82" s="476"/>
      <c r="N82" s="2684"/>
      <c r="O82" s="2684"/>
      <c r="P82" s="2693"/>
      <c r="Q82" s="2677"/>
      <c r="R82" s="2655"/>
      <c r="S82" s="2655"/>
      <c r="T82" s="2655"/>
      <c r="U82" s="2655"/>
      <c r="V82" s="2655"/>
      <c r="W82" s="2655"/>
      <c r="X82" s="2655"/>
      <c r="Y82" s="2655"/>
      <c r="Z82" s="2655"/>
      <c r="AA82" s="2655"/>
      <c r="AB82" s="2655"/>
      <c r="AC82" s="2655"/>
    </row>
    <row r="83" spans="1:29" ht="15" thickTop="1">
      <c r="A83" s="417"/>
      <c r="B83" s="477" t="s">
        <v>2192</v>
      </c>
      <c r="C83" s="493"/>
      <c r="D83" s="493"/>
      <c r="E83" s="521"/>
      <c r="F83" s="521"/>
      <c r="G83" s="521"/>
      <c r="H83" s="521"/>
      <c r="I83" s="521"/>
      <c r="J83" s="521"/>
      <c r="K83" s="522"/>
      <c r="L83" s="523"/>
      <c r="M83" s="524"/>
      <c r="N83" s="2683"/>
      <c r="O83" s="2683"/>
      <c r="P83" s="2692"/>
      <c r="Q83" s="2670"/>
      <c r="R83" s="2649"/>
      <c r="S83" s="2649"/>
      <c r="T83" s="2649"/>
      <c r="U83" s="2649"/>
      <c r="V83" s="2649"/>
      <c r="W83" s="2649"/>
      <c r="X83" s="2649"/>
      <c r="Y83" s="2649"/>
      <c r="Z83" s="2649"/>
      <c r="AA83" s="2649"/>
      <c r="AB83" s="2649"/>
      <c r="AC83" s="2649"/>
    </row>
    <row r="84" spans="1:29" ht="15.7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4"/>
      <c r="O84" s="2684"/>
      <c r="P84" s="2692"/>
      <c r="Q84" s="2670"/>
      <c r="R84" s="2649"/>
      <c r="S84" s="2649"/>
      <c r="T84" s="2649"/>
      <c r="U84" s="2649"/>
      <c r="V84" s="2649"/>
      <c r="W84" s="2649"/>
      <c r="X84" s="2649"/>
      <c r="Y84" s="2649"/>
      <c r="Z84" s="2649"/>
      <c r="AA84" s="2649"/>
      <c r="AB84" s="2649"/>
      <c r="AC84" s="2649"/>
    </row>
    <row r="85" spans="1:29" ht="15" thickTop="1">
      <c r="A85" s="417"/>
      <c r="B85" s="477" t="s">
        <v>2308</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3"/>
      <c r="O85" s="2683"/>
      <c r="P85" s="2692"/>
      <c r="Q85" s="2670"/>
      <c r="R85" s="2649"/>
      <c r="S85" s="2649"/>
      <c r="T85" s="2649"/>
      <c r="U85" s="2649"/>
      <c r="V85" s="2649"/>
      <c r="W85" s="2649"/>
      <c r="X85" s="2649"/>
      <c r="Y85" s="2649"/>
      <c r="Z85" s="2649"/>
      <c r="AA85" s="2649"/>
      <c r="AB85" s="2649"/>
      <c r="AC85" s="2649"/>
    </row>
    <row r="86" spans="1:29">
      <c r="A86" s="417"/>
      <c r="B86" s="485"/>
      <c r="C86" s="538">
        <v>0.5</v>
      </c>
      <c r="D86" s="538">
        <v>0.6</v>
      </c>
      <c r="E86" s="538">
        <v>0.7</v>
      </c>
      <c r="F86" s="538">
        <v>0.8</v>
      </c>
      <c r="G86" s="538">
        <v>0.9</v>
      </c>
      <c r="H86" s="538">
        <v>1.0001</v>
      </c>
      <c r="I86" s="556"/>
      <c r="J86" s="556"/>
      <c r="K86" s="557"/>
      <c r="L86" s="558"/>
      <c r="M86" s="559"/>
      <c r="N86" s="2683"/>
      <c r="O86" s="2683"/>
      <c r="P86" s="2692"/>
      <c r="Q86" s="2670"/>
      <c r="R86" s="2649"/>
      <c r="S86" s="2649"/>
      <c r="T86" s="2649"/>
      <c r="U86" s="2649"/>
      <c r="V86" s="2649"/>
      <c r="W86" s="2649"/>
      <c r="X86" s="2649"/>
      <c r="Y86" s="2649"/>
      <c r="Z86" s="2649"/>
      <c r="AA86" s="2649"/>
      <c r="AB86" s="2649"/>
      <c r="AC86" s="2649"/>
    </row>
    <row r="87" spans="1:29" ht="15.7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4"/>
      <c r="O87" s="2684"/>
      <c r="P87" s="2692"/>
      <c r="Q87" s="2670"/>
      <c r="R87" s="2649"/>
      <c r="S87" s="2649"/>
      <c r="T87" s="2649"/>
      <c r="U87" s="2649"/>
      <c r="V87" s="2649"/>
      <c r="W87" s="2649"/>
      <c r="X87" s="2649"/>
      <c r="Y87" s="2649"/>
      <c r="Z87" s="2649"/>
      <c r="AA87" s="2649"/>
      <c r="AB87" s="2649"/>
      <c r="AC87" s="2649"/>
    </row>
    <row r="88" spans="1:29" ht="15" thickTop="1">
      <c r="A88" s="417"/>
      <c r="B88" s="485" t="s">
        <v>2309</v>
      </c>
      <c r="C88" s="470"/>
      <c r="D88" s="470"/>
      <c r="E88" s="470"/>
      <c r="F88" s="470"/>
      <c r="G88" s="470"/>
      <c r="H88" s="470"/>
      <c r="I88" s="470"/>
      <c r="J88" s="470"/>
      <c r="K88" s="471"/>
      <c r="L88" s="472"/>
      <c r="M88" s="473"/>
      <c r="N88" s="2683"/>
      <c r="O88" s="2683"/>
      <c r="P88" s="2692"/>
      <c r="Q88" s="2670"/>
      <c r="R88" s="2649"/>
      <c r="S88" s="2649"/>
      <c r="T88" s="2649"/>
      <c r="U88" s="2649"/>
      <c r="V88" s="2649"/>
      <c r="W88" s="2649"/>
      <c r="X88" s="2649"/>
      <c r="Y88" s="2649"/>
      <c r="Z88" s="2649"/>
      <c r="AA88" s="2649"/>
      <c r="AB88" s="2649"/>
      <c r="AC88" s="2649"/>
    </row>
    <row r="89" spans="1:29" ht="15.7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4"/>
      <c r="O89" s="2684"/>
      <c r="P89" s="2692"/>
      <c r="Q89" s="2670"/>
      <c r="R89" s="2649"/>
      <c r="S89" s="2649"/>
      <c r="T89" s="2649"/>
      <c r="U89" s="2649"/>
      <c r="V89" s="2649"/>
      <c r="W89" s="2649"/>
      <c r="X89" s="2649"/>
      <c r="Y89" s="2649"/>
      <c r="Z89" s="2649"/>
      <c r="AA89" s="2649"/>
      <c r="AB89" s="2649"/>
      <c r="AC89" s="2649"/>
    </row>
    <row r="90" spans="1:29" s="416" customFormat="1" ht="15" thickTop="1">
      <c r="A90" s="414"/>
      <c r="B90" s="477" t="s">
        <v>2310</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85"/>
      <c r="O90" s="2685"/>
      <c r="P90" s="2693"/>
      <c r="Q90" s="2677"/>
      <c r="R90" s="2655"/>
      <c r="S90" s="2655"/>
      <c r="T90" s="2655"/>
      <c r="U90" s="2655"/>
      <c r="V90" s="2655"/>
      <c r="W90" s="2655"/>
      <c r="X90" s="2655"/>
      <c r="Y90" s="2655"/>
      <c r="Z90" s="2655"/>
      <c r="AA90" s="2655"/>
      <c r="AB90" s="2655"/>
      <c r="AC90" s="2655"/>
    </row>
    <row r="91" spans="1:29" s="416" customFormat="1">
      <c r="A91" s="414"/>
      <c r="B91" s="485"/>
      <c r="C91" s="9"/>
      <c r="D91" s="9"/>
      <c r="E91" s="9"/>
      <c r="F91" s="9"/>
      <c r="G91" s="9"/>
      <c r="H91" s="9"/>
      <c r="I91" s="9"/>
      <c r="J91" s="532"/>
      <c r="K91" s="532"/>
      <c r="L91" s="533"/>
      <c r="M91" s="534"/>
      <c r="N91" s="2685"/>
      <c r="O91" s="2685"/>
      <c r="P91" s="2693"/>
      <c r="Q91" s="2677"/>
      <c r="R91" s="2655"/>
      <c r="S91" s="2655"/>
      <c r="T91" s="2655"/>
      <c r="U91" s="2655"/>
      <c r="V91" s="2655"/>
      <c r="W91" s="2655"/>
      <c r="X91" s="2655"/>
      <c r="Y91" s="2655"/>
      <c r="Z91" s="2655"/>
      <c r="AA91" s="2655"/>
      <c r="AB91" s="2655"/>
      <c r="AC91" s="2655"/>
    </row>
    <row r="92" spans="1:29" s="416" customFormat="1" ht="15.75" thickBot="1">
      <c r="A92" s="492"/>
      <c r="B92" s="482"/>
      <c r="C92" s="499"/>
      <c r="D92" s="475"/>
      <c r="E92" s="475"/>
      <c r="F92" s="475"/>
      <c r="G92" s="475"/>
      <c r="H92" s="475"/>
      <c r="I92" s="475"/>
      <c r="J92" s="475"/>
      <c r="K92" s="475"/>
      <c r="L92" s="475"/>
      <c r="M92" s="476"/>
      <c r="N92" s="2685"/>
      <c r="O92" s="2685"/>
      <c r="P92" s="2693"/>
      <c r="Q92" s="2677"/>
      <c r="R92" s="2655"/>
      <c r="S92" s="2655"/>
      <c r="T92" s="2655"/>
      <c r="U92" s="2655"/>
      <c r="V92" s="2655"/>
      <c r="W92" s="2655"/>
      <c r="X92" s="2655"/>
      <c r="Y92" s="2655"/>
      <c r="Z92" s="2655"/>
      <c r="AA92" s="2655"/>
      <c r="AB92" s="2655"/>
      <c r="AC92" s="2655"/>
    </row>
    <row r="93" spans="1:29" ht="15" thickTop="1">
      <c r="A93" s="417"/>
      <c r="B93" s="477" t="s">
        <v>2311</v>
      </c>
      <c r="C93" s="493"/>
      <c r="D93" s="493"/>
      <c r="E93" s="521"/>
      <c r="F93" s="521"/>
      <c r="G93" s="521"/>
      <c r="H93" s="521"/>
      <c r="I93" s="521"/>
      <c r="J93" s="521"/>
      <c r="K93" s="522"/>
      <c r="L93" s="523"/>
      <c r="M93" s="524"/>
      <c r="N93" s="2683"/>
      <c r="O93" s="2683"/>
      <c r="P93" s="2692"/>
      <c r="Q93" s="2670"/>
      <c r="R93" s="2649"/>
      <c r="S93" s="2649"/>
      <c r="T93" s="2649"/>
      <c r="U93" s="2649"/>
      <c r="V93" s="2649"/>
      <c r="W93" s="2649"/>
      <c r="X93" s="2649"/>
      <c r="Y93" s="2649"/>
      <c r="Z93" s="2649"/>
      <c r="AA93" s="2649"/>
      <c r="AB93" s="2649"/>
      <c r="AC93" s="2649"/>
    </row>
    <row r="94" spans="1:29" ht="15.7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4"/>
      <c r="O94" s="2684"/>
      <c r="P94" s="2692"/>
      <c r="Q94" s="2670"/>
      <c r="R94" s="2649"/>
      <c r="S94" s="2649"/>
      <c r="T94" s="2649"/>
      <c r="U94" s="2649"/>
      <c r="V94" s="2649"/>
      <c r="W94" s="2649"/>
      <c r="X94" s="2649"/>
      <c r="Y94" s="2649"/>
      <c r="Z94" s="2649"/>
      <c r="AA94" s="2649"/>
      <c r="AB94" s="2649"/>
      <c r="AC94" s="2649"/>
    </row>
    <row r="95" spans="1:29" ht="15" thickTop="1">
      <c r="A95" s="417"/>
      <c r="B95" s="477" t="s">
        <v>2312</v>
      </c>
      <c r="C95" s="470"/>
      <c r="D95" s="470"/>
      <c r="E95" s="470"/>
      <c r="F95" s="470"/>
      <c r="G95" s="470"/>
      <c r="H95" s="470"/>
      <c r="I95" s="470"/>
      <c r="J95" s="470"/>
      <c r="K95" s="471"/>
      <c r="L95" s="472"/>
      <c r="M95" s="473"/>
      <c r="N95" s="2683"/>
      <c r="O95" s="2683"/>
      <c r="P95" s="2692"/>
      <c r="Q95" s="2670"/>
      <c r="R95" s="2649"/>
      <c r="S95" s="2649"/>
      <c r="T95" s="2649"/>
      <c r="U95" s="2649"/>
      <c r="V95" s="2649"/>
      <c r="W95" s="2649"/>
      <c r="X95" s="2649"/>
      <c r="Y95" s="2649"/>
      <c r="Z95" s="2649"/>
      <c r="AA95" s="2649"/>
      <c r="AB95" s="2649"/>
      <c r="AC95" s="2649"/>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84"/>
      <c r="O96" s="2684"/>
      <c r="P96" s="2692"/>
      <c r="Q96" s="2670"/>
      <c r="R96" s="2649"/>
      <c r="S96" s="2649"/>
      <c r="T96" s="2649"/>
      <c r="U96" s="2649"/>
      <c r="V96" s="2649"/>
      <c r="W96" s="2649"/>
      <c r="X96" s="2649"/>
      <c r="Y96" s="2649"/>
      <c r="Z96" s="2649"/>
      <c r="AA96" s="2649"/>
      <c r="AB96" s="2649"/>
      <c r="AC96" s="2649"/>
    </row>
    <row r="97" spans="1:29" ht="15" thickTop="1">
      <c r="A97" s="417"/>
      <c r="B97" s="568">
        <f>B34</f>
        <v>111</v>
      </c>
      <c r="C97" s="488"/>
      <c r="D97" s="488"/>
      <c r="E97" s="488"/>
      <c r="F97" s="488"/>
      <c r="G97" s="493"/>
      <c r="H97" s="494"/>
      <c r="I97" s="494"/>
      <c r="J97" s="494"/>
      <c r="K97" s="494"/>
      <c r="L97" s="495"/>
      <c r="M97" s="496"/>
      <c r="N97" s="2684"/>
      <c r="O97" s="2684"/>
      <c r="P97" s="2697"/>
      <c r="Q97" s="2698"/>
      <c r="R97" s="2649"/>
      <c r="S97" s="2649"/>
      <c r="T97" s="2649"/>
      <c r="U97" s="2649"/>
      <c r="V97" s="2649"/>
      <c r="W97" s="2649"/>
      <c r="X97" s="2649"/>
      <c r="Y97" s="2649"/>
      <c r="Z97" s="2649"/>
      <c r="AA97" s="2649"/>
      <c r="AB97" s="2649"/>
      <c r="AC97" s="2649"/>
    </row>
    <row r="98" spans="1:29" ht="15.75" thickBot="1">
      <c r="A98" s="375"/>
      <c r="B98" s="482"/>
      <c r="C98" s="499"/>
      <c r="D98" s="475"/>
      <c r="E98" s="475"/>
      <c r="F98" s="475"/>
      <c r="G98" s="499"/>
      <c r="H98" s="501"/>
      <c r="I98" s="501"/>
      <c r="J98" s="501"/>
      <c r="K98" s="501"/>
      <c r="L98" s="501"/>
      <c r="M98" s="502"/>
      <c r="N98" s="2684"/>
      <c r="O98" s="2684"/>
      <c r="P98" s="2692"/>
      <c r="Q98" s="2670"/>
      <c r="R98" s="2649"/>
      <c r="S98" s="2649"/>
      <c r="T98" s="2649"/>
      <c r="U98" s="2649"/>
      <c r="V98" s="2649"/>
      <c r="W98" s="2649"/>
      <c r="X98" s="2649"/>
      <c r="Y98" s="2649"/>
      <c r="Z98" s="2649"/>
      <c r="AA98" s="2649"/>
      <c r="AB98" s="2649"/>
      <c r="AC98" s="2649"/>
    </row>
    <row r="99" spans="1:29" s="416" customFormat="1" ht="15" thickTop="1">
      <c r="A99" s="414"/>
      <c r="B99" s="477">
        <f>B35</f>
        <v>111</v>
      </c>
      <c r="C99" s="488"/>
      <c r="D99" s="488"/>
      <c r="E99" s="488"/>
      <c r="F99" s="488"/>
      <c r="G99" s="493"/>
      <c r="H99" s="494"/>
      <c r="I99" s="494"/>
      <c r="J99" s="494"/>
      <c r="K99" s="494"/>
      <c r="L99" s="495"/>
      <c r="M99" s="496"/>
      <c r="N99" s="2685"/>
      <c r="O99" s="2685"/>
      <c r="P99" s="2693"/>
      <c r="Q99" s="2677"/>
      <c r="R99" s="2655"/>
      <c r="S99" s="2655"/>
      <c r="T99" s="2655"/>
      <c r="U99" s="2655"/>
      <c r="V99" s="2655"/>
      <c r="W99" s="2655"/>
      <c r="X99" s="2655"/>
      <c r="Y99" s="2655"/>
      <c r="Z99" s="2655"/>
      <c r="AA99" s="2655"/>
      <c r="AB99" s="2655"/>
      <c r="AC99" s="2655"/>
    </row>
    <row r="100" spans="1:29" s="416" customFormat="1" ht="15.75" thickBot="1">
      <c r="A100" s="492"/>
      <c r="B100" s="474"/>
      <c r="C100" s="499"/>
      <c r="D100" s="475"/>
      <c r="E100" s="475"/>
      <c r="F100" s="475"/>
      <c r="G100" s="499"/>
      <c r="H100" s="501"/>
      <c r="I100" s="501"/>
      <c r="J100" s="501"/>
      <c r="K100" s="501"/>
      <c r="L100" s="501"/>
      <c r="M100" s="502"/>
      <c r="N100" s="2685"/>
      <c r="O100" s="2685"/>
      <c r="P100" s="2693"/>
      <c r="Q100" s="2677"/>
      <c r="R100" s="2655"/>
      <c r="S100" s="2655"/>
      <c r="T100" s="2655"/>
      <c r="U100" s="2655"/>
      <c r="V100" s="2655"/>
      <c r="W100" s="2655"/>
      <c r="X100" s="2655"/>
      <c r="Y100" s="2655"/>
      <c r="Z100" s="2655"/>
      <c r="AA100" s="2655"/>
      <c r="AB100" s="2655"/>
      <c r="AC100" s="2655"/>
    </row>
    <row r="101" spans="1:29" ht="15" thickTop="1">
      <c r="A101" s="417"/>
      <c r="B101" s="477">
        <f>B36</f>
        <v>111</v>
      </c>
      <c r="C101" s="493"/>
      <c r="D101" s="493"/>
      <c r="E101" s="493"/>
      <c r="F101" s="493"/>
      <c r="G101" s="493"/>
      <c r="H101" s="494"/>
      <c r="I101" s="494"/>
      <c r="J101" s="494"/>
      <c r="K101" s="494"/>
      <c r="L101" s="495"/>
      <c r="M101" s="496"/>
      <c r="N101" s="2683"/>
      <c r="O101" s="2683"/>
      <c r="P101" s="2692"/>
      <c r="Q101" s="2670"/>
      <c r="R101" s="2649"/>
      <c r="S101" s="2649"/>
      <c r="T101" s="2649"/>
      <c r="U101" s="2649"/>
      <c r="V101" s="2649"/>
      <c r="W101" s="2649"/>
      <c r="X101" s="2649"/>
      <c r="Y101" s="2649"/>
      <c r="Z101" s="2649"/>
      <c r="AA101" s="2649"/>
      <c r="AB101" s="2649"/>
      <c r="AC101" s="2649"/>
    </row>
    <row r="102" spans="1:29" ht="15.75" thickBot="1">
      <c r="A102" s="375"/>
      <c r="B102" s="482"/>
      <c r="C102" s="499"/>
      <c r="D102" s="499"/>
      <c r="E102" s="499"/>
      <c r="F102" s="499"/>
      <c r="G102" s="499"/>
      <c r="H102" s="501"/>
      <c r="I102" s="501"/>
      <c r="J102" s="501"/>
      <c r="K102" s="501"/>
      <c r="L102" s="501"/>
      <c r="M102" s="502"/>
      <c r="N102" s="2684"/>
      <c r="O102" s="2684"/>
      <c r="P102" s="2692"/>
      <c r="Q102" s="2670"/>
      <c r="R102" s="2649"/>
      <c r="S102" s="2649"/>
      <c r="T102" s="2649"/>
      <c r="U102" s="2649"/>
      <c r="V102" s="2649"/>
      <c r="W102" s="2649"/>
      <c r="X102" s="2649"/>
      <c r="Y102" s="2649"/>
      <c r="Z102" s="2649"/>
      <c r="AA102" s="2649"/>
      <c r="AB102" s="2649"/>
      <c r="AC102" s="2649"/>
    </row>
    <row r="103" spans="1:29" ht="15" thickTop="1">
      <c r="N103" s="2649"/>
      <c r="O103" s="2649"/>
      <c r="P103" s="2686"/>
      <c r="Q103" s="2649"/>
      <c r="R103" s="2649"/>
      <c r="S103" s="2649"/>
      <c r="T103" s="2649"/>
      <c r="U103" s="2649"/>
      <c r="V103" s="2649"/>
      <c r="W103" s="2649"/>
      <c r="X103" s="2649"/>
      <c r="Y103" s="2649"/>
      <c r="Z103" s="2649"/>
      <c r="AA103" s="2649"/>
      <c r="AB103" s="2649"/>
      <c r="AC103" s="264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2283</v>
      </c>
      <c r="B1" s="1255"/>
      <c r="C1" s="1256" t="s">
        <v>2106</v>
      </c>
      <c r="D1" s="1257"/>
      <c r="E1" s="1266"/>
      <c r="F1" s="1865"/>
      <c r="G1" s="1267" t="s">
        <v>2219</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1903</v>
      </c>
      <c r="B2" s="1195" t="e">
        <f ca="1">IF(C2="——",ROUND(C37*D3/10000,0),ROUND(C37*D3/10000,0)-D2)</f>
        <v>#DIV/0!</v>
      </c>
      <c r="C2" s="1867"/>
      <c r="D2" s="961" t="e">
        <f ca="1">SUMIF(INDIRECT("'"&amp;F2&amp;"'"&amp;"!A:A"),"承租人权益价值",INDIRECT("'"&amp;F2&amp;"'"&amp;"!c:c"))</f>
        <v>#REF!</v>
      </c>
      <c r="E2" s="1868" t="s">
        <v>1904</v>
      </c>
      <c r="F2" s="1869"/>
      <c r="G2" s="962"/>
      <c r="H2" s="962"/>
      <c r="I2" s="962"/>
      <c r="J2" s="962"/>
      <c r="K2" s="964"/>
      <c r="L2" s="2665"/>
      <c r="M2" s="2666"/>
      <c r="N2" s="2666"/>
      <c r="O2" s="2666"/>
      <c r="P2" s="347"/>
      <c r="Q2" s="347"/>
      <c r="R2" s="347"/>
      <c r="S2" s="347"/>
      <c r="T2" s="347"/>
      <c r="U2" s="347"/>
      <c r="V2" s="347"/>
      <c r="W2" s="347"/>
      <c r="X2" s="347"/>
      <c r="Y2" s="347"/>
      <c r="Z2" s="347"/>
      <c r="AA2" s="347"/>
      <c r="AB2" s="347"/>
      <c r="AC2" s="672"/>
    </row>
    <row r="3" spans="1:29" s="348" customFormat="1" ht="28.5" customHeight="1" thickBot="1">
      <c r="A3" s="201" t="s">
        <v>1905</v>
      </c>
      <c r="B3" s="544" t="e">
        <f ca="1">IF(C2="——",C37,ROUND(B2*10000/D3,0))</f>
        <v>#DIV/0!</v>
      </c>
      <c r="C3" s="350" t="s">
        <v>2220</v>
      </c>
      <c r="D3" s="349">
        <f>SUMIF('数据-汇总表'!$C19:$C33,D1,'数据-汇总表'!$E19:$E33)</f>
        <v>0</v>
      </c>
      <c r="E3" s="962"/>
      <c r="F3" s="963"/>
      <c r="G3" s="962"/>
      <c r="H3" s="962"/>
      <c r="I3" s="962"/>
      <c r="J3" s="962"/>
      <c r="K3" s="964"/>
      <c r="L3" s="2665"/>
      <c r="M3" s="2666"/>
      <c r="N3" s="2666"/>
      <c r="O3" s="2666"/>
      <c r="P3" s="347"/>
      <c r="Q3" s="347"/>
      <c r="R3" s="347"/>
      <c r="S3" s="347"/>
      <c r="T3" s="347"/>
      <c r="U3" s="347"/>
      <c r="V3" s="347"/>
      <c r="W3" s="347"/>
      <c r="X3" s="347"/>
      <c r="Y3" s="347"/>
      <c r="Z3" s="347"/>
      <c r="AA3" s="347"/>
      <c r="AB3" s="685"/>
      <c r="AC3" s="672"/>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365" t="s">
        <v>2227</v>
      </c>
      <c r="Q4" s="3366"/>
      <c r="R4" s="3348" t="s">
        <v>2223</v>
      </c>
      <c r="S4" s="3349"/>
      <c r="T4" s="3348" t="s">
        <v>2224</v>
      </c>
      <c r="U4" s="3349"/>
      <c r="V4" s="3373" t="s">
        <v>2225</v>
      </c>
      <c r="W4" s="3373"/>
      <c r="X4" s="1394"/>
      <c r="Y4" s="3348" t="s">
        <v>2227</v>
      </c>
      <c r="Z4" s="3349"/>
      <c r="AA4" s="3343" t="s">
        <v>2223</v>
      </c>
      <c r="AB4" s="3344" t="s">
        <v>2224</v>
      </c>
      <c r="AC4" s="3343" t="s">
        <v>2225</v>
      </c>
    </row>
    <row r="5" spans="1:29" ht="15">
      <c r="A5" s="354"/>
      <c r="B5" s="355"/>
      <c r="C5" s="3354" t="s">
        <v>2118</v>
      </c>
      <c r="D5" s="3355"/>
      <c r="E5" s="3352" t="s">
        <v>2119</v>
      </c>
      <c r="F5" s="3353"/>
      <c r="G5" s="3354" t="s">
        <v>2120</v>
      </c>
      <c r="H5" s="3355"/>
      <c r="I5" s="3354" t="s">
        <v>2121</v>
      </c>
      <c r="J5" s="3355"/>
      <c r="K5" s="545"/>
      <c r="L5" s="2648"/>
      <c r="M5" s="2649"/>
      <c r="N5" s="2649"/>
      <c r="O5" s="2649"/>
      <c r="P5" s="3367"/>
      <c r="Q5" s="3368"/>
      <c r="R5" s="3350"/>
      <c r="S5" s="3351"/>
      <c r="T5" s="3350"/>
      <c r="U5" s="3351"/>
      <c r="V5" s="3373"/>
      <c r="W5" s="3373"/>
      <c r="X5" s="1394"/>
      <c r="Y5" s="3350"/>
      <c r="Z5" s="3351"/>
      <c r="AA5" s="3344"/>
      <c r="AB5" s="3344"/>
      <c r="AC5" s="3344"/>
    </row>
    <row r="6" spans="1:29" ht="15.75" thickBot="1">
      <c r="A6" s="356"/>
      <c r="B6" s="357"/>
      <c r="C6" s="3356" t="s">
        <v>2122</v>
      </c>
      <c r="D6" s="3357"/>
      <c r="E6" s="3358" t="s">
        <v>2122</v>
      </c>
      <c r="F6" s="3359"/>
      <c r="G6" s="3356" t="s">
        <v>2122</v>
      </c>
      <c r="H6" s="3357"/>
      <c r="I6" s="3356" t="s">
        <v>2122</v>
      </c>
      <c r="J6" s="3357"/>
      <c r="K6" s="545" t="s">
        <v>2123</v>
      </c>
      <c r="L6" s="2648"/>
      <c r="M6" s="2649"/>
      <c r="N6" s="2649"/>
      <c r="O6" s="2649"/>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c r="F7" s="363">
        <f>SUMIF(46:46,YEAR(E7)&amp;"-"&amp;MONTH(E7),47:47)</f>
        <v>0</v>
      </c>
      <c r="G7" s="1952"/>
      <c r="H7" s="361">
        <f>SUMIF(46:46,YEAR(G7)&amp;"-"&amp;MONTH(G7),47:47)</f>
        <v>0</v>
      </c>
      <c r="I7" s="362"/>
      <c r="J7" s="361">
        <f>SUMIF(46:46,YEAR(I7)&amp;"-"&amp;MONTH(I7),47:47)</f>
        <v>0</v>
      </c>
      <c r="K7" s="41"/>
      <c r="L7" s="2650"/>
      <c r="M7" s="2603"/>
      <c r="N7" s="2603"/>
      <c r="O7" s="2603"/>
      <c r="P7" s="3346" t="s">
        <v>2125</v>
      </c>
      <c r="Q7" s="3374"/>
      <c r="R7" s="673" t="s">
        <v>17</v>
      </c>
      <c r="S7" s="674">
        <f t="shared" ref="S7:S14" si="0">F7</f>
        <v>0</v>
      </c>
      <c r="T7" s="673" t="s">
        <v>17</v>
      </c>
      <c r="U7" s="674">
        <f t="shared" ref="U7:U14" si="1">H7</f>
        <v>0</v>
      </c>
      <c r="V7" s="673" t="s">
        <v>17</v>
      </c>
      <c r="W7" s="674">
        <f t="shared" ref="W7:W14" si="2">J7</f>
        <v>0</v>
      </c>
      <c r="X7" s="675"/>
      <c r="Y7" s="3346" t="s">
        <v>2125</v>
      </c>
      <c r="Z7" s="3347"/>
      <c r="AA7" s="53" t="e">
        <f>D7/F7</f>
        <v>#DIV/0!</v>
      </c>
      <c r="AB7" s="53" t="e">
        <f>D7/H7</f>
        <v>#DIV/0!</v>
      </c>
      <c r="AC7" s="53" t="e">
        <f>D7/J7</f>
        <v>#DIV/0!</v>
      </c>
    </row>
    <row r="8" spans="1:29" s="107" customFormat="1" ht="15.75" thickBot="1">
      <c r="A8" s="358" t="s">
        <v>2126</v>
      </c>
      <c r="B8" s="359"/>
      <c r="C8" s="364" t="s">
        <v>2228</v>
      </c>
      <c r="D8" s="361">
        <v>100</v>
      </c>
      <c r="E8" s="364"/>
      <c r="F8" s="363">
        <f>SUMIF(49:49,E8,50:50)-SUMIF(49:49,C8,50:50)+100</f>
        <v>0</v>
      </c>
      <c r="G8" s="364"/>
      <c r="H8" s="361">
        <f>SUMIF(49:49,G8,50:50)-SUMIF(49:49,C8,50:50)+100</f>
        <v>0</v>
      </c>
      <c r="I8" s="364"/>
      <c r="J8" s="361">
        <f>SUMIF(49:49,I8,50:50)-SUMIF(49:49,C8,50:50)+100</f>
        <v>0</v>
      </c>
      <c r="K8" s="41"/>
      <c r="L8" s="2650"/>
      <c r="M8" s="2603"/>
      <c r="N8" s="2603"/>
      <c r="O8" s="2603"/>
      <c r="P8" s="3346" t="s">
        <v>2128</v>
      </c>
      <c r="Q8" s="3347"/>
      <c r="R8" s="673" t="s">
        <v>17</v>
      </c>
      <c r="S8" s="674">
        <f t="shared" si="0"/>
        <v>0</v>
      </c>
      <c r="T8" s="673" t="s">
        <v>17</v>
      </c>
      <c r="U8" s="674">
        <f t="shared" si="1"/>
        <v>0</v>
      </c>
      <c r="V8" s="673" t="s">
        <v>17</v>
      </c>
      <c r="W8" s="674">
        <f t="shared" si="2"/>
        <v>0</v>
      </c>
      <c r="X8" s="675"/>
      <c r="Y8" s="3346" t="s">
        <v>2128</v>
      </c>
      <c r="Z8" s="3347"/>
      <c r="AA8" s="53" t="e">
        <f t="shared" ref="AA8:AA34" si="3">D8/F8</f>
        <v>#DIV/0!</v>
      </c>
      <c r="AB8" s="53" t="e">
        <f t="shared" ref="AB8:AB34" si="4">D8/H8</f>
        <v>#DIV/0!</v>
      </c>
      <c r="AC8" s="53" t="e">
        <f t="shared" ref="AC8:AC34" si="5">D8/J8</f>
        <v>#DIV/0!</v>
      </c>
    </row>
    <row r="9" spans="1:29" s="107" customFormat="1">
      <c r="A9" s="365" t="s">
        <v>2129</v>
      </c>
      <c r="B9" s="64" t="s">
        <v>2130</v>
      </c>
      <c r="C9" s="366"/>
      <c r="D9" s="63">
        <v>100</v>
      </c>
      <c r="E9" s="368"/>
      <c r="F9" s="64">
        <f>SUMIF(51:51,E9,52:52)-SUMIF(51:51,C9,52:52)+100</f>
        <v>100</v>
      </c>
      <c r="G9" s="368"/>
      <c r="H9" s="63">
        <f>SUMIF(51:51,G9,52:52)-SUMIF(51:51,C9,52:52)+100</f>
        <v>100</v>
      </c>
      <c r="I9" s="368"/>
      <c r="J9" s="63">
        <f>SUMIF(51:51,I9,52:52)-SUMIF(51:51,C9,52:52)+100</f>
        <v>100</v>
      </c>
      <c r="K9" s="41"/>
      <c r="L9" s="2650"/>
      <c r="M9" s="2603"/>
      <c r="N9" s="2603"/>
      <c r="O9" s="2702"/>
      <c r="P9" s="3360" t="s">
        <v>2131</v>
      </c>
      <c r="Q9" s="538" t="str">
        <f t="shared" ref="Q9:Q14" si="6">B9</f>
        <v>用途</v>
      </c>
      <c r="R9" s="673" t="s">
        <v>17</v>
      </c>
      <c r="S9" s="674">
        <f t="shared" si="0"/>
        <v>100</v>
      </c>
      <c r="T9" s="673" t="s">
        <v>17</v>
      </c>
      <c r="U9" s="674">
        <f t="shared" si="1"/>
        <v>100</v>
      </c>
      <c r="V9" s="673" t="s">
        <v>17</v>
      </c>
      <c r="W9" s="674">
        <f t="shared" si="2"/>
        <v>100</v>
      </c>
      <c r="X9" s="675"/>
      <c r="Y9" s="3316" t="s">
        <v>2132</v>
      </c>
      <c r="Z9" s="53" t="str">
        <f t="shared" ref="Z9:Z14" si="7">Q9</f>
        <v>用途</v>
      </c>
      <c r="AA9" s="53">
        <f t="shared" si="3"/>
        <v>1</v>
      </c>
      <c r="AB9" s="53">
        <f t="shared" si="4"/>
        <v>1</v>
      </c>
      <c r="AC9" s="53">
        <f t="shared" si="5"/>
        <v>1</v>
      </c>
    </row>
    <row r="10" spans="1:29" s="374" customFormat="1" ht="27">
      <c r="A10" s="369"/>
      <c r="B10" s="370" t="s">
        <v>2133</v>
      </c>
      <c r="C10" s="371"/>
      <c r="D10" s="124">
        <v>100</v>
      </c>
      <c r="E10" s="371"/>
      <c r="F10" s="370">
        <f>SUMIF(53:53,E10,54:54)-SUMIF(53:53,C10,54:54)+100</f>
        <v>100</v>
      </c>
      <c r="G10" s="371"/>
      <c r="H10" s="124">
        <f>SUMIF(53:53,G10,54:54)-SUMIF(53:53,C10,54:54)+100</f>
        <v>100</v>
      </c>
      <c r="I10" s="371"/>
      <c r="J10" s="124">
        <f>SUMIF(53:53,I10,54:54)-SUMIF(53:53,C10,54:54)+100</f>
        <v>100</v>
      </c>
      <c r="K10" s="546"/>
      <c r="L10" s="2651"/>
      <c r="M10" s="2652"/>
      <c r="N10" s="2652"/>
      <c r="O10" s="2703"/>
      <c r="P10" s="3360"/>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3"/>
      <c r="M11" s="2649"/>
      <c r="N11" s="2649"/>
      <c r="O11" s="2704"/>
      <c r="P11" s="3360"/>
      <c r="Q11" s="538">
        <f t="shared" si="6"/>
        <v>111</v>
      </c>
      <c r="R11" s="673" t="s">
        <v>17</v>
      </c>
      <c r="S11" s="674">
        <f t="shared" si="0"/>
        <v>100</v>
      </c>
      <c r="T11" s="673" t="s">
        <v>17</v>
      </c>
      <c r="U11" s="674">
        <f t="shared" si="1"/>
        <v>100</v>
      </c>
      <c r="V11" s="673" t="s">
        <v>17</v>
      </c>
      <c r="W11" s="674">
        <f t="shared" si="2"/>
        <v>100</v>
      </c>
      <c r="X11" s="675"/>
      <c r="Y11" s="3316"/>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0"/>
      <c r="M12" s="2603"/>
      <c r="N12" s="2603"/>
      <c r="O12" s="2702"/>
      <c r="P12" s="3360"/>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53"/>
      <c r="H13" s="385">
        <f>SUMIF(59:59,G13,60:60)-SUMIF(59:59,C13,60:60)+100</f>
        <v>100</v>
      </c>
      <c r="I13" s="415"/>
      <c r="J13" s="382">
        <f>SUMIF(59:59,I13,60:60)-SUMIF(59:59,C13,60:60)+100</f>
        <v>100</v>
      </c>
      <c r="K13" s="547"/>
      <c r="L13" s="2654"/>
      <c r="M13" s="2649"/>
      <c r="N13" s="2649"/>
      <c r="O13" s="2704"/>
      <c r="P13" s="3360"/>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53">
        <f t="shared" si="5"/>
        <v>1</v>
      </c>
    </row>
    <row r="14" spans="1:29" ht="85.5">
      <c r="A14" s="387" t="s">
        <v>2135</v>
      </c>
      <c r="B14" s="62" t="s">
        <v>2285</v>
      </c>
      <c r="C14" s="1949"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4"/>
      <c r="M14" s="2649"/>
      <c r="N14" s="2649"/>
      <c r="O14" s="2704"/>
      <c r="P14" s="3375" t="s">
        <v>2136</v>
      </c>
      <c r="Q14" s="1392" t="str">
        <f t="shared" si="6"/>
        <v>交通便捷度</v>
      </c>
      <c r="R14" s="676" t="s">
        <v>17</v>
      </c>
      <c r="S14" s="677">
        <f t="shared" si="0"/>
        <v>100</v>
      </c>
      <c r="T14" s="676" t="s">
        <v>17</v>
      </c>
      <c r="U14" s="677">
        <f t="shared" si="1"/>
        <v>100</v>
      </c>
      <c r="V14" s="676" t="s">
        <v>17</v>
      </c>
      <c r="W14" s="677">
        <f t="shared" si="2"/>
        <v>100</v>
      </c>
      <c r="X14" s="1394"/>
      <c r="Y14" s="3375" t="s">
        <v>2136</v>
      </c>
      <c r="Z14" s="1393" t="str">
        <f t="shared" si="7"/>
        <v>交通便捷度</v>
      </c>
      <c r="AA14" s="1393">
        <f t="shared" si="3"/>
        <v>1</v>
      </c>
      <c r="AB14" s="1393">
        <f t="shared" si="4"/>
        <v>1</v>
      </c>
      <c r="AC14" s="1393">
        <f t="shared" si="5"/>
        <v>1</v>
      </c>
    </row>
    <row r="15" spans="1:29" ht="15">
      <c r="A15" s="375"/>
      <c r="B15" s="393"/>
      <c r="C15" s="394"/>
      <c r="D15" s="395"/>
      <c r="E15" s="394"/>
      <c r="F15" s="396"/>
      <c r="G15" s="394"/>
      <c r="H15" s="397"/>
      <c r="I15" s="394"/>
      <c r="J15" s="395"/>
      <c r="K15" s="549"/>
      <c r="L15" s="2654"/>
      <c r="M15" s="2649"/>
      <c r="N15" s="2649"/>
      <c r="O15" s="2704"/>
      <c r="P15" s="3376"/>
      <c r="Q15" s="1392"/>
      <c r="R15" s="676"/>
      <c r="S15" s="677"/>
      <c r="T15" s="676"/>
      <c r="U15" s="677"/>
      <c r="V15" s="676"/>
      <c r="W15" s="677"/>
      <c r="X15" s="1394"/>
      <c r="Y15" s="3376"/>
      <c r="Z15" s="1393"/>
      <c r="AA15" s="1393">
        <v>1</v>
      </c>
      <c r="AB15" s="1393">
        <v>1</v>
      </c>
      <c r="AC15" s="1393">
        <v>1</v>
      </c>
    </row>
    <row r="16" spans="1:29" ht="42.75">
      <c r="A16" s="375"/>
      <c r="B16" s="398" t="s">
        <v>2264</v>
      </c>
      <c r="C16" s="1884"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54"/>
      <c r="M16" s="2649"/>
      <c r="N16" s="2649"/>
      <c r="O16" s="2704"/>
      <c r="P16" s="3376"/>
      <c r="Q16" s="1392" t="str">
        <f>B16</f>
        <v>公共配套设施</v>
      </c>
      <c r="R16" s="676" t="s">
        <v>17</v>
      </c>
      <c r="S16" s="677">
        <f>F16</f>
        <v>100</v>
      </c>
      <c r="T16" s="676" t="s">
        <v>17</v>
      </c>
      <c r="U16" s="677">
        <f>H16</f>
        <v>100</v>
      </c>
      <c r="V16" s="676" t="s">
        <v>17</v>
      </c>
      <c r="W16" s="677">
        <f>J16</f>
        <v>100</v>
      </c>
      <c r="X16" s="1394"/>
      <c r="Y16" s="3376"/>
      <c r="Z16" s="1393" t="str">
        <f>Q16</f>
        <v>公共配套设施</v>
      </c>
      <c r="AA16" s="1393">
        <f t="shared" si="3"/>
        <v>1</v>
      </c>
      <c r="AB16" s="1393">
        <f t="shared" si="4"/>
        <v>1</v>
      </c>
      <c r="AC16" s="1393">
        <f t="shared" si="5"/>
        <v>1</v>
      </c>
    </row>
    <row r="17" spans="1:29" ht="15">
      <c r="A17" s="375"/>
      <c r="B17" s="403"/>
      <c r="C17" s="1885"/>
      <c r="D17" s="395"/>
      <c r="E17" s="394"/>
      <c r="F17" s="396"/>
      <c r="G17" s="394"/>
      <c r="H17" s="395"/>
      <c r="I17" s="394"/>
      <c r="J17" s="395"/>
      <c r="K17" s="549"/>
      <c r="L17" s="2654"/>
      <c r="M17" s="2649"/>
      <c r="N17" s="2649"/>
      <c r="O17" s="2704"/>
      <c r="P17" s="3376"/>
      <c r="Q17" s="1392"/>
      <c r="R17" s="676"/>
      <c r="S17" s="677"/>
      <c r="T17" s="676"/>
      <c r="U17" s="677"/>
      <c r="V17" s="676"/>
      <c r="W17" s="677"/>
      <c r="X17" s="1394"/>
      <c r="Y17" s="3376"/>
      <c r="Z17" s="1393"/>
      <c r="AA17" s="1393">
        <v>1</v>
      </c>
      <c r="AB17" s="1393">
        <v>1</v>
      </c>
      <c r="AC17" s="1393">
        <v>1</v>
      </c>
    </row>
    <row r="18" spans="1:29" ht="28.5">
      <c r="A18" s="375"/>
      <c r="B18" s="594" t="s">
        <v>2265</v>
      </c>
      <c r="C18" s="1884"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54"/>
      <c r="M18" s="2649"/>
      <c r="N18" s="2649"/>
      <c r="O18" s="2704"/>
      <c r="P18" s="3376"/>
      <c r="Q18" s="1392" t="str">
        <f>B18</f>
        <v>基础设施水平</v>
      </c>
      <c r="R18" s="676" t="s">
        <v>17</v>
      </c>
      <c r="S18" s="677">
        <f>F18</f>
        <v>100</v>
      </c>
      <c r="T18" s="676" t="s">
        <v>17</v>
      </c>
      <c r="U18" s="677">
        <f>H18</f>
        <v>100</v>
      </c>
      <c r="V18" s="676" t="s">
        <v>17</v>
      </c>
      <c r="W18" s="677">
        <f>J18</f>
        <v>100</v>
      </c>
      <c r="X18" s="1394"/>
      <c r="Y18" s="3376"/>
      <c r="Z18" s="1393" t="str">
        <f>Q18</f>
        <v>基础设施水平</v>
      </c>
      <c r="AA18" s="1393">
        <f t="shared" ref="AA18" si="8">D18/F18</f>
        <v>1</v>
      </c>
      <c r="AB18" s="1393">
        <f t="shared" ref="AB18" si="9">D18/H18</f>
        <v>1</v>
      </c>
      <c r="AC18" s="1393">
        <f t="shared" ref="AC18" si="10">D18/J18</f>
        <v>1</v>
      </c>
    </row>
    <row r="19" spans="1:29" ht="15">
      <c r="A19" s="375"/>
      <c r="B19" s="594"/>
      <c r="C19" s="1885"/>
      <c r="D19" s="397"/>
      <c r="E19" s="1885"/>
      <c r="F19" s="400"/>
      <c r="G19" s="1885"/>
      <c r="H19" s="395"/>
      <c r="I19" s="394"/>
      <c r="J19" s="395"/>
      <c r="K19" s="1174"/>
      <c r="L19" s="2654"/>
      <c r="M19" s="2649"/>
      <c r="N19" s="2649"/>
      <c r="O19" s="2704"/>
      <c r="P19" s="3376"/>
      <c r="Q19" s="1392"/>
      <c r="R19" s="676"/>
      <c r="S19" s="677"/>
      <c r="T19" s="676"/>
      <c r="U19" s="677"/>
      <c r="V19" s="676"/>
      <c r="W19" s="677"/>
      <c r="X19" s="1394"/>
      <c r="Y19" s="3376"/>
      <c r="Z19" s="1393"/>
      <c r="AA19" s="1393">
        <v>1</v>
      </c>
      <c r="AB19" s="1393">
        <v>1</v>
      </c>
      <c r="AC19" s="1393">
        <v>1</v>
      </c>
    </row>
    <row r="20" spans="1:29" ht="57">
      <c r="A20" s="375"/>
      <c r="B20" s="398" t="s">
        <v>2286</v>
      </c>
      <c r="C20" s="1884"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54"/>
      <c r="M20" s="2649"/>
      <c r="N20" s="2649"/>
      <c r="O20" s="2704"/>
      <c r="P20" s="3376"/>
      <c r="Q20" s="1392" t="str">
        <f>B20</f>
        <v>自然及人文环境</v>
      </c>
      <c r="R20" s="676" t="s">
        <v>17</v>
      </c>
      <c r="S20" s="677">
        <f>F20</f>
        <v>100</v>
      </c>
      <c r="T20" s="676" t="s">
        <v>17</v>
      </c>
      <c r="U20" s="677">
        <f>H20</f>
        <v>100</v>
      </c>
      <c r="V20" s="676" t="s">
        <v>17</v>
      </c>
      <c r="W20" s="677">
        <f>J20</f>
        <v>100</v>
      </c>
      <c r="X20" s="1394"/>
      <c r="Y20" s="3376"/>
      <c r="Z20" s="1393" t="str">
        <f>Q20</f>
        <v>自然及人文环境</v>
      </c>
      <c r="AA20" s="1393">
        <f t="shared" si="3"/>
        <v>1</v>
      </c>
      <c r="AB20" s="1393">
        <f t="shared" si="4"/>
        <v>1</v>
      </c>
      <c r="AC20" s="1393">
        <f t="shared" si="5"/>
        <v>1</v>
      </c>
    </row>
    <row r="21" spans="1:29" ht="15">
      <c r="A21" s="375"/>
      <c r="B21" s="403"/>
      <c r="C21" s="394"/>
      <c r="D21" s="395"/>
      <c r="E21" s="394"/>
      <c r="F21" s="396"/>
      <c r="G21" s="394"/>
      <c r="H21" s="395"/>
      <c r="I21" s="394"/>
      <c r="J21" s="395"/>
      <c r="K21" s="549"/>
      <c r="L21" s="2654"/>
      <c r="M21" s="2649"/>
      <c r="N21" s="2649"/>
      <c r="O21" s="2704"/>
      <c r="P21" s="3376"/>
      <c r="Q21" s="1392"/>
      <c r="R21" s="676"/>
      <c r="S21" s="677"/>
      <c r="T21" s="676"/>
      <c r="U21" s="677"/>
      <c r="V21" s="676"/>
      <c r="W21" s="677"/>
      <c r="X21" s="1394"/>
      <c r="Y21" s="3376"/>
      <c r="Z21" s="1393"/>
      <c r="AA21" s="1393">
        <v>1</v>
      </c>
      <c r="AB21" s="1393">
        <v>1</v>
      </c>
      <c r="AC21" s="1393">
        <v>1</v>
      </c>
    </row>
    <row r="22" spans="1:29" ht="15">
      <c r="A22" s="375"/>
      <c r="B22" s="398" t="s">
        <v>2287</v>
      </c>
      <c r="C22" s="550"/>
      <c r="D22" s="397">
        <v>100</v>
      </c>
      <c r="E22" s="550"/>
      <c r="F22" s="408">
        <f>SUMIF(69:69,E22,70:70)-SUMIF(69:69,C22,70:70)+100</f>
        <v>100</v>
      </c>
      <c r="G22" s="550"/>
      <c r="H22" s="382">
        <f>SUMIF(69:69,G22,70:70)-SUMIF(69:69,C22,70:70)+100</f>
        <v>100</v>
      </c>
      <c r="I22" s="550"/>
      <c r="J22" s="382">
        <f>SUMIF(69:69,I22,70:70)-SUMIF(69:69,C22,70:70)+100</f>
        <v>100</v>
      </c>
      <c r="K22" s="546"/>
      <c r="L22" s="2654"/>
      <c r="M22" s="2649"/>
      <c r="N22" s="2649"/>
      <c r="O22" s="2704"/>
      <c r="P22" s="3376"/>
      <c r="Q22" s="1392" t="str">
        <f>B22</f>
        <v>楼层</v>
      </c>
      <c r="R22" s="676" t="s">
        <v>17</v>
      </c>
      <c r="S22" s="677">
        <f>F22</f>
        <v>100</v>
      </c>
      <c r="T22" s="676" t="s">
        <v>17</v>
      </c>
      <c r="U22" s="677">
        <f>H22</f>
        <v>100</v>
      </c>
      <c r="V22" s="676" t="s">
        <v>17</v>
      </c>
      <c r="W22" s="677">
        <f>J22</f>
        <v>100</v>
      </c>
      <c r="X22" s="1394"/>
      <c r="Y22" s="3376"/>
      <c r="Z22" s="1393" t="str">
        <f>Q22</f>
        <v>楼层</v>
      </c>
      <c r="AA22" s="1393">
        <f t="shared" si="3"/>
        <v>1</v>
      </c>
      <c r="AB22" s="1393">
        <f t="shared" si="4"/>
        <v>1</v>
      </c>
      <c r="AC22" s="1393">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4"/>
      <c r="M23" s="2649"/>
      <c r="N23" s="2649"/>
      <c r="O23" s="2704"/>
      <c r="P23" s="3376"/>
      <c r="Q23" s="1392">
        <f>B23</f>
        <v>111</v>
      </c>
      <c r="R23" s="676" t="s">
        <v>17</v>
      </c>
      <c r="S23" s="677">
        <f>F23</f>
        <v>100</v>
      </c>
      <c r="T23" s="676" t="s">
        <v>17</v>
      </c>
      <c r="U23" s="677">
        <f>H23</f>
        <v>100</v>
      </c>
      <c r="V23" s="676" t="s">
        <v>17</v>
      </c>
      <c r="W23" s="677">
        <f>J23</f>
        <v>100</v>
      </c>
      <c r="X23" s="1394"/>
      <c r="Y23" s="3376"/>
      <c r="Z23" s="1393">
        <f>Q23</f>
        <v>111</v>
      </c>
      <c r="AA23" s="1393">
        <f t="shared" si="3"/>
        <v>1</v>
      </c>
      <c r="AB23" s="1393">
        <f t="shared" si="4"/>
        <v>1</v>
      </c>
      <c r="AC23" s="1393">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4"/>
      <c r="M24" s="2649"/>
      <c r="N24" s="2649"/>
      <c r="O24" s="2704"/>
      <c r="P24" s="3376"/>
      <c r="Q24" s="1392">
        <f t="shared" ref="Q24:Q34" si="11">B24</f>
        <v>111</v>
      </c>
      <c r="R24" s="676" t="s">
        <v>17</v>
      </c>
      <c r="S24" s="677">
        <f>F24</f>
        <v>100</v>
      </c>
      <c r="T24" s="676" t="s">
        <v>17</v>
      </c>
      <c r="U24" s="677">
        <f>H24</f>
        <v>100</v>
      </c>
      <c r="V24" s="676" t="s">
        <v>17</v>
      </c>
      <c r="W24" s="677">
        <f>J24</f>
        <v>100</v>
      </c>
      <c r="X24" s="1394"/>
      <c r="Y24" s="3376"/>
      <c r="Z24" s="1393">
        <f>Q24</f>
        <v>111</v>
      </c>
      <c r="AA24" s="1393">
        <f t="shared" si="3"/>
        <v>1</v>
      </c>
      <c r="AB24" s="1393">
        <f t="shared" si="4"/>
        <v>1</v>
      </c>
      <c r="AC24" s="1393">
        <f t="shared" si="5"/>
        <v>1</v>
      </c>
    </row>
    <row r="25" spans="1:29" s="107" customFormat="1" ht="15.75" thickBot="1">
      <c r="A25" s="378"/>
      <c r="B25" s="455">
        <v>111</v>
      </c>
      <c r="C25" s="1954"/>
      <c r="D25" s="565">
        <v>100</v>
      </c>
      <c r="E25" s="1954"/>
      <c r="F25" s="594">
        <f>SUMIF(75:75,E25,76:76)-SUMIF(75:75,C25,76:76)+100</f>
        <v>100</v>
      </c>
      <c r="G25" s="1954"/>
      <c r="H25" s="565">
        <f>SUMIF(75:75,G25,76:76)-SUMIF(75:75,C25,76:76)+100</f>
        <v>100</v>
      </c>
      <c r="I25" s="1954"/>
      <c r="J25" s="565">
        <f>SUMIF(75:75,I25,76:76)-SUMIF(75:75,C25,76:76)+100</f>
        <v>100</v>
      </c>
      <c r="K25" s="547"/>
      <c r="L25" s="2650"/>
      <c r="M25" s="2603"/>
      <c r="N25" s="2603"/>
      <c r="O25" s="2702"/>
      <c r="P25" s="3376"/>
      <c r="Q25" s="538">
        <f t="shared" si="11"/>
        <v>111</v>
      </c>
      <c r="R25" s="673" t="s">
        <v>17</v>
      </c>
      <c r="S25" s="674">
        <f>F25</f>
        <v>100</v>
      </c>
      <c r="T25" s="673" t="s">
        <v>17</v>
      </c>
      <c r="U25" s="674">
        <f>H25</f>
        <v>100</v>
      </c>
      <c r="V25" s="673" t="s">
        <v>17</v>
      </c>
      <c r="W25" s="674">
        <f>J25</f>
        <v>100</v>
      </c>
      <c r="X25" s="675"/>
      <c r="Y25" s="3376"/>
      <c r="Z25" s="53">
        <f>Q25</f>
        <v>111</v>
      </c>
      <c r="AA25" s="1393">
        <f>D25/F25</f>
        <v>1</v>
      </c>
      <c r="AB25" s="1393">
        <f>D25/H25</f>
        <v>1</v>
      </c>
      <c r="AC25" s="1393">
        <f>D25/J25</f>
        <v>1</v>
      </c>
    </row>
    <row r="26" spans="1:29" ht="28.5">
      <c r="A26" s="412" t="s">
        <v>2139</v>
      </c>
      <c r="B26" s="64" t="s">
        <v>2290</v>
      </c>
      <c r="C26" s="1894"/>
      <c r="D26" s="413">
        <v>100</v>
      </c>
      <c r="E26" s="1894"/>
      <c r="F26" s="595">
        <f>SUMIF(77:77,E26,78:78)-SUMIF(77:77,C26,78:78)+100</f>
        <v>100</v>
      </c>
      <c r="G26" s="1894"/>
      <c r="H26" s="413">
        <f>SUMIF(77:77,G26,78:78)-SUMIF(77:77,C26,78:78)+100</f>
        <v>100</v>
      </c>
      <c r="I26" s="1894"/>
      <c r="J26" s="413">
        <f>SUMIF(77:77,I26,78:78)-SUMIF(77:77,C26,78:78)+100</f>
        <v>100</v>
      </c>
      <c r="K26" s="546"/>
      <c r="L26" s="2654"/>
      <c r="M26" s="2649"/>
      <c r="N26" s="2649"/>
      <c r="O26" s="2704"/>
      <c r="P26" s="3377" t="s">
        <v>2141</v>
      </c>
      <c r="Q26" s="1392" t="str">
        <f t="shared" si="11"/>
        <v>公共部分装修</v>
      </c>
      <c r="R26" s="676" t="s">
        <v>17</v>
      </c>
      <c r="S26" s="677">
        <f t="shared" ref="S26:S34" si="12">F26</f>
        <v>100</v>
      </c>
      <c r="T26" s="676" t="s">
        <v>17</v>
      </c>
      <c r="U26" s="677">
        <f t="shared" ref="U26:U34" si="13">H26</f>
        <v>100</v>
      </c>
      <c r="V26" s="676" t="s">
        <v>17</v>
      </c>
      <c r="W26" s="677">
        <f t="shared" ref="W26:W34" si="14">J26</f>
        <v>100</v>
      </c>
      <c r="X26" s="1394"/>
      <c r="Y26" s="3378" t="s">
        <v>2141</v>
      </c>
      <c r="Z26" s="1393" t="str">
        <f t="shared" ref="Z26:Z34" si="15">Q26</f>
        <v>公共部分装修</v>
      </c>
      <c r="AA26" s="1393">
        <f t="shared" si="3"/>
        <v>1</v>
      </c>
      <c r="AB26" s="1393">
        <f t="shared" si="4"/>
        <v>1</v>
      </c>
      <c r="AC26" s="1393">
        <f t="shared" si="5"/>
        <v>1</v>
      </c>
    </row>
    <row r="27" spans="1:29" s="416" customFormat="1" ht="15">
      <c r="A27" s="414"/>
      <c r="B27" s="370" t="s">
        <v>2291</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3"/>
      <c r="M27" s="2655"/>
      <c r="N27" s="2655"/>
      <c r="O27" s="2705"/>
      <c r="P27" s="3378"/>
      <c r="Q27" s="539" t="str">
        <f t="shared" si="11"/>
        <v>成新率</v>
      </c>
      <c r="R27" s="678" t="s">
        <v>17</v>
      </c>
      <c r="S27" s="679" t="e">
        <f t="shared" si="12"/>
        <v>#N/A</v>
      </c>
      <c r="T27" s="678" t="s">
        <v>17</v>
      </c>
      <c r="U27" s="679" t="e">
        <f t="shared" si="13"/>
        <v>#N/A</v>
      </c>
      <c r="V27" s="678" t="s">
        <v>17</v>
      </c>
      <c r="W27" s="679" t="e">
        <f t="shared" si="14"/>
        <v>#N/A</v>
      </c>
      <c r="X27" s="680"/>
      <c r="Y27" s="3378"/>
      <c r="Z27" s="681" t="str">
        <f t="shared" si="15"/>
        <v>成新率</v>
      </c>
      <c r="AA27" s="1393" t="e">
        <f t="shared" si="3"/>
        <v>#N/A</v>
      </c>
      <c r="AB27" s="1393" t="e">
        <f t="shared" si="4"/>
        <v>#N/A</v>
      </c>
      <c r="AC27" s="1393" t="e">
        <f t="shared" si="5"/>
        <v>#N/A</v>
      </c>
    </row>
    <row r="28" spans="1:29" ht="15">
      <c r="A28" s="417"/>
      <c r="B28" s="370" t="s">
        <v>2292</v>
      </c>
      <c r="C28" s="407"/>
      <c r="D28" s="382">
        <v>100</v>
      </c>
      <c r="E28" s="407"/>
      <c r="F28" s="408">
        <f>SUMIF(82:82,E28,83:83)-SUMIF(82:82,C28,83:83)+100</f>
        <v>100</v>
      </c>
      <c r="G28" s="407"/>
      <c r="H28" s="382">
        <f>SUMIF(82:82,G28,83:83)-SUMIF(82:82,C28,83:83)+100</f>
        <v>100</v>
      </c>
      <c r="I28" s="407"/>
      <c r="J28" s="382">
        <f>SUMIF(82:82,I28,83:83)-SUMIF(82:82,C28,83:83)+100</f>
        <v>100</v>
      </c>
      <c r="K28" s="546"/>
      <c r="L28" s="2654"/>
      <c r="M28" s="2649"/>
      <c r="N28" s="2649"/>
      <c r="O28" s="2704"/>
      <c r="P28" s="3378"/>
      <c r="Q28" s="1392" t="str">
        <f t="shared" si="11"/>
        <v>物业等级</v>
      </c>
      <c r="R28" s="676" t="s">
        <v>17</v>
      </c>
      <c r="S28" s="677">
        <f t="shared" si="12"/>
        <v>100</v>
      </c>
      <c r="T28" s="676" t="s">
        <v>17</v>
      </c>
      <c r="U28" s="677">
        <f t="shared" si="13"/>
        <v>100</v>
      </c>
      <c r="V28" s="676" t="s">
        <v>17</v>
      </c>
      <c r="W28" s="677">
        <f t="shared" si="14"/>
        <v>100</v>
      </c>
      <c r="X28" s="1394"/>
      <c r="Y28" s="3378"/>
      <c r="Z28" s="1393" t="str">
        <f t="shared" si="15"/>
        <v>物业等级</v>
      </c>
      <c r="AA28" s="1393">
        <f t="shared" si="3"/>
        <v>1</v>
      </c>
      <c r="AB28" s="1393">
        <f t="shared" si="4"/>
        <v>1</v>
      </c>
      <c r="AC28" s="1393">
        <f t="shared" si="5"/>
        <v>1</v>
      </c>
    </row>
    <row r="29" spans="1:29" ht="15">
      <c r="A29" s="417"/>
      <c r="B29" s="370" t="s">
        <v>2313</v>
      </c>
      <c r="C29" s="586"/>
      <c r="D29" s="382">
        <v>100</v>
      </c>
      <c r="E29" s="586"/>
      <c r="F29" s="408">
        <f>SUMIF(84:84,E29,85:85)-SUMIF(84:84,C29,85:85)+100</f>
        <v>100</v>
      </c>
      <c r="G29" s="586"/>
      <c r="H29" s="382">
        <f>SUMIF(84:84,G29,85:85)-SUMIF(84:84,C29,85:85)+100</f>
        <v>100</v>
      </c>
      <c r="I29" s="586"/>
      <c r="J29" s="382">
        <f>SUMIF(84:84,I29,85:85)-SUMIF(84:84,C29,85:85)+100</f>
        <v>100</v>
      </c>
      <c r="K29" s="546"/>
      <c r="L29" s="2654"/>
      <c r="M29" s="2649"/>
      <c r="N29" s="2649"/>
      <c r="O29" s="2704"/>
      <c r="P29" s="3378"/>
      <c r="Q29" s="1392" t="str">
        <f t="shared" si="11"/>
        <v>有无电梯</v>
      </c>
      <c r="R29" s="676" t="s">
        <v>17</v>
      </c>
      <c r="S29" s="677">
        <f t="shared" si="12"/>
        <v>100</v>
      </c>
      <c r="T29" s="676" t="s">
        <v>17</v>
      </c>
      <c r="U29" s="677">
        <f t="shared" si="13"/>
        <v>100</v>
      </c>
      <c r="V29" s="676" t="s">
        <v>17</v>
      </c>
      <c r="W29" s="677">
        <f t="shared" si="14"/>
        <v>100</v>
      </c>
      <c r="X29" s="1394"/>
      <c r="Y29" s="3378"/>
      <c r="Z29" s="1393" t="str">
        <f t="shared" si="15"/>
        <v>有无电梯</v>
      </c>
      <c r="AA29" s="1393">
        <f t="shared" si="3"/>
        <v>1</v>
      </c>
      <c r="AB29" s="1393">
        <f t="shared" si="4"/>
        <v>1</v>
      </c>
      <c r="AC29" s="1393">
        <f t="shared" si="5"/>
        <v>1</v>
      </c>
    </row>
    <row r="30" spans="1:29" ht="15">
      <c r="A30" s="417"/>
      <c r="B30" s="370" t="s">
        <v>2314</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4"/>
      <c r="M30" s="2649"/>
      <c r="N30" s="2649"/>
      <c r="O30" s="2704"/>
      <c r="P30" s="3378"/>
      <c r="Q30" s="1392" t="str">
        <f t="shared" si="11"/>
        <v>建筑面积</v>
      </c>
      <c r="R30" s="676" t="s">
        <v>17</v>
      </c>
      <c r="S30" s="677" t="e">
        <f t="shared" si="12"/>
        <v>#N/A</v>
      </c>
      <c r="T30" s="676" t="s">
        <v>17</v>
      </c>
      <c r="U30" s="677" t="e">
        <f t="shared" si="13"/>
        <v>#N/A</v>
      </c>
      <c r="V30" s="676" t="s">
        <v>17</v>
      </c>
      <c r="W30" s="677" t="e">
        <f t="shared" si="14"/>
        <v>#N/A</v>
      </c>
      <c r="X30" s="1394"/>
      <c r="Y30" s="3378"/>
      <c r="Z30" s="1393" t="str">
        <f t="shared" si="15"/>
        <v>建筑面积</v>
      </c>
      <c r="AA30" s="1393" t="e">
        <f t="shared" si="3"/>
        <v>#N/A</v>
      </c>
      <c r="AB30" s="1393" t="e">
        <f t="shared" si="4"/>
        <v>#N/A</v>
      </c>
      <c r="AC30" s="1393" t="e">
        <f t="shared" si="5"/>
        <v>#N/A</v>
      </c>
    </row>
    <row r="31" spans="1:29" s="107" customFormat="1" ht="15">
      <c r="A31" s="418"/>
      <c r="B31" s="370" t="s">
        <v>2315</v>
      </c>
      <c r="C31" s="586"/>
      <c r="D31" s="124">
        <v>100</v>
      </c>
      <c r="E31" s="586"/>
      <c r="F31" s="408">
        <f>SUMIF(89:89,E31,90:90)-SUMIF(89:89,C31,90:90)+100</f>
        <v>100</v>
      </c>
      <c r="G31" s="586"/>
      <c r="H31" s="382">
        <f>SUMIF(89:89,G31,90:90)-SUMIF(89:89,C31,90:90)+100</f>
        <v>100</v>
      </c>
      <c r="I31" s="586"/>
      <c r="J31" s="382">
        <f>SUMIF(89:89,I31,90:90)-SUMIF(89:89,C31,90:90)+100</f>
        <v>100</v>
      </c>
      <c r="K31" s="546"/>
      <c r="L31" s="2650"/>
      <c r="M31" s="2603"/>
      <c r="N31" s="2603"/>
      <c r="O31" s="2702"/>
      <c r="P31" s="3378"/>
      <c r="Q31" s="538" t="str">
        <f t="shared" si="11"/>
        <v>是否封闭</v>
      </c>
      <c r="R31" s="673" t="s">
        <v>17</v>
      </c>
      <c r="S31" s="674">
        <f t="shared" si="12"/>
        <v>100</v>
      </c>
      <c r="T31" s="673" t="s">
        <v>17</v>
      </c>
      <c r="U31" s="674">
        <f t="shared" si="13"/>
        <v>100</v>
      </c>
      <c r="V31" s="673" t="s">
        <v>17</v>
      </c>
      <c r="W31" s="674">
        <f t="shared" si="14"/>
        <v>100</v>
      </c>
      <c r="X31" s="675"/>
      <c r="Y31" s="3378"/>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4"/>
      <c r="M32" s="2649"/>
      <c r="N32" s="2649"/>
      <c r="O32" s="2704"/>
      <c r="P32" s="3378" t="s">
        <v>2141</v>
      </c>
      <c r="Q32" s="1392">
        <f t="shared" si="11"/>
        <v>111</v>
      </c>
      <c r="R32" s="676" t="s">
        <v>17</v>
      </c>
      <c r="S32" s="677">
        <f t="shared" si="12"/>
        <v>100</v>
      </c>
      <c r="T32" s="676" t="s">
        <v>17</v>
      </c>
      <c r="U32" s="677">
        <f t="shared" si="13"/>
        <v>100</v>
      </c>
      <c r="V32" s="676" t="s">
        <v>17</v>
      </c>
      <c r="W32" s="677">
        <f t="shared" si="14"/>
        <v>100</v>
      </c>
      <c r="X32" s="1394"/>
      <c r="Y32" s="3378" t="s">
        <v>2141</v>
      </c>
      <c r="Z32" s="1393">
        <f t="shared" si="15"/>
        <v>111</v>
      </c>
      <c r="AA32" s="1393">
        <f t="shared" si="3"/>
        <v>1</v>
      </c>
      <c r="AB32" s="1393">
        <f t="shared" si="4"/>
        <v>1</v>
      </c>
      <c r="AC32" s="1393">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4"/>
      <c r="M33" s="2649"/>
      <c r="N33" s="2649"/>
      <c r="O33" s="2704"/>
      <c r="P33" s="3378"/>
      <c r="Q33" s="1392">
        <f t="shared" si="11"/>
        <v>111</v>
      </c>
      <c r="R33" s="676" t="s">
        <v>17</v>
      </c>
      <c r="S33" s="677">
        <f t="shared" si="12"/>
        <v>100</v>
      </c>
      <c r="T33" s="676" t="s">
        <v>17</v>
      </c>
      <c r="U33" s="677">
        <f t="shared" si="13"/>
        <v>100</v>
      </c>
      <c r="V33" s="676" t="s">
        <v>17</v>
      </c>
      <c r="W33" s="677">
        <f t="shared" si="14"/>
        <v>100</v>
      </c>
      <c r="X33" s="1394"/>
      <c r="Y33" s="3378"/>
      <c r="Z33" s="1393">
        <f t="shared" si="15"/>
        <v>111</v>
      </c>
      <c r="AA33" s="1393">
        <f t="shared" si="3"/>
        <v>1</v>
      </c>
      <c r="AB33" s="1393">
        <f t="shared" si="4"/>
        <v>1</v>
      </c>
      <c r="AC33" s="1393">
        <f t="shared" si="5"/>
        <v>1</v>
      </c>
    </row>
    <row r="34" spans="1:30" ht="15.75" thickBot="1">
      <c r="A34" s="423"/>
      <c r="B34" s="1879">
        <v>111</v>
      </c>
      <c r="C34" s="384"/>
      <c r="D34" s="385">
        <v>100</v>
      </c>
      <c r="E34" s="1953"/>
      <c r="F34" s="386">
        <f>SUMIF(95:95,E34,96:96)-SUMIF(95:95,C34,96:96)+100</f>
        <v>100</v>
      </c>
      <c r="G34" s="1953"/>
      <c r="H34" s="385">
        <f>SUMIF(95:95,G34,96:96)-SUMIF(95:95,C34,96:96)+100</f>
        <v>100</v>
      </c>
      <c r="I34" s="1953"/>
      <c r="J34" s="385">
        <f>SUMIF(95:95,I34,96:96)-SUMIF(95:95,C34,96:96)+100</f>
        <v>100</v>
      </c>
      <c r="K34" s="547"/>
      <c r="L34" s="2654"/>
      <c r="M34" s="2649"/>
      <c r="N34" s="2649"/>
      <c r="O34" s="2704"/>
      <c r="P34" s="3378"/>
      <c r="Q34" s="1392">
        <f t="shared" si="11"/>
        <v>111</v>
      </c>
      <c r="R34" s="676" t="s">
        <v>17</v>
      </c>
      <c r="S34" s="677">
        <f t="shared" si="12"/>
        <v>100</v>
      </c>
      <c r="T34" s="676" t="s">
        <v>17</v>
      </c>
      <c r="U34" s="677">
        <f t="shared" si="13"/>
        <v>100</v>
      </c>
      <c r="V34" s="676" t="s">
        <v>17</v>
      </c>
      <c r="W34" s="677">
        <f t="shared" si="14"/>
        <v>100</v>
      </c>
      <c r="X34" s="1394"/>
      <c r="Y34" s="3378"/>
      <c r="Z34" s="1393">
        <f t="shared" si="15"/>
        <v>111</v>
      </c>
      <c r="AA34" s="1393">
        <f t="shared" si="3"/>
        <v>1</v>
      </c>
      <c r="AB34" s="1393">
        <f t="shared" si="4"/>
        <v>1</v>
      </c>
      <c r="AC34" s="1393">
        <f t="shared" si="5"/>
        <v>1</v>
      </c>
    </row>
    <row r="35" spans="1:30" ht="15">
      <c r="A35" s="424" t="s">
        <v>2153</v>
      </c>
      <c r="B35" s="425"/>
      <c r="C35" s="1191" t="s">
        <v>1</v>
      </c>
      <c r="D35" s="426"/>
      <c r="E35" s="427"/>
      <c r="F35" s="428"/>
      <c r="G35" s="429"/>
      <c r="H35" s="430"/>
      <c r="I35" s="427"/>
      <c r="J35" s="430"/>
      <c r="K35" s="683"/>
      <c r="L35" s="2656"/>
      <c r="M35" s="2649"/>
      <c r="N35" s="2649"/>
      <c r="O35" s="2649"/>
      <c r="P35" s="3360" t="str">
        <f>A35</f>
        <v>成交单价（元/平方米）</v>
      </c>
      <c r="Q35" s="3360"/>
      <c r="R35" s="3373">
        <f>E35</f>
        <v>0</v>
      </c>
      <c r="S35" s="3373"/>
      <c r="T35" s="3373">
        <f>G35</f>
        <v>0</v>
      </c>
      <c r="U35" s="3373"/>
      <c r="V35" s="3373">
        <f>I35</f>
        <v>0</v>
      </c>
      <c r="W35" s="3373"/>
      <c r="X35" s="393"/>
      <c r="Y35" s="682"/>
      <c r="Z35" s="393"/>
      <c r="AA35" s="393"/>
      <c r="AB35" s="393"/>
      <c r="AC35" s="393"/>
    </row>
    <row r="36" spans="1:30" ht="15.75" thickBot="1">
      <c r="A36" s="431" t="s">
        <v>2245</v>
      </c>
      <c r="B36" s="432"/>
      <c r="C36" s="1192" t="e">
        <f>R37</f>
        <v>#DIV/0!</v>
      </c>
      <c r="D36" s="2301" t="s">
        <v>2634</v>
      </c>
      <c r="E36" s="1193" t="e">
        <f>R36</f>
        <v>#DIV/0!</v>
      </c>
      <c r="F36" s="2302"/>
      <c r="G36" s="1192" t="e">
        <f>T36</f>
        <v>#DIV/0!</v>
      </c>
      <c r="H36" s="2302"/>
      <c r="I36" s="1193" t="e">
        <f>V36</f>
        <v>#DIV/0!</v>
      </c>
      <c r="J36" s="2302"/>
      <c r="K36" s="2304">
        <f>F36+H36+J36</f>
        <v>0</v>
      </c>
      <c r="L36" s="2656"/>
      <c r="M36" s="2649"/>
      <c r="N36" s="2649"/>
      <c r="O36" s="2649"/>
      <c r="P36" s="3360" t="str">
        <f>A36</f>
        <v>比较价值（元/平方米）</v>
      </c>
      <c r="Q36" s="3360"/>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93"/>
      <c r="Y36" s="393"/>
      <c r="Z36" s="393"/>
      <c r="AA36" s="393"/>
      <c r="AB36" s="393"/>
      <c r="AC36" s="393"/>
    </row>
    <row r="37" spans="1:30" ht="15.75" thickBot="1">
      <c r="A37" s="435" t="s">
        <v>2246</v>
      </c>
      <c r="B37" s="436"/>
      <c r="C37" s="357" t="e">
        <f>R37</f>
        <v>#DIV/0!</v>
      </c>
      <c r="D37" s="357"/>
      <c r="E37" s="357"/>
      <c r="F37" s="357"/>
      <c r="G37" s="357"/>
      <c r="H37" s="357"/>
      <c r="I37" s="357"/>
      <c r="J37" s="357"/>
      <c r="K37" s="684"/>
      <c r="L37" s="2656"/>
      <c r="M37" s="2649"/>
      <c r="N37" s="2649"/>
      <c r="O37" s="2649"/>
      <c r="P37" s="3380" t="str">
        <f>A37</f>
        <v>估价对象XX用房的比较价值（楼面单价，元/平方米）</v>
      </c>
      <c r="Q37" s="3381"/>
      <c r="R37" s="3433" t="e">
        <f>IF(F1="售价",ROUND(IF(D36="简单平均",AVERAGE(R36:W36),R36*F36+T36*H36+V36*J36),0),ROUND(IF(D36="简单平均",AVERAGE(R36:V36),R36*F36+T36*H36+V36*J36),1))</f>
        <v>#DIV/0!</v>
      </c>
      <c r="S37" s="3433"/>
      <c r="T37" s="3433"/>
      <c r="U37" s="3433"/>
      <c r="V37" s="3433"/>
      <c r="W37" s="3433"/>
      <c r="X37" s="393"/>
      <c r="Y37" s="393"/>
      <c r="Z37" s="393"/>
      <c r="AA37" s="393"/>
      <c r="AB37" s="393"/>
      <c r="AC37" s="393"/>
    </row>
    <row r="38" spans="1:30">
      <c r="A38" s="2649"/>
      <c r="B38" s="2649"/>
      <c r="C38" s="2649"/>
      <c r="D38" s="2649"/>
      <c r="E38" s="2649"/>
      <c r="F38" s="2649"/>
      <c r="G38" s="2660"/>
      <c r="H38" s="2649"/>
      <c r="I38" s="2649"/>
      <c r="J38" s="2649"/>
      <c r="K38" s="2661"/>
      <c r="L38" s="2657"/>
      <c r="M38" s="2649"/>
      <c r="N38" s="2649"/>
      <c r="O38" s="2649"/>
      <c r="P38" s="2649"/>
      <c r="Q38" s="2649"/>
      <c r="R38" s="2649"/>
      <c r="S38" s="2649"/>
      <c r="T38" s="2649"/>
      <c r="U38" s="2649"/>
      <c r="V38" s="2649"/>
      <c r="W38" s="2649"/>
      <c r="X38" s="2649"/>
      <c r="Y38" s="2649"/>
      <c r="Z38" s="2649"/>
      <c r="AA38" s="2649"/>
      <c r="AB38" s="2649"/>
      <c r="AC38" s="2649"/>
      <c r="AD38" s="2649"/>
    </row>
    <row r="39" spans="1:30">
      <c r="A39" s="2649"/>
      <c r="B39" s="2649"/>
      <c r="C39" s="2649"/>
      <c r="D39" s="2649"/>
      <c r="E39" s="2649"/>
      <c r="F39" s="2649"/>
      <c r="G39" s="2649"/>
      <c r="H39" s="2649"/>
      <c r="I39" s="2649"/>
      <c r="J39" s="2649"/>
      <c r="K39" s="2661"/>
      <c r="L39" s="2657"/>
      <c r="M39" s="2649"/>
      <c r="N39" s="2649"/>
      <c r="O39" s="2649"/>
      <c r="P39" s="2649"/>
      <c r="Q39" s="2649"/>
      <c r="R39" s="2649"/>
      <c r="S39" s="2649"/>
      <c r="T39" s="2649"/>
      <c r="U39" s="2649"/>
      <c r="V39" s="2649"/>
      <c r="W39" s="2649"/>
      <c r="X39" s="2649"/>
      <c r="Y39" s="2649"/>
      <c r="Z39" s="2649"/>
      <c r="AA39" s="2649"/>
      <c r="AB39" s="2649"/>
      <c r="AC39" s="2649"/>
      <c r="AD39" s="2649"/>
    </row>
    <row r="40" spans="1:30" ht="13.5" customHeight="1">
      <c r="A40" s="2649"/>
      <c r="B40" s="2649"/>
      <c r="C40" s="440" t="s">
        <v>2247</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1"/>
      <c r="L40" s="2657"/>
      <c r="M40" s="2649"/>
      <c r="N40" s="2649"/>
      <c r="O40" s="2649"/>
      <c r="P40" s="2649"/>
      <c r="Q40" s="2649"/>
      <c r="R40" s="2649"/>
      <c r="S40" s="2649"/>
      <c r="T40" s="2649"/>
      <c r="U40" s="2649"/>
      <c r="V40" s="2649"/>
      <c r="W40" s="2649"/>
      <c r="X40" s="2649"/>
      <c r="Y40" s="2649"/>
      <c r="Z40" s="2649"/>
      <c r="AA40" s="2649"/>
      <c r="AB40" s="2649"/>
      <c r="AC40" s="2649"/>
      <c r="AD40" s="2649"/>
    </row>
    <row r="41" spans="1:30" ht="13.5" customHeight="1">
      <c r="A41" s="2649"/>
      <c r="B41" s="2649"/>
      <c r="C41" s="440" t="s">
        <v>2248</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1"/>
      <c r="L41" s="2657"/>
      <c r="M41" s="2649"/>
      <c r="N41" s="2649"/>
      <c r="O41" s="2649"/>
      <c r="P41" s="2649"/>
      <c r="Q41" s="2649"/>
      <c r="R41" s="2649"/>
      <c r="S41" s="2649"/>
      <c r="T41" s="2649"/>
      <c r="U41" s="2649"/>
      <c r="V41" s="2649"/>
      <c r="W41" s="2649"/>
      <c r="X41" s="2649"/>
      <c r="Y41" s="2649"/>
      <c r="Z41" s="2649"/>
      <c r="AA41" s="2649"/>
      <c r="AB41" s="2649"/>
      <c r="AC41" s="2649"/>
      <c r="AD41" s="2649"/>
    </row>
    <row r="42" spans="1:30" s="445" customFormat="1" ht="13.5" customHeight="1">
      <c r="A42" s="2659"/>
      <c r="B42" s="2659"/>
      <c r="C42" s="440" t="s">
        <v>2249</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4"/>
      <c r="L42" s="2658"/>
      <c r="M42" s="2659"/>
      <c r="N42" s="2659"/>
      <c r="O42" s="2659"/>
      <c r="P42" s="2659"/>
      <c r="Q42" s="2659"/>
      <c r="R42" s="2659"/>
      <c r="S42" s="2659"/>
      <c r="T42" s="2659"/>
      <c r="U42" s="2659"/>
      <c r="V42" s="2659"/>
      <c r="W42" s="2659"/>
      <c r="X42" s="2659"/>
      <c r="Y42" s="2659"/>
      <c r="Z42" s="2659"/>
      <c r="AA42" s="2659"/>
      <c r="AB42" s="2659"/>
      <c r="AC42" s="2659"/>
      <c r="AD42" s="2659"/>
    </row>
    <row r="43" spans="1:30" s="445" customFormat="1">
      <c r="A43" s="2659"/>
      <c r="B43" s="2662"/>
      <c r="C43" s="2663"/>
      <c r="D43" s="2659"/>
      <c r="E43" s="2659"/>
      <c r="F43" s="2659"/>
      <c r="G43" s="2659"/>
      <c r="H43" s="2659"/>
      <c r="I43" s="2659"/>
      <c r="J43" s="2659"/>
      <c r="K43" s="2664"/>
      <c r="L43" s="2658"/>
      <c r="M43" s="2659"/>
      <c r="N43" s="2659"/>
      <c r="O43" s="2659"/>
      <c r="P43" s="2659"/>
      <c r="Q43" s="2659"/>
      <c r="R43" s="2659"/>
      <c r="S43" s="2659"/>
      <c r="T43" s="2659"/>
      <c r="U43" s="2659"/>
      <c r="V43" s="2659"/>
      <c r="W43" s="2659"/>
      <c r="X43" s="2659"/>
      <c r="Y43" s="2659"/>
      <c r="Z43" s="2659"/>
      <c r="AA43" s="2659"/>
      <c r="AB43" s="2659"/>
      <c r="AC43" s="2659"/>
      <c r="AD43" s="2659"/>
    </row>
    <row r="44" spans="1:30">
      <c r="A44" s="2649"/>
      <c r="B44" s="2662"/>
      <c r="C44" s="2663"/>
      <c r="D44" s="2649"/>
      <c r="E44" s="2649"/>
      <c r="F44" s="2649"/>
      <c r="G44" s="2649"/>
      <c r="H44" s="2649"/>
      <c r="I44" s="2649"/>
      <c r="J44" s="2649"/>
      <c r="K44" s="2661"/>
      <c r="L44" s="2657"/>
      <c r="M44" s="2649"/>
      <c r="N44" s="2649"/>
      <c r="O44" s="2649"/>
      <c r="P44" s="2649"/>
      <c r="Q44" s="2649"/>
      <c r="R44" s="2649"/>
      <c r="S44" s="2649"/>
      <c r="T44" s="2649"/>
      <c r="U44" s="2649"/>
      <c r="V44" s="2649"/>
      <c r="W44" s="2649"/>
      <c r="X44" s="2649"/>
      <c r="Y44" s="2649"/>
      <c r="Z44" s="2649"/>
      <c r="AA44" s="2649"/>
      <c r="AB44" s="2649"/>
      <c r="AC44" s="2649"/>
      <c r="AD44" s="2649"/>
    </row>
    <row r="45" spans="1:30" ht="21.75" thickBot="1">
      <c r="A45" s="667" t="s">
        <v>2250</v>
      </c>
      <c r="B45" s="393"/>
      <c r="C45" s="668"/>
      <c r="D45" s="668"/>
      <c r="E45" s="668"/>
      <c r="F45" s="669"/>
      <c r="G45" s="669"/>
      <c r="H45" s="668"/>
      <c r="I45" s="668"/>
      <c r="J45" s="668"/>
      <c r="K45" s="670"/>
      <c r="L45" s="671"/>
      <c r="M45" s="668"/>
      <c r="N45" s="2699"/>
      <c r="O45" s="2699"/>
      <c r="P45" s="2699"/>
      <c r="Q45" s="2670"/>
      <c r="R45" s="2649"/>
      <c r="S45" s="2649"/>
      <c r="T45" s="2649"/>
      <c r="U45" s="2649"/>
      <c r="V45" s="2649"/>
      <c r="W45" s="2649"/>
      <c r="X45" s="2649"/>
      <c r="Y45" s="2649"/>
      <c r="Z45" s="2649"/>
      <c r="AA45" s="2649"/>
      <c r="AB45" s="2649"/>
      <c r="AC45" s="2649"/>
      <c r="AD45" s="2649"/>
    </row>
    <row r="46" spans="1:30" s="450" customFormat="1" ht="15">
      <c r="A46" s="448" t="s">
        <v>2124</v>
      </c>
      <c r="B46" s="449"/>
      <c r="C46" s="1213" t="str">
        <f>YEAR(C7)&amp;"-"&amp;MONTH(C7)</f>
        <v>2022-11</v>
      </c>
      <c r="D46" s="1214">
        <f>EDATE(C46,-1)</f>
        <v>44835</v>
      </c>
      <c r="E46" s="1214">
        <f t="shared" ref="E46:O46" si="16">EDATE(D46,-1)</f>
        <v>44805</v>
      </c>
      <c r="F46" s="1214">
        <f t="shared" si="16"/>
        <v>44774</v>
      </c>
      <c r="G46" s="1214">
        <f t="shared" si="16"/>
        <v>44743</v>
      </c>
      <c r="H46" s="1214">
        <f t="shared" si="16"/>
        <v>44713</v>
      </c>
      <c r="I46" s="1214">
        <f t="shared" si="16"/>
        <v>44682</v>
      </c>
      <c r="J46" s="1214">
        <f t="shared" si="16"/>
        <v>44652</v>
      </c>
      <c r="K46" s="1214">
        <f t="shared" si="16"/>
        <v>44621</v>
      </c>
      <c r="L46" s="1214">
        <f t="shared" si="16"/>
        <v>44593</v>
      </c>
      <c r="M46" s="1214">
        <f t="shared" si="16"/>
        <v>44562</v>
      </c>
      <c r="N46" s="1214">
        <f t="shared" si="16"/>
        <v>44531</v>
      </c>
      <c r="O46" s="1214">
        <f t="shared" si="16"/>
        <v>44501</v>
      </c>
      <c r="P46" s="2672"/>
      <c r="Q46" s="2672"/>
      <c r="R46" s="2672"/>
      <c r="S46" s="2672"/>
      <c r="T46" s="2672"/>
      <c r="U46" s="2672"/>
      <c r="V46" s="2672"/>
      <c r="W46" s="2672"/>
      <c r="X46" s="2672"/>
      <c r="Y46" s="2672"/>
      <c r="Z46" s="2672"/>
      <c r="AA46" s="2672"/>
      <c r="AB46" s="2672"/>
      <c r="AC46" s="2672"/>
      <c r="AD46" s="2672"/>
    </row>
    <row r="47" spans="1:30" s="107" customFormat="1" ht="15">
      <c r="A47" s="451"/>
      <c r="B47" s="452"/>
      <c r="C47" s="1212">
        <v>100</v>
      </c>
      <c r="D47" s="454"/>
      <c r="E47" s="454"/>
      <c r="F47" s="454"/>
      <c r="G47" s="454"/>
      <c r="H47" s="454"/>
      <c r="I47" s="454"/>
      <c r="J47" s="454"/>
      <c r="K47" s="454"/>
      <c r="L47" s="454"/>
      <c r="M47" s="455"/>
      <c r="N47" s="454"/>
      <c r="O47" s="456"/>
      <c r="P47" s="2670"/>
      <c r="Q47" s="2603"/>
      <c r="R47" s="2603"/>
      <c r="S47" s="2603"/>
      <c r="T47" s="2603"/>
      <c r="U47" s="2603"/>
      <c r="V47" s="2603"/>
      <c r="W47" s="2603"/>
      <c r="X47" s="2603"/>
      <c r="Y47" s="2603"/>
      <c r="Z47" s="2603"/>
      <c r="AA47" s="2603"/>
      <c r="AB47" s="2603"/>
      <c r="AC47" s="2603"/>
      <c r="AD47" s="2603"/>
    </row>
    <row r="48" spans="1:30" s="107" customFormat="1" ht="15.75" thickBot="1">
      <c r="A48" s="457" t="s">
        <v>2161</v>
      </c>
      <c r="B48" s="458"/>
      <c r="C48" s="459"/>
      <c r="D48" s="460"/>
      <c r="E48" s="460"/>
      <c r="F48" s="460"/>
      <c r="G48" s="460"/>
      <c r="H48" s="460"/>
      <c r="I48" s="460"/>
      <c r="J48" s="460"/>
      <c r="K48" s="460"/>
      <c r="L48" s="460"/>
      <c r="M48" s="461"/>
      <c r="N48" s="460"/>
      <c r="O48" s="462"/>
      <c r="P48" s="2670"/>
      <c r="Q48" s="2670"/>
      <c r="R48" s="2603"/>
      <c r="S48" s="2603"/>
      <c r="T48" s="2603"/>
      <c r="U48" s="2603"/>
      <c r="V48" s="2603"/>
      <c r="W48" s="2603"/>
      <c r="X48" s="2603"/>
      <c r="Y48" s="2603"/>
      <c r="Z48" s="2603"/>
      <c r="AA48" s="2603"/>
      <c r="AB48" s="2603"/>
      <c r="AC48" s="2603"/>
      <c r="AD48" s="2603"/>
    </row>
    <row r="49" spans="1:30" s="107" customFormat="1" ht="15">
      <c r="A49" s="463" t="s">
        <v>2126</v>
      </c>
      <c r="B49" s="452"/>
      <c r="C49" s="464" t="s">
        <v>2228</v>
      </c>
      <c r="D49" s="34"/>
      <c r="E49" s="34"/>
      <c r="F49" s="34"/>
      <c r="G49" s="34"/>
      <c r="H49" s="34"/>
      <c r="I49" s="34"/>
      <c r="J49" s="34"/>
      <c r="K49" s="34"/>
      <c r="L49" s="465"/>
      <c r="M49" s="466"/>
      <c r="N49" s="2682"/>
      <c r="O49" s="2682"/>
      <c r="P49" s="2706"/>
      <c r="Q49" s="2670"/>
      <c r="R49" s="2603"/>
      <c r="S49" s="2603"/>
      <c r="T49" s="2603"/>
      <c r="U49" s="2603"/>
      <c r="V49" s="2603"/>
      <c r="W49" s="2603"/>
      <c r="X49" s="2603"/>
      <c r="Y49" s="2603"/>
      <c r="Z49" s="2603"/>
      <c r="AA49" s="2603"/>
      <c r="AB49" s="2603"/>
      <c r="AC49" s="2603"/>
      <c r="AD49" s="2603"/>
    </row>
    <row r="50" spans="1:30" s="107" customFormat="1" ht="15.75" thickBot="1">
      <c r="A50" s="463"/>
      <c r="B50" s="452"/>
      <c r="C50" s="571">
        <v>100</v>
      </c>
      <c r="D50" s="454"/>
      <c r="E50" s="454"/>
      <c r="F50" s="454"/>
      <c r="G50" s="454"/>
      <c r="H50" s="454"/>
      <c r="I50" s="454"/>
      <c r="J50" s="454"/>
      <c r="K50" s="454"/>
      <c r="L50" s="454"/>
      <c r="M50" s="456"/>
      <c r="N50" s="2682"/>
      <c r="O50" s="2682"/>
      <c r="P50" s="2670"/>
      <c r="Q50" s="2670"/>
      <c r="R50" s="2603"/>
      <c r="S50" s="2603"/>
      <c r="T50" s="2603"/>
      <c r="U50" s="2603"/>
      <c r="V50" s="2603"/>
      <c r="W50" s="2603"/>
      <c r="X50" s="2603"/>
      <c r="Y50" s="2603"/>
      <c r="Z50" s="2603"/>
      <c r="AA50" s="2603"/>
      <c r="AB50" s="2603"/>
      <c r="AC50" s="2603"/>
      <c r="AD50" s="2603"/>
    </row>
    <row r="51" spans="1:30">
      <c r="A51" s="387" t="s">
        <v>2164</v>
      </c>
      <c r="B51" s="468" t="s">
        <v>2130</v>
      </c>
      <c r="C51" s="469">
        <f>C9</f>
        <v>0</v>
      </c>
      <c r="D51" s="470"/>
      <c r="E51" s="470"/>
      <c r="F51" s="470"/>
      <c r="G51" s="470"/>
      <c r="H51" s="470"/>
      <c r="I51" s="470"/>
      <c r="J51" s="470"/>
      <c r="K51" s="471"/>
      <c r="L51" s="472"/>
      <c r="M51" s="473"/>
      <c r="N51" s="2683"/>
      <c r="O51" s="2683"/>
      <c r="P51" s="2682"/>
      <c r="Q51" s="2670"/>
      <c r="R51" s="2649"/>
      <c r="S51" s="2649"/>
      <c r="T51" s="2649"/>
      <c r="U51" s="2649"/>
      <c r="V51" s="2649"/>
      <c r="W51" s="2649"/>
      <c r="X51" s="2649"/>
      <c r="Y51" s="2649"/>
      <c r="Z51" s="2649"/>
      <c r="AA51" s="2649"/>
      <c r="AB51" s="2649"/>
      <c r="AC51" s="2649"/>
      <c r="AD51" s="2649"/>
    </row>
    <row r="52" spans="1:30" ht="15.75" thickBot="1">
      <c r="A52" s="375"/>
      <c r="B52" s="474"/>
      <c r="C52" s="475">
        <v>100</v>
      </c>
      <c r="D52" s="475"/>
      <c r="E52" s="475"/>
      <c r="F52" s="475"/>
      <c r="G52" s="475"/>
      <c r="H52" s="475"/>
      <c r="I52" s="475"/>
      <c r="J52" s="475"/>
      <c r="K52" s="475"/>
      <c r="L52" s="475"/>
      <c r="M52" s="476"/>
      <c r="N52" s="2684"/>
      <c r="O52" s="2684"/>
      <c r="P52" s="2682"/>
      <c r="Q52" s="2670"/>
      <c r="R52" s="2649"/>
      <c r="S52" s="2649"/>
      <c r="T52" s="2649"/>
      <c r="U52" s="2649"/>
      <c r="V52" s="2649"/>
      <c r="W52" s="2649"/>
      <c r="X52" s="2649"/>
      <c r="Y52" s="2649"/>
      <c r="Z52" s="2649"/>
      <c r="AA52" s="2649"/>
      <c r="AB52" s="2649"/>
      <c r="AC52" s="2649"/>
      <c r="AD52" s="2649"/>
    </row>
    <row r="53" spans="1:30" ht="27.75" thickTop="1">
      <c r="A53" s="375"/>
      <c r="B53" s="477" t="s">
        <v>2133</v>
      </c>
      <c r="C53" s="478" t="s">
        <v>2165</v>
      </c>
      <c r="D53" s="478" t="s">
        <v>2166</v>
      </c>
      <c r="E53" s="478" t="s">
        <v>2167</v>
      </c>
      <c r="F53" s="478" t="s">
        <v>2168</v>
      </c>
      <c r="G53" s="478" t="s">
        <v>2169</v>
      </c>
      <c r="H53" s="478" t="s">
        <v>2170</v>
      </c>
      <c r="I53" s="478" t="s">
        <v>2171</v>
      </c>
      <c r="J53" s="478"/>
      <c r="K53" s="479"/>
      <c r="L53" s="480"/>
      <c r="M53" s="481"/>
      <c r="N53" s="2683"/>
      <c r="O53" s="2683"/>
      <c r="P53" s="2682"/>
      <c r="Q53" s="2670"/>
      <c r="R53" s="2649"/>
      <c r="S53" s="2649"/>
      <c r="T53" s="2649"/>
      <c r="U53" s="2649"/>
      <c r="V53" s="2649"/>
      <c r="W53" s="2649"/>
      <c r="X53" s="2649"/>
      <c r="Y53" s="2649"/>
      <c r="Z53" s="2649"/>
      <c r="AA53" s="2649"/>
      <c r="AB53" s="2649"/>
      <c r="AC53" s="2649"/>
      <c r="AD53" s="2649"/>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84"/>
      <c r="O54" s="2684"/>
      <c r="P54" s="2682"/>
      <c r="Q54" s="2670"/>
      <c r="R54" s="2649"/>
      <c r="S54" s="2649"/>
      <c r="T54" s="2649"/>
      <c r="U54" s="2649"/>
      <c r="V54" s="2649"/>
      <c r="W54" s="2649"/>
      <c r="X54" s="2649"/>
      <c r="Y54" s="2649"/>
      <c r="Z54" s="2649"/>
      <c r="AA54" s="2649"/>
      <c r="AB54" s="2649"/>
      <c r="AC54" s="2649"/>
      <c r="AD54" s="2649"/>
    </row>
    <row r="55" spans="1:30" ht="15.75" thickTop="1">
      <c r="A55" s="375"/>
      <c r="B55" s="589">
        <f>B11</f>
        <v>111</v>
      </c>
      <c r="C55" s="488"/>
      <c r="D55" s="488"/>
      <c r="E55" s="488"/>
      <c r="F55" s="488"/>
      <c r="G55" s="488"/>
      <c r="H55" s="488"/>
      <c r="I55" s="488"/>
      <c r="J55" s="488"/>
      <c r="K55" s="489"/>
      <c r="L55" s="490"/>
      <c r="M55" s="491"/>
      <c r="N55" s="2683"/>
      <c r="O55" s="2683"/>
      <c r="P55" s="2682"/>
      <c r="Q55" s="2670"/>
      <c r="R55" s="2649"/>
      <c r="S55" s="2649"/>
      <c r="T55" s="2649"/>
      <c r="U55" s="2649"/>
      <c r="V55" s="2649"/>
      <c r="W55" s="2649"/>
      <c r="X55" s="2649"/>
      <c r="Y55" s="2649"/>
      <c r="Z55" s="2649"/>
      <c r="AA55" s="2649"/>
      <c r="AB55" s="2649"/>
      <c r="AC55" s="2649"/>
      <c r="AD55" s="2649"/>
    </row>
    <row r="56" spans="1:30" ht="15.75" thickBot="1">
      <c r="A56" s="375"/>
      <c r="B56" s="474"/>
      <c r="C56" s="499"/>
      <c r="D56" s="475"/>
      <c r="E56" s="475"/>
      <c r="F56" s="475"/>
      <c r="G56" s="475"/>
      <c r="H56" s="475"/>
      <c r="I56" s="475"/>
      <c r="J56" s="475"/>
      <c r="K56" s="475"/>
      <c r="L56" s="475"/>
      <c r="M56" s="476"/>
      <c r="N56" s="2684"/>
      <c r="O56" s="2684"/>
      <c r="P56" s="2682"/>
      <c r="Q56" s="2670"/>
      <c r="R56" s="2649"/>
      <c r="S56" s="2649"/>
      <c r="T56" s="2649"/>
      <c r="U56" s="2649"/>
      <c r="V56" s="2649"/>
      <c r="W56" s="2649"/>
      <c r="X56" s="2649"/>
      <c r="Y56" s="2649"/>
      <c r="Z56" s="2649"/>
      <c r="AA56" s="2649"/>
      <c r="AB56" s="2649"/>
      <c r="AC56" s="2649"/>
      <c r="AD56" s="2649"/>
    </row>
    <row r="57" spans="1:30" s="416" customFormat="1" ht="15.75" thickTop="1">
      <c r="A57" s="492"/>
      <c r="B57" s="477">
        <f>B12</f>
        <v>111</v>
      </c>
      <c r="C57" s="488"/>
      <c r="D57" s="488"/>
      <c r="E57" s="488"/>
      <c r="F57" s="488"/>
      <c r="G57" s="493"/>
      <c r="H57" s="494"/>
      <c r="I57" s="494"/>
      <c r="J57" s="494"/>
      <c r="K57" s="494"/>
      <c r="L57" s="495"/>
      <c r="M57" s="496"/>
      <c r="N57" s="2685"/>
      <c r="O57" s="2685"/>
      <c r="P57" s="2685"/>
      <c r="Q57" s="2677"/>
      <c r="R57" s="2655"/>
      <c r="S57" s="2655"/>
      <c r="T57" s="2655"/>
      <c r="U57" s="2655"/>
      <c r="V57" s="2655"/>
      <c r="W57" s="2655"/>
      <c r="X57" s="2655"/>
      <c r="Y57" s="2655"/>
      <c r="Z57" s="2655"/>
      <c r="AA57" s="2655"/>
      <c r="AB57" s="2655"/>
      <c r="AC57" s="2655"/>
      <c r="AD57" s="2655"/>
    </row>
    <row r="58" spans="1:30" s="416" customFormat="1" ht="15.75" thickBot="1">
      <c r="A58" s="492"/>
      <c r="B58" s="482"/>
      <c r="C58" s="499"/>
      <c r="D58" s="475"/>
      <c r="E58" s="475"/>
      <c r="F58" s="475"/>
      <c r="G58" s="475"/>
      <c r="H58" s="475"/>
      <c r="I58" s="475"/>
      <c r="J58" s="475"/>
      <c r="K58" s="475"/>
      <c r="L58" s="475"/>
      <c r="M58" s="476"/>
      <c r="N58" s="2684"/>
      <c r="O58" s="2684"/>
      <c r="P58" s="2685"/>
      <c r="Q58" s="2677"/>
      <c r="R58" s="2655"/>
      <c r="S58" s="2655"/>
      <c r="T58" s="2655"/>
      <c r="U58" s="2655"/>
      <c r="V58" s="2655"/>
      <c r="W58" s="2655"/>
      <c r="X58" s="2655"/>
      <c r="Y58" s="2655"/>
      <c r="Z58" s="2655"/>
      <c r="AA58" s="2655"/>
      <c r="AB58" s="2655"/>
      <c r="AC58" s="2655"/>
      <c r="AD58" s="2655"/>
    </row>
    <row r="59" spans="1:30" s="416" customFormat="1" ht="15.75" thickTop="1">
      <c r="A59" s="492"/>
      <c r="B59" s="477">
        <f>B13</f>
        <v>111</v>
      </c>
      <c r="C59" s="488"/>
      <c r="D59" s="488"/>
      <c r="E59" s="488"/>
      <c r="F59" s="488"/>
      <c r="G59" s="493"/>
      <c r="H59" s="494"/>
      <c r="I59" s="494"/>
      <c r="J59" s="494"/>
      <c r="K59" s="494"/>
      <c r="L59" s="495"/>
      <c r="M59" s="496"/>
      <c r="N59" s="2685"/>
      <c r="O59" s="2685"/>
      <c r="P59" s="2655"/>
      <c r="Q59" s="2679"/>
      <c r="R59" s="2655"/>
      <c r="S59" s="2655"/>
      <c r="T59" s="2655"/>
      <c r="U59" s="2655"/>
      <c r="V59" s="2655"/>
      <c r="W59" s="2655"/>
      <c r="X59" s="2655"/>
      <c r="Y59" s="2655"/>
      <c r="Z59" s="2655"/>
      <c r="AA59" s="2655"/>
      <c r="AB59" s="2655"/>
      <c r="AC59" s="2655"/>
      <c r="AD59" s="2655"/>
    </row>
    <row r="60" spans="1:30" s="416" customFormat="1" ht="15.75" thickBot="1">
      <c r="A60" s="492"/>
      <c r="B60" s="482"/>
      <c r="C60" s="499"/>
      <c r="D60" s="499"/>
      <c r="E60" s="499"/>
      <c r="F60" s="499"/>
      <c r="G60" s="499"/>
      <c r="H60" s="501"/>
      <c r="I60" s="501"/>
      <c r="J60" s="501"/>
      <c r="K60" s="501"/>
      <c r="L60" s="501"/>
      <c r="M60" s="502"/>
      <c r="N60" s="2685"/>
      <c r="O60" s="2685"/>
      <c r="P60" s="2685"/>
      <c r="Q60" s="2677"/>
      <c r="R60" s="2655"/>
      <c r="S60" s="2655"/>
      <c r="T60" s="2655"/>
      <c r="U60" s="2655"/>
      <c r="V60" s="2655"/>
      <c r="W60" s="2655"/>
      <c r="X60" s="2655"/>
      <c r="Y60" s="2655"/>
      <c r="Z60" s="2655"/>
      <c r="AA60" s="2655"/>
      <c r="AB60" s="2655"/>
      <c r="AC60" s="2655"/>
      <c r="AD60" s="2655"/>
    </row>
    <row r="61" spans="1:30" ht="15" thickTop="1">
      <c r="A61" s="387" t="s">
        <v>2135</v>
      </c>
      <c r="B61" s="468" t="s">
        <v>2178</v>
      </c>
      <c r="C61" s="512" t="s">
        <v>2173</v>
      </c>
      <c r="D61" s="512" t="s">
        <v>2174</v>
      </c>
      <c r="E61" s="512" t="s">
        <v>2175</v>
      </c>
      <c r="F61" s="512" t="s">
        <v>2176</v>
      </c>
      <c r="G61" s="512" t="s">
        <v>2177</v>
      </c>
      <c r="H61" s="469"/>
      <c r="I61" s="469"/>
      <c r="J61" s="469"/>
      <c r="K61" s="513"/>
      <c r="L61" s="514"/>
      <c r="M61" s="515"/>
      <c r="N61" s="2683"/>
      <c r="O61" s="2683"/>
      <c r="P61" s="2707"/>
      <c r="Q61" s="2670"/>
      <c r="R61" s="2649"/>
      <c r="S61" s="2649"/>
      <c r="T61" s="2649"/>
      <c r="U61" s="2649"/>
      <c r="V61" s="2649"/>
      <c r="W61" s="2649"/>
      <c r="X61" s="2649"/>
      <c r="Y61" s="2649"/>
      <c r="Z61" s="2649"/>
      <c r="AA61" s="2649"/>
      <c r="AB61" s="2649"/>
      <c r="AC61" s="2649"/>
      <c r="AD61" s="2649"/>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84"/>
      <c r="O62" s="2684"/>
      <c r="P62" s="2682"/>
      <c r="Q62" s="2670"/>
      <c r="R62" s="2649"/>
      <c r="S62" s="2649"/>
      <c r="T62" s="2649"/>
      <c r="U62" s="2649"/>
      <c r="V62" s="2649"/>
      <c r="W62" s="2649"/>
      <c r="X62" s="2649"/>
      <c r="Y62" s="2649"/>
      <c r="Z62" s="2649"/>
      <c r="AA62" s="2649"/>
      <c r="AB62" s="2649"/>
      <c r="AC62" s="2649"/>
      <c r="AD62" s="2649"/>
    </row>
    <row r="63" spans="1:30" ht="27.75" thickTop="1">
      <c r="A63" s="375"/>
      <c r="B63" s="477" t="s">
        <v>2316</v>
      </c>
      <c r="C63" s="517" t="s">
        <v>2173</v>
      </c>
      <c r="D63" s="517" t="s">
        <v>2174</v>
      </c>
      <c r="E63" s="517" t="s">
        <v>2175</v>
      </c>
      <c r="F63" s="517" t="s">
        <v>2176</v>
      </c>
      <c r="G63" s="517" t="s">
        <v>2177</v>
      </c>
      <c r="H63" s="478"/>
      <c r="I63" s="478"/>
      <c r="J63" s="478"/>
      <c r="K63" s="479"/>
      <c r="L63" s="480"/>
      <c r="M63" s="481"/>
      <c r="N63" s="2683"/>
      <c r="O63" s="2683"/>
      <c r="P63" s="2682"/>
      <c r="Q63" s="2670"/>
      <c r="R63" s="2649"/>
      <c r="S63" s="2649"/>
      <c r="T63" s="2649"/>
      <c r="U63" s="2649"/>
      <c r="V63" s="2649"/>
      <c r="W63" s="2649"/>
      <c r="X63" s="2649"/>
      <c r="Y63" s="2649"/>
      <c r="Z63" s="2649"/>
      <c r="AA63" s="2649"/>
      <c r="AB63" s="2649"/>
      <c r="AC63" s="2649"/>
      <c r="AD63" s="2649"/>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84"/>
      <c r="O64" s="2684"/>
      <c r="P64" s="2682"/>
      <c r="Q64" s="2670"/>
      <c r="R64" s="2649"/>
      <c r="S64" s="2649"/>
      <c r="T64" s="2649"/>
      <c r="U64" s="2649"/>
      <c r="V64" s="2649"/>
      <c r="W64" s="2649"/>
      <c r="X64" s="2649"/>
      <c r="Y64" s="2649"/>
      <c r="Z64" s="2649"/>
      <c r="AA64" s="2649"/>
      <c r="AB64" s="2649"/>
      <c r="AC64" s="2649"/>
      <c r="AD64" s="2649"/>
    </row>
    <row r="65" spans="1:30" ht="15.75" thickTop="1">
      <c r="A65" s="375"/>
      <c r="B65" s="485" t="s">
        <v>2265</v>
      </c>
      <c r="C65" s="589" t="s">
        <v>2251</v>
      </c>
      <c r="D65" s="589" t="s">
        <v>2252</v>
      </c>
      <c r="E65" s="589" t="s">
        <v>2253</v>
      </c>
      <c r="F65" s="589" t="s">
        <v>2254</v>
      </c>
      <c r="G65" s="589" t="s">
        <v>2255</v>
      </c>
      <c r="H65" s="478"/>
      <c r="I65" s="478"/>
      <c r="J65" s="478"/>
      <c r="K65" s="478"/>
      <c r="L65" s="478"/>
      <c r="M65" s="1173"/>
      <c r="N65" s="2684"/>
      <c r="O65" s="2684"/>
      <c r="P65" s="2682"/>
      <c r="Q65" s="2670"/>
      <c r="R65" s="2649"/>
      <c r="S65" s="2649"/>
      <c r="T65" s="2649"/>
      <c r="U65" s="2649"/>
      <c r="V65" s="2649"/>
      <c r="W65" s="2649"/>
      <c r="X65" s="2649"/>
      <c r="Y65" s="2649"/>
      <c r="Z65" s="2649"/>
      <c r="AA65" s="2649"/>
      <c r="AB65" s="2649"/>
      <c r="AC65" s="2649"/>
      <c r="AD65" s="2649"/>
    </row>
    <row r="66" spans="1:30" ht="15.75" thickBot="1">
      <c r="A66" s="375"/>
      <c r="B66" s="485"/>
      <c r="C66" s="483">
        <v>100</v>
      </c>
      <c r="D66" s="483">
        <f>C66-$K18</f>
        <v>100</v>
      </c>
      <c r="E66" s="483">
        <f>D66-$K18</f>
        <v>100</v>
      </c>
      <c r="F66" s="483">
        <f>E66-$K18</f>
        <v>100</v>
      </c>
      <c r="G66" s="483">
        <f>F66-$K18</f>
        <v>100</v>
      </c>
      <c r="H66" s="589"/>
      <c r="I66" s="589"/>
      <c r="J66" s="589"/>
      <c r="K66" s="589"/>
      <c r="L66" s="589"/>
      <c r="M66" s="397"/>
      <c r="N66" s="2684"/>
      <c r="O66" s="2684"/>
      <c r="P66" s="2682"/>
      <c r="Q66" s="2670"/>
      <c r="R66" s="2649"/>
      <c r="S66" s="2649"/>
      <c r="T66" s="2649"/>
      <c r="U66" s="2649"/>
      <c r="V66" s="2649"/>
      <c r="W66" s="2649"/>
      <c r="X66" s="2649"/>
      <c r="Y66" s="2649"/>
      <c r="Z66" s="2649"/>
      <c r="AA66" s="2649"/>
      <c r="AB66" s="2649"/>
      <c r="AC66" s="2649"/>
      <c r="AD66" s="2649"/>
    </row>
    <row r="67" spans="1:30" ht="15.75" thickTop="1">
      <c r="A67" s="375"/>
      <c r="B67" s="477" t="s">
        <v>2185</v>
      </c>
      <c r="C67" s="517" t="s">
        <v>2173</v>
      </c>
      <c r="D67" s="517" t="s">
        <v>2174</v>
      </c>
      <c r="E67" s="517" t="s">
        <v>2175</v>
      </c>
      <c r="F67" s="517" t="s">
        <v>2176</v>
      </c>
      <c r="G67" s="517" t="s">
        <v>2177</v>
      </c>
      <c r="H67" s="478"/>
      <c r="I67" s="478"/>
      <c r="J67" s="478"/>
      <c r="K67" s="479"/>
      <c r="L67" s="480"/>
      <c r="M67" s="481"/>
      <c r="N67" s="2683"/>
      <c r="O67" s="2683"/>
      <c r="P67" s="2682"/>
      <c r="Q67" s="2670"/>
      <c r="R67" s="2649"/>
      <c r="S67" s="2649"/>
      <c r="T67" s="2649"/>
      <c r="U67" s="2649"/>
      <c r="V67" s="2649"/>
      <c r="W67" s="2649"/>
      <c r="X67" s="2649"/>
      <c r="Y67" s="2649"/>
      <c r="Z67" s="2649"/>
      <c r="AA67" s="2649"/>
      <c r="AB67" s="2649"/>
      <c r="AC67" s="2649"/>
      <c r="AD67" s="2649"/>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84"/>
      <c r="O68" s="2684"/>
      <c r="P68" s="2682"/>
      <c r="Q68" s="2670"/>
      <c r="R68" s="2649"/>
      <c r="S68" s="2649"/>
      <c r="T68" s="2649"/>
      <c r="U68" s="2649"/>
      <c r="V68" s="2649"/>
      <c r="W68" s="2649"/>
      <c r="X68" s="2649"/>
      <c r="Y68" s="2649"/>
      <c r="Z68" s="2649"/>
      <c r="AA68" s="2649"/>
      <c r="AB68" s="2649"/>
      <c r="AC68" s="2649"/>
      <c r="AD68" s="2649"/>
    </row>
    <row r="69" spans="1:30" ht="15.75" thickTop="1">
      <c r="A69" s="375"/>
      <c r="B69" s="477" t="s">
        <v>2305</v>
      </c>
      <c r="C69" s="493"/>
      <c r="D69" s="493"/>
      <c r="E69" s="493"/>
      <c r="F69" s="493"/>
      <c r="G69" s="493"/>
      <c r="H69" s="521"/>
      <c r="I69" s="521"/>
      <c r="J69" s="521"/>
      <c r="K69" s="522"/>
      <c r="L69" s="523"/>
      <c r="M69" s="524"/>
      <c r="N69" s="2683"/>
      <c r="O69" s="2683"/>
      <c r="P69" s="2682"/>
      <c r="Q69" s="2670"/>
      <c r="R69" s="2649"/>
      <c r="S69" s="2649"/>
      <c r="T69" s="2649"/>
      <c r="U69" s="2649"/>
      <c r="V69" s="2649"/>
      <c r="W69" s="2649"/>
      <c r="X69" s="2649"/>
      <c r="Y69" s="2649"/>
      <c r="Z69" s="2649"/>
      <c r="AA69" s="2649"/>
      <c r="AB69" s="2649"/>
      <c r="AC69" s="2649"/>
      <c r="AD69" s="2649"/>
    </row>
    <row r="70" spans="1:30" ht="15.75" thickBot="1">
      <c r="A70" s="375"/>
      <c r="B70" s="482"/>
      <c r="C70" s="483">
        <v>100</v>
      </c>
      <c r="D70" s="483">
        <f>C70-$K22</f>
        <v>100</v>
      </c>
      <c r="E70" s="483"/>
      <c r="F70" s="483"/>
      <c r="G70" s="483"/>
      <c r="H70" s="483"/>
      <c r="I70" s="483"/>
      <c r="J70" s="483"/>
      <c r="K70" s="483"/>
      <c r="L70" s="483"/>
      <c r="M70" s="484"/>
      <c r="N70" s="2684"/>
      <c r="O70" s="2684"/>
      <c r="P70" s="2682"/>
      <c r="Q70" s="2670"/>
      <c r="R70" s="2649"/>
      <c r="S70" s="2649"/>
      <c r="T70" s="2649"/>
      <c r="U70" s="2649"/>
      <c r="V70" s="2649"/>
      <c r="W70" s="2649"/>
      <c r="X70" s="2649"/>
      <c r="Y70" s="2649"/>
      <c r="Z70" s="2649"/>
      <c r="AA70" s="2649"/>
      <c r="AB70" s="2649"/>
      <c r="AC70" s="2649"/>
      <c r="AD70" s="2649"/>
    </row>
    <row r="71" spans="1:30" s="107" customFormat="1" ht="15.75" thickTop="1">
      <c r="A71" s="378"/>
      <c r="B71" s="477">
        <f>B23</f>
        <v>111</v>
      </c>
      <c r="C71" s="488"/>
      <c r="D71" s="488"/>
      <c r="E71" s="488"/>
      <c r="F71" s="488"/>
      <c r="G71" s="493"/>
      <c r="H71" s="493"/>
      <c r="I71" s="493"/>
      <c r="J71" s="493"/>
      <c r="K71" s="493"/>
      <c r="L71" s="518"/>
      <c r="M71" s="519"/>
      <c r="N71" s="2682"/>
      <c r="O71" s="2682"/>
      <c r="P71" s="2682"/>
      <c r="Q71" s="2670"/>
      <c r="R71" s="2603"/>
      <c r="S71" s="2603"/>
      <c r="T71" s="2603"/>
      <c r="U71" s="2603"/>
      <c r="V71" s="2603"/>
      <c r="W71" s="2603"/>
      <c r="X71" s="2603"/>
      <c r="Y71" s="2603"/>
      <c r="Z71" s="2603"/>
      <c r="AA71" s="2603"/>
      <c r="AB71" s="2603"/>
      <c r="AC71" s="2603"/>
      <c r="AD71" s="2603"/>
    </row>
    <row r="72" spans="1:30" s="107" customFormat="1" ht="15.75" thickBot="1">
      <c r="A72" s="378"/>
      <c r="B72" s="482"/>
      <c r="C72" s="499"/>
      <c r="D72" s="475"/>
      <c r="E72" s="475"/>
      <c r="F72" s="475"/>
      <c r="G72" s="475"/>
      <c r="H72" s="475"/>
      <c r="I72" s="475"/>
      <c r="J72" s="475"/>
      <c r="K72" s="475"/>
      <c r="L72" s="475"/>
      <c r="M72" s="476"/>
      <c r="N72" s="2684"/>
      <c r="O72" s="2684"/>
      <c r="P72" s="2682"/>
      <c r="Q72" s="2670"/>
      <c r="R72" s="2603"/>
      <c r="S72" s="2603"/>
      <c r="T72" s="2603"/>
      <c r="U72" s="2603"/>
      <c r="V72" s="2603"/>
      <c r="W72" s="2603"/>
      <c r="X72" s="2603"/>
      <c r="Y72" s="2603"/>
      <c r="Z72" s="2603"/>
      <c r="AA72" s="2603"/>
      <c r="AB72" s="2603"/>
      <c r="AC72" s="2603"/>
      <c r="AD72" s="2603"/>
    </row>
    <row r="73" spans="1:30" s="107" customFormat="1" ht="15.75" thickTop="1">
      <c r="A73" s="378"/>
      <c r="B73" s="477">
        <f>B24</f>
        <v>111</v>
      </c>
      <c r="C73" s="488"/>
      <c r="D73" s="488"/>
      <c r="E73" s="488"/>
      <c r="F73" s="488"/>
      <c r="G73" s="493"/>
      <c r="H73" s="493"/>
      <c r="I73" s="493"/>
      <c r="J73" s="493"/>
      <c r="K73" s="493"/>
      <c r="L73" s="493"/>
      <c r="M73" s="519"/>
      <c r="N73" s="2682"/>
      <c r="O73" s="2682"/>
      <c r="P73" s="2682"/>
      <c r="Q73" s="2670"/>
      <c r="R73" s="2603"/>
      <c r="S73" s="2603"/>
      <c r="T73" s="2603"/>
      <c r="U73" s="2603"/>
      <c r="V73" s="2603"/>
      <c r="W73" s="2603"/>
      <c r="X73" s="2603"/>
      <c r="Y73" s="2603"/>
      <c r="Z73" s="2603"/>
      <c r="AA73" s="2603"/>
      <c r="AB73" s="2603"/>
      <c r="AC73" s="2603"/>
      <c r="AD73" s="2603"/>
    </row>
    <row r="74" spans="1:30" s="107" customFormat="1" ht="15.75" thickBot="1">
      <c r="A74" s="378"/>
      <c r="B74" s="482"/>
      <c r="C74" s="499"/>
      <c r="D74" s="475"/>
      <c r="E74" s="475"/>
      <c r="F74" s="475"/>
      <c r="G74" s="475"/>
      <c r="H74" s="475"/>
      <c r="I74" s="475"/>
      <c r="J74" s="475"/>
      <c r="K74" s="475"/>
      <c r="L74" s="475"/>
      <c r="M74" s="476"/>
      <c r="N74" s="2684"/>
      <c r="O74" s="2684"/>
      <c r="P74" s="2682"/>
      <c r="Q74" s="2670"/>
      <c r="R74" s="2603"/>
      <c r="S74" s="2603"/>
      <c r="T74" s="2603"/>
      <c r="U74" s="2603"/>
      <c r="V74" s="2603"/>
      <c r="W74" s="2603"/>
      <c r="X74" s="2603"/>
      <c r="Y74" s="2603"/>
      <c r="Z74" s="2603"/>
      <c r="AA74" s="2603"/>
      <c r="AB74" s="2603"/>
      <c r="AC74" s="2603"/>
      <c r="AD74" s="2603"/>
    </row>
    <row r="75" spans="1:30" s="416" customFormat="1" ht="15.75" thickTop="1">
      <c r="A75" s="492"/>
      <c r="B75" s="477">
        <f>B25</f>
        <v>111</v>
      </c>
      <c r="C75" s="488"/>
      <c r="D75" s="488"/>
      <c r="E75" s="488"/>
      <c r="F75" s="488"/>
      <c r="G75" s="493"/>
      <c r="H75" s="494"/>
      <c r="I75" s="494"/>
      <c r="J75" s="494"/>
      <c r="K75" s="494"/>
      <c r="L75" s="495"/>
      <c r="M75" s="496"/>
      <c r="N75" s="2685"/>
      <c r="O75" s="2685"/>
      <c r="P75" s="2685"/>
      <c r="Q75" s="2677"/>
      <c r="R75" s="2655"/>
      <c r="S75" s="2655"/>
      <c r="T75" s="2655"/>
      <c r="U75" s="2655"/>
      <c r="V75" s="2655"/>
      <c r="W75" s="2655"/>
      <c r="X75" s="2655"/>
      <c r="Y75" s="2655"/>
      <c r="Z75" s="2655"/>
      <c r="AA75" s="2655"/>
      <c r="AB75" s="2655"/>
      <c r="AC75" s="2655"/>
      <c r="AD75" s="2655"/>
    </row>
    <row r="76" spans="1:30" s="416" customFormat="1" ht="15.75" thickBot="1">
      <c r="A76" s="492"/>
      <c r="B76" s="482"/>
      <c r="C76" s="499"/>
      <c r="D76" s="499"/>
      <c r="E76" s="499"/>
      <c r="F76" s="499"/>
      <c r="G76" s="475"/>
      <c r="H76" s="475"/>
      <c r="I76" s="475"/>
      <c r="J76" s="475"/>
      <c r="K76" s="475"/>
      <c r="L76" s="475"/>
      <c r="M76" s="476"/>
      <c r="N76" s="2685"/>
      <c r="O76" s="2685"/>
      <c r="P76" s="2685"/>
      <c r="Q76" s="2677"/>
      <c r="R76" s="2655"/>
      <c r="S76" s="2655"/>
      <c r="T76" s="2655"/>
      <c r="U76" s="2655"/>
      <c r="V76" s="2655"/>
      <c r="W76" s="2655"/>
      <c r="X76" s="2655"/>
      <c r="Y76" s="2655"/>
      <c r="Z76" s="2655"/>
      <c r="AA76" s="2655"/>
      <c r="AB76" s="2655"/>
      <c r="AC76" s="2655"/>
      <c r="AD76" s="2655"/>
    </row>
    <row r="77" spans="1:30" ht="15" thickTop="1">
      <c r="A77" s="387" t="s">
        <v>2139</v>
      </c>
      <c r="B77" s="468" t="s">
        <v>2192</v>
      </c>
      <c r="C77" s="493"/>
      <c r="D77" s="493"/>
      <c r="E77" s="470"/>
      <c r="F77" s="470"/>
      <c r="G77" s="470"/>
      <c r="H77" s="470"/>
      <c r="I77" s="470"/>
      <c r="J77" s="470"/>
      <c r="K77" s="471"/>
      <c r="L77" s="472"/>
      <c r="M77" s="473"/>
      <c r="N77" s="2683"/>
      <c r="O77" s="2683"/>
      <c r="P77" s="2682"/>
      <c r="Q77" s="2670"/>
      <c r="R77" s="2649"/>
      <c r="S77" s="2649"/>
      <c r="T77" s="2649"/>
      <c r="U77" s="2649"/>
      <c r="V77" s="2649"/>
      <c r="W77" s="2649"/>
      <c r="X77" s="2649"/>
      <c r="Y77" s="2649"/>
      <c r="Z77" s="2649"/>
      <c r="AA77" s="2649"/>
      <c r="AB77" s="2649"/>
      <c r="AC77" s="2649"/>
      <c r="AD77" s="2649"/>
    </row>
    <row r="78" spans="1:30" ht="15.7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4"/>
      <c r="O78" s="2684"/>
      <c r="P78" s="2682"/>
      <c r="Q78" s="2670"/>
      <c r="R78" s="2649"/>
      <c r="S78" s="2649"/>
      <c r="T78" s="2649"/>
      <c r="U78" s="2649"/>
      <c r="V78" s="2649"/>
      <c r="W78" s="2649"/>
      <c r="X78" s="2649"/>
      <c r="Y78" s="2649"/>
      <c r="Z78" s="2649"/>
      <c r="AA78" s="2649"/>
      <c r="AB78" s="2649"/>
      <c r="AC78" s="2649"/>
      <c r="AD78" s="2649"/>
    </row>
    <row r="79" spans="1:30" ht="15.75" thickTop="1">
      <c r="A79" s="375"/>
      <c r="B79" s="477" t="s">
        <v>2308</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2"/>
      <c r="O79" s="2682"/>
      <c r="P79" s="2682"/>
      <c r="Q79" s="2670"/>
      <c r="R79" s="2649"/>
      <c r="S79" s="2649"/>
      <c r="T79" s="2649"/>
      <c r="U79" s="2649"/>
      <c r="V79" s="2649"/>
      <c r="W79" s="2649"/>
      <c r="X79" s="2649"/>
      <c r="Y79" s="2649"/>
      <c r="Z79" s="2649"/>
      <c r="AA79" s="2649"/>
      <c r="AB79" s="2649"/>
      <c r="AC79" s="2649"/>
      <c r="AD79" s="2649"/>
    </row>
    <row r="80" spans="1:30" ht="15">
      <c r="A80" s="375"/>
      <c r="B80" s="485"/>
      <c r="C80" s="538">
        <v>0.5</v>
      </c>
      <c r="D80" s="538">
        <v>0.6</v>
      </c>
      <c r="E80" s="538">
        <v>0.7</v>
      </c>
      <c r="F80" s="538">
        <v>0.8</v>
      </c>
      <c r="G80" s="538">
        <v>0.9</v>
      </c>
      <c r="H80" s="538">
        <v>1.0001</v>
      </c>
      <c r="I80" s="589"/>
      <c r="J80" s="589"/>
      <c r="K80" s="596"/>
      <c r="L80" s="597"/>
      <c r="M80" s="598"/>
      <c r="N80" s="2682"/>
      <c r="O80" s="2682"/>
      <c r="P80" s="2682"/>
      <c r="Q80" s="2670"/>
      <c r="R80" s="2649"/>
      <c r="S80" s="2649"/>
      <c r="T80" s="2649"/>
      <c r="U80" s="2649"/>
      <c r="V80" s="2649"/>
      <c r="W80" s="2649"/>
      <c r="X80" s="2649"/>
      <c r="Y80" s="2649"/>
      <c r="Z80" s="2649"/>
      <c r="AA80" s="2649"/>
      <c r="AB80" s="2649"/>
      <c r="AC80" s="2649"/>
      <c r="AD80" s="2649"/>
    </row>
    <row r="81" spans="1:30" s="416" customFormat="1" ht="15.7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4"/>
      <c r="O81" s="2684"/>
      <c r="P81" s="2685"/>
      <c r="Q81" s="2677"/>
      <c r="R81" s="2655"/>
      <c r="S81" s="2655"/>
      <c r="T81" s="2655"/>
      <c r="U81" s="2655"/>
      <c r="V81" s="2655"/>
      <c r="W81" s="2655"/>
      <c r="X81" s="2655"/>
      <c r="Y81" s="2655"/>
      <c r="Z81" s="2655"/>
      <c r="AA81" s="2655"/>
      <c r="AB81" s="2655"/>
      <c r="AC81" s="2655"/>
      <c r="AD81" s="2655"/>
    </row>
    <row r="82" spans="1:30" ht="15" thickTop="1">
      <c r="A82" s="417"/>
      <c r="B82" s="485" t="s">
        <v>2309</v>
      </c>
      <c r="C82" s="493"/>
      <c r="D82" s="493"/>
      <c r="E82" s="521"/>
      <c r="F82" s="521"/>
      <c r="G82" s="521"/>
      <c r="H82" s="521"/>
      <c r="I82" s="521"/>
      <c r="J82" s="521"/>
      <c r="K82" s="522"/>
      <c r="L82" s="523"/>
      <c r="M82" s="524"/>
      <c r="N82" s="2683"/>
      <c r="O82" s="2683"/>
      <c r="P82" s="2682"/>
      <c r="Q82" s="2670"/>
      <c r="R82" s="2649"/>
      <c r="S82" s="2649"/>
      <c r="T82" s="2649"/>
      <c r="U82" s="2649"/>
      <c r="V82" s="2649"/>
      <c r="W82" s="2649"/>
      <c r="X82" s="2649"/>
      <c r="Y82" s="2649"/>
      <c r="Z82" s="2649"/>
      <c r="AA82" s="2649"/>
      <c r="AB82" s="2649"/>
      <c r="AC82" s="2649"/>
      <c r="AD82" s="2649"/>
    </row>
    <row r="83" spans="1:30" ht="15.7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4"/>
      <c r="O83" s="2684"/>
      <c r="P83" s="2682"/>
      <c r="Q83" s="2670"/>
      <c r="R83" s="2649"/>
      <c r="S83" s="2649"/>
      <c r="T83" s="2649"/>
      <c r="U83" s="2649"/>
      <c r="V83" s="2649"/>
      <c r="W83" s="2649"/>
      <c r="X83" s="2649"/>
      <c r="Y83" s="2649"/>
      <c r="Z83" s="2649"/>
      <c r="AA83" s="2649"/>
      <c r="AB83" s="2649"/>
      <c r="AC83" s="2649"/>
      <c r="AD83" s="2649"/>
    </row>
    <row r="84" spans="1:30" ht="15" thickTop="1">
      <c r="A84" s="417"/>
      <c r="B84" s="477" t="s">
        <v>2317</v>
      </c>
      <c r="C84" s="493"/>
      <c r="D84" s="493"/>
      <c r="E84" s="493"/>
      <c r="F84" s="493"/>
      <c r="G84" s="493"/>
      <c r="H84" s="493"/>
      <c r="I84" s="521"/>
      <c r="J84" s="521"/>
      <c r="K84" s="522"/>
      <c r="L84" s="523"/>
      <c r="M84" s="524"/>
      <c r="N84" s="2683"/>
      <c r="O84" s="2683"/>
      <c r="P84" s="2682"/>
      <c r="Q84" s="2670"/>
      <c r="R84" s="2649"/>
      <c r="S84" s="2649"/>
      <c r="T84" s="2649"/>
      <c r="U84" s="2649"/>
      <c r="V84" s="2649"/>
      <c r="W84" s="2649"/>
      <c r="X84" s="2649"/>
      <c r="Y84" s="2649"/>
      <c r="Z84" s="2649"/>
      <c r="AA84" s="2649"/>
      <c r="AB84" s="2649"/>
      <c r="AC84" s="2649"/>
      <c r="AD84" s="2649"/>
    </row>
    <row r="85" spans="1:30" ht="15.7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4"/>
      <c r="O85" s="2684"/>
      <c r="P85" s="2682"/>
      <c r="Q85" s="2670"/>
      <c r="R85" s="2649"/>
      <c r="S85" s="2649"/>
      <c r="T85" s="2649"/>
      <c r="U85" s="2649"/>
      <c r="V85" s="2649"/>
      <c r="W85" s="2649"/>
      <c r="X85" s="2649"/>
      <c r="Y85" s="2649"/>
      <c r="Z85" s="2649"/>
      <c r="AA85" s="2649"/>
      <c r="AB85" s="2649"/>
      <c r="AC85" s="2649"/>
      <c r="AD85" s="2649"/>
    </row>
    <row r="86" spans="1:30" ht="15" thickTop="1">
      <c r="A86" s="417"/>
      <c r="B86" s="485" t="s">
        <v>2318</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3"/>
      <c r="O86" s="2683"/>
      <c r="P86" s="2682"/>
      <c r="Q86" s="2670"/>
      <c r="R86" s="2649"/>
      <c r="S86" s="2649"/>
      <c r="T86" s="2649"/>
      <c r="U86" s="2649"/>
      <c r="V86" s="2649"/>
      <c r="W86" s="2649"/>
      <c r="X86" s="2649"/>
      <c r="Y86" s="2649"/>
      <c r="Z86" s="2649"/>
      <c r="AA86" s="2649"/>
      <c r="AB86" s="2649"/>
      <c r="AC86" s="2649"/>
      <c r="AD86" s="2649"/>
    </row>
    <row r="87" spans="1:30">
      <c r="A87" s="417"/>
      <c r="B87" s="485"/>
      <c r="C87" s="9"/>
      <c r="D87" s="9"/>
      <c r="E87" s="9"/>
      <c r="F87" s="9"/>
      <c r="G87" s="9"/>
      <c r="H87" s="9"/>
      <c r="I87" s="9"/>
      <c r="J87" s="532"/>
      <c r="K87" s="532"/>
      <c r="L87" s="533"/>
      <c r="M87" s="534"/>
      <c r="N87" s="2683"/>
      <c r="O87" s="2683"/>
      <c r="P87" s="2682"/>
      <c r="Q87" s="2670"/>
      <c r="R87" s="2649"/>
      <c r="S87" s="2649"/>
      <c r="T87" s="2649"/>
      <c r="U87" s="2649"/>
      <c r="V87" s="2649"/>
      <c r="W87" s="2649"/>
      <c r="X87" s="2649"/>
      <c r="Y87" s="2649"/>
      <c r="Z87" s="2649"/>
      <c r="AA87" s="2649"/>
      <c r="AB87" s="2649"/>
      <c r="AC87" s="2649"/>
      <c r="AD87" s="2649"/>
    </row>
    <row r="88" spans="1:30" ht="15.75" thickBot="1">
      <c r="A88" s="375"/>
      <c r="B88" s="482"/>
      <c r="C88" s="499"/>
      <c r="D88" s="475"/>
      <c r="E88" s="475"/>
      <c r="F88" s="475"/>
      <c r="G88" s="475"/>
      <c r="H88" s="475"/>
      <c r="I88" s="475"/>
      <c r="J88" s="475"/>
      <c r="K88" s="475"/>
      <c r="L88" s="475"/>
      <c r="M88" s="475"/>
      <c r="N88" s="2684"/>
      <c r="O88" s="2684"/>
      <c r="P88" s="2682"/>
      <c r="Q88" s="2670"/>
      <c r="R88" s="2649"/>
      <c r="S88" s="2649"/>
      <c r="T88" s="2649"/>
      <c r="U88" s="2649"/>
      <c r="V88" s="2649"/>
      <c r="W88" s="2649"/>
      <c r="X88" s="2649"/>
      <c r="Y88" s="2649"/>
      <c r="Z88" s="2649"/>
      <c r="AA88" s="2649"/>
      <c r="AB88" s="2649"/>
      <c r="AC88" s="2649"/>
      <c r="AD88" s="2649"/>
    </row>
    <row r="89" spans="1:30" s="416" customFormat="1" ht="15" thickTop="1">
      <c r="A89" s="414"/>
      <c r="B89" s="477" t="s">
        <v>2319</v>
      </c>
      <c r="C89" s="493"/>
      <c r="D89" s="493"/>
      <c r="E89" s="493"/>
      <c r="F89" s="493"/>
      <c r="G89" s="493"/>
      <c r="H89" s="493"/>
      <c r="I89" s="493"/>
      <c r="J89" s="493"/>
      <c r="K89" s="493"/>
      <c r="L89" s="493"/>
      <c r="M89" s="519"/>
      <c r="N89" s="2685"/>
      <c r="O89" s="2685"/>
      <c r="P89" s="2685"/>
      <c r="Q89" s="2677"/>
      <c r="R89" s="2655"/>
      <c r="S89" s="2655"/>
      <c r="T89" s="2655"/>
      <c r="U89" s="2655"/>
      <c r="V89" s="2655"/>
      <c r="W89" s="2655"/>
      <c r="X89" s="2655"/>
      <c r="Y89" s="2655"/>
      <c r="Z89" s="2655"/>
      <c r="AA89" s="2655"/>
      <c r="AB89" s="2655"/>
      <c r="AC89" s="2655"/>
      <c r="AD89" s="2655"/>
    </row>
    <row r="90" spans="1:30" s="416" customFormat="1" ht="15.75" thickBot="1">
      <c r="A90" s="492"/>
      <c r="B90" s="482"/>
      <c r="C90" s="499"/>
      <c r="D90" s="475"/>
      <c r="E90" s="475"/>
      <c r="F90" s="475"/>
      <c r="G90" s="475"/>
      <c r="H90" s="475"/>
      <c r="I90" s="475"/>
      <c r="J90" s="475"/>
      <c r="K90" s="475"/>
      <c r="L90" s="475"/>
      <c r="M90" s="476"/>
      <c r="N90" s="2685"/>
      <c r="O90" s="2685"/>
      <c r="P90" s="2685"/>
      <c r="Q90" s="2677"/>
      <c r="R90" s="2655"/>
      <c r="S90" s="2655"/>
      <c r="T90" s="2655"/>
      <c r="U90" s="2655"/>
      <c r="V90" s="2655"/>
      <c r="W90" s="2655"/>
      <c r="X90" s="2655"/>
      <c r="Y90" s="2655"/>
      <c r="Z90" s="2655"/>
      <c r="AA90" s="2655"/>
      <c r="AB90" s="2655"/>
      <c r="AC90" s="2655"/>
      <c r="AD90" s="2655"/>
    </row>
    <row r="91" spans="1:30" ht="15" thickTop="1">
      <c r="A91" s="417"/>
      <c r="B91" s="477">
        <f>B32</f>
        <v>111</v>
      </c>
      <c r="C91" s="488"/>
      <c r="D91" s="488"/>
      <c r="E91" s="488"/>
      <c r="F91" s="488"/>
      <c r="G91" s="493"/>
      <c r="H91" s="494"/>
      <c r="I91" s="494"/>
      <c r="J91" s="494"/>
      <c r="K91" s="494"/>
      <c r="L91" s="495"/>
      <c r="M91" s="496"/>
      <c r="N91" s="2683"/>
      <c r="O91" s="2683"/>
      <c r="P91" s="2682"/>
      <c r="Q91" s="2670"/>
      <c r="R91" s="2649"/>
      <c r="S91" s="2649"/>
      <c r="T91" s="2649"/>
      <c r="U91" s="2649"/>
      <c r="V91" s="2649"/>
      <c r="W91" s="2649"/>
      <c r="X91" s="2649"/>
      <c r="Y91" s="2649"/>
      <c r="Z91" s="2649"/>
      <c r="AA91" s="2649"/>
      <c r="AB91" s="2649"/>
      <c r="AC91" s="2649"/>
      <c r="AD91" s="2649"/>
    </row>
    <row r="92" spans="1:30" ht="15.75" thickBot="1">
      <c r="A92" s="375"/>
      <c r="B92" s="482"/>
      <c r="C92" s="499"/>
      <c r="D92" s="475"/>
      <c r="E92" s="475"/>
      <c r="F92" s="475"/>
      <c r="G92" s="499"/>
      <c r="H92" s="501"/>
      <c r="I92" s="501"/>
      <c r="J92" s="501"/>
      <c r="K92" s="501"/>
      <c r="L92" s="501"/>
      <c r="M92" s="502"/>
      <c r="N92" s="2684"/>
      <c r="O92" s="2684"/>
      <c r="P92" s="2682"/>
      <c r="Q92" s="2670"/>
      <c r="R92" s="2649"/>
      <c r="S92" s="2649"/>
      <c r="T92" s="2649"/>
      <c r="U92" s="2649"/>
      <c r="V92" s="2649"/>
      <c r="W92" s="2649"/>
      <c r="X92" s="2649"/>
      <c r="Y92" s="2649"/>
      <c r="Z92" s="2649"/>
      <c r="AA92" s="2649"/>
      <c r="AB92" s="2649"/>
      <c r="AC92" s="2649"/>
      <c r="AD92" s="2649"/>
    </row>
    <row r="93" spans="1:30" ht="15" thickTop="1">
      <c r="A93" s="417"/>
      <c r="B93" s="477">
        <f>B33</f>
        <v>111</v>
      </c>
      <c r="C93" s="488"/>
      <c r="D93" s="488"/>
      <c r="E93" s="488"/>
      <c r="F93" s="488"/>
      <c r="G93" s="493"/>
      <c r="H93" s="494"/>
      <c r="I93" s="494"/>
      <c r="J93" s="494"/>
      <c r="K93" s="494"/>
      <c r="L93" s="495"/>
      <c r="M93" s="496"/>
      <c r="N93" s="2683"/>
      <c r="O93" s="2683"/>
      <c r="P93" s="2682"/>
      <c r="Q93" s="2670"/>
      <c r="R93" s="2649"/>
      <c r="S93" s="2649"/>
      <c r="T93" s="2649"/>
      <c r="U93" s="2649"/>
      <c r="V93" s="2649"/>
      <c r="W93" s="2649"/>
      <c r="X93" s="2649"/>
      <c r="Y93" s="2649"/>
      <c r="Z93" s="2649"/>
      <c r="AA93" s="2649"/>
      <c r="AB93" s="2649"/>
      <c r="AC93" s="2649"/>
      <c r="AD93" s="2649"/>
    </row>
    <row r="94" spans="1:30" ht="15.75" thickBot="1">
      <c r="A94" s="375"/>
      <c r="B94" s="482"/>
      <c r="C94" s="499"/>
      <c r="D94" s="475"/>
      <c r="E94" s="475"/>
      <c r="F94" s="475"/>
      <c r="G94" s="499"/>
      <c r="H94" s="501"/>
      <c r="I94" s="501"/>
      <c r="J94" s="501"/>
      <c r="K94" s="501"/>
      <c r="L94" s="501"/>
      <c r="M94" s="502"/>
      <c r="N94" s="2684"/>
      <c r="O94" s="2684"/>
      <c r="P94" s="2682"/>
      <c r="Q94" s="2670"/>
      <c r="R94" s="2649"/>
      <c r="S94" s="2649"/>
      <c r="T94" s="2649"/>
      <c r="U94" s="2649"/>
      <c r="V94" s="2649"/>
      <c r="W94" s="2649"/>
      <c r="X94" s="2649"/>
      <c r="Y94" s="2649"/>
      <c r="Z94" s="2649"/>
      <c r="AA94" s="2649"/>
      <c r="AB94" s="2649"/>
      <c r="AC94" s="2649"/>
      <c r="AD94" s="2649"/>
    </row>
    <row r="95" spans="1:30" ht="15" thickTop="1">
      <c r="A95" s="417"/>
      <c r="B95" s="568">
        <f>B34</f>
        <v>111</v>
      </c>
      <c r="C95" s="488"/>
      <c r="D95" s="488"/>
      <c r="E95" s="488"/>
      <c r="F95" s="488"/>
      <c r="G95" s="493"/>
      <c r="H95" s="494"/>
      <c r="I95" s="494"/>
      <c r="J95" s="494"/>
      <c r="K95" s="494"/>
      <c r="L95" s="495"/>
      <c r="M95" s="496"/>
      <c r="N95" s="2684"/>
      <c r="O95" s="2684"/>
      <c r="P95" s="2684"/>
      <c r="Q95" s="2698"/>
      <c r="R95" s="2649"/>
      <c r="S95" s="2649"/>
      <c r="T95" s="2649"/>
      <c r="U95" s="2649"/>
      <c r="V95" s="2649"/>
      <c r="W95" s="2649"/>
      <c r="X95" s="2649"/>
      <c r="Y95" s="2649"/>
      <c r="Z95" s="2649"/>
      <c r="AA95" s="2649"/>
      <c r="AB95" s="2649"/>
      <c r="AC95" s="2649"/>
      <c r="AD95" s="2649"/>
    </row>
    <row r="96" spans="1:30" ht="15.75" thickBot="1">
      <c r="A96" s="375"/>
      <c r="B96" s="482"/>
      <c r="C96" s="499"/>
      <c r="D96" s="499"/>
      <c r="E96" s="499"/>
      <c r="F96" s="499"/>
      <c r="G96" s="499"/>
      <c r="H96" s="501"/>
      <c r="I96" s="501"/>
      <c r="J96" s="501"/>
      <c r="K96" s="501"/>
      <c r="L96" s="501"/>
      <c r="M96" s="502"/>
      <c r="N96" s="2684"/>
      <c r="O96" s="2684"/>
      <c r="P96" s="2682"/>
      <c r="Q96" s="2670"/>
      <c r="R96" s="2649"/>
      <c r="S96" s="2649"/>
      <c r="T96" s="2649"/>
      <c r="U96" s="2649"/>
      <c r="V96" s="2649"/>
      <c r="W96" s="2649"/>
      <c r="X96" s="2649"/>
      <c r="Y96" s="2649"/>
      <c r="Z96" s="2649"/>
      <c r="AA96" s="2649"/>
      <c r="AB96" s="2649"/>
      <c r="AC96" s="2649"/>
      <c r="AD96" s="2649"/>
    </row>
    <row r="97" spans="1:30" ht="15" thickTop="1">
      <c r="N97" s="2649"/>
      <c r="O97" s="2649"/>
      <c r="P97" s="2649"/>
      <c r="Q97" s="2649"/>
      <c r="R97" s="2649"/>
      <c r="S97" s="2649"/>
      <c r="T97" s="2649"/>
      <c r="U97" s="2649"/>
      <c r="V97" s="2649"/>
      <c r="W97" s="2649"/>
      <c r="X97" s="2649"/>
      <c r="Y97" s="2649"/>
      <c r="Z97" s="2649"/>
      <c r="AA97" s="2649"/>
      <c r="AB97" s="2649"/>
      <c r="AC97" s="2649"/>
      <c r="AD97" s="2649"/>
    </row>
    <row r="98" spans="1:30">
      <c r="A98" s="989"/>
      <c r="B98" s="989"/>
      <c r="C98" s="989"/>
      <c r="D98" s="989"/>
      <c r="E98" s="989"/>
      <c r="F98" s="989"/>
      <c r="G98" s="989"/>
      <c r="H98" s="989"/>
      <c r="I98" s="989"/>
      <c r="J98" s="989"/>
      <c r="K98" s="990"/>
      <c r="L98" s="991"/>
      <c r="M98" s="989"/>
      <c r="N98" s="2649"/>
      <c r="O98" s="2649"/>
      <c r="P98" s="2649"/>
      <c r="Q98" s="2649"/>
      <c r="R98" s="2649"/>
      <c r="S98" s="2649"/>
      <c r="T98" s="2649"/>
      <c r="U98" s="2649"/>
      <c r="V98" s="2649"/>
      <c r="W98" s="2649"/>
      <c r="X98" s="2649"/>
      <c r="Y98" s="2649"/>
      <c r="Z98" s="2649"/>
      <c r="AA98" s="2649"/>
      <c r="AB98" s="2649"/>
      <c r="AC98" s="2649"/>
      <c r="AD98" s="2649"/>
    </row>
    <row r="99" spans="1:30">
      <c r="A99" s="989"/>
      <c r="B99" s="989"/>
      <c r="C99" s="989"/>
      <c r="D99" s="989"/>
      <c r="E99" s="989"/>
      <c r="F99" s="989"/>
      <c r="G99" s="989"/>
      <c r="H99" s="989"/>
      <c r="I99" s="989"/>
      <c r="J99" s="989"/>
      <c r="K99" s="990"/>
      <c r="L99" s="991"/>
      <c r="M99" s="989"/>
      <c r="N99" s="2649"/>
      <c r="O99" s="2649"/>
      <c r="P99" s="2649"/>
      <c r="Q99" s="2649"/>
      <c r="R99" s="2649"/>
      <c r="S99" s="2649"/>
      <c r="T99" s="2649"/>
      <c r="U99" s="2649"/>
      <c r="V99" s="2649"/>
      <c r="W99" s="2649"/>
      <c r="X99" s="2649"/>
      <c r="Y99" s="2649"/>
      <c r="Z99" s="2649"/>
      <c r="AA99" s="2649"/>
      <c r="AB99" s="2649"/>
      <c r="AC99" s="2649"/>
      <c r="AD99" s="2649"/>
    </row>
    <row r="100" spans="1:30">
      <c r="A100" s="989"/>
      <c r="B100" s="989"/>
      <c r="C100" s="989"/>
      <c r="D100" s="989"/>
      <c r="E100" s="989"/>
      <c r="F100" s="989"/>
      <c r="G100" s="989"/>
      <c r="H100" s="989"/>
      <c r="I100" s="989"/>
      <c r="J100" s="989"/>
      <c r="K100" s="990"/>
      <c r="L100" s="991"/>
      <c r="M100" s="989"/>
      <c r="N100" s="2649"/>
      <c r="O100" s="2649"/>
      <c r="P100" s="2649"/>
      <c r="Q100" s="2649"/>
      <c r="R100" s="2649"/>
      <c r="S100" s="2649"/>
      <c r="T100" s="2649"/>
      <c r="U100" s="2649"/>
      <c r="V100" s="2649"/>
      <c r="W100" s="2649"/>
      <c r="X100" s="2649"/>
      <c r="Y100" s="2649"/>
      <c r="Z100" s="2649"/>
      <c r="AA100" s="2649"/>
      <c r="AB100" s="2649"/>
      <c r="AC100" s="2649"/>
      <c r="AD100" s="2649"/>
    </row>
    <row r="101" spans="1:30">
      <c r="A101" s="989"/>
      <c r="B101" s="989"/>
      <c r="C101" s="989"/>
      <c r="D101" s="989"/>
      <c r="E101" s="989"/>
      <c r="F101" s="989"/>
      <c r="G101" s="989"/>
      <c r="H101" s="989"/>
      <c r="I101" s="989"/>
      <c r="J101" s="989"/>
      <c r="K101" s="990"/>
      <c r="L101" s="991"/>
      <c r="M101" s="989"/>
      <c r="N101" s="2649"/>
      <c r="O101" s="2649"/>
      <c r="P101" s="2649"/>
      <c r="Q101" s="2649"/>
      <c r="R101" s="2649"/>
      <c r="S101" s="2649"/>
      <c r="T101" s="2649"/>
      <c r="U101" s="2649"/>
      <c r="V101" s="2649"/>
      <c r="W101" s="2649"/>
      <c r="X101" s="2649"/>
      <c r="Y101" s="2649"/>
      <c r="Z101" s="2649"/>
      <c r="AA101" s="2649"/>
      <c r="AB101" s="2649"/>
      <c r="AC101" s="2649"/>
      <c r="AD101" s="2649"/>
    </row>
    <row r="102" spans="1:30">
      <c r="A102" s="989"/>
      <c r="B102" s="989"/>
      <c r="C102" s="989"/>
      <c r="D102" s="989"/>
      <c r="E102" s="989"/>
      <c r="F102" s="989"/>
      <c r="G102" s="989"/>
      <c r="H102" s="989"/>
      <c r="I102" s="989"/>
      <c r="J102" s="989"/>
      <c r="K102" s="990"/>
      <c r="L102" s="991"/>
      <c r="M102" s="989"/>
      <c r="N102" s="2649"/>
      <c r="O102" s="2649"/>
      <c r="P102" s="2649"/>
      <c r="Q102" s="2649"/>
      <c r="R102" s="2649"/>
      <c r="S102" s="2649"/>
      <c r="T102" s="2649"/>
      <c r="U102" s="2649"/>
      <c r="V102" s="2649"/>
      <c r="W102" s="2649"/>
      <c r="X102" s="2649"/>
      <c r="Y102" s="2649"/>
      <c r="Z102" s="2649"/>
      <c r="AA102" s="2649"/>
      <c r="AB102" s="2649"/>
      <c r="AC102" s="2649"/>
      <c r="AD102" s="2649"/>
    </row>
    <row r="103" spans="1:30">
      <c r="A103" s="989"/>
      <c r="B103" s="989"/>
      <c r="C103" s="989"/>
      <c r="D103" s="989"/>
      <c r="E103" s="989"/>
      <c r="F103" s="989"/>
      <c r="G103" s="989"/>
      <c r="H103" s="989"/>
      <c r="I103" s="989"/>
      <c r="J103" s="989"/>
      <c r="K103" s="990"/>
      <c r="L103" s="991"/>
      <c r="M103" s="989"/>
      <c r="N103" s="989"/>
      <c r="O103" s="989"/>
      <c r="P103" s="2649"/>
      <c r="Q103" s="2649"/>
      <c r="R103" s="2649"/>
      <c r="S103" s="2649"/>
      <c r="T103" s="2649"/>
      <c r="U103" s="2649"/>
      <c r="V103" s="2649"/>
      <c r="W103" s="2649"/>
      <c r="X103" s="2649"/>
      <c r="Y103" s="2649"/>
      <c r="Z103" s="2649"/>
      <c r="AA103" s="2649"/>
      <c r="AB103" s="2649"/>
      <c r="AC103" s="2649"/>
      <c r="AD103" s="2649"/>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2320</v>
      </c>
      <c r="B1" s="346"/>
      <c r="C1" s="347" t="s">
        <v>2370</v>
      </c>
      <c r="D1" s="660"/>
      <c r="E1" s="660"/>
      <c r="F1" s="659" t="s">
        <v>2219</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1903</v>
      </c>
      <c r="B2" s="599" t="e">
        <f>F61</f>
        <v>#DIV/0!</v>
      </c>
      <c r="C2" s="962"/>
      <c r="D2" s="962"/>
      <c r="E2" s="962"/>
      <c r="F2" s="963"/>
      <c r="G2" s="962"/>
      <c r="H2" s="962"/>
      <c r="I2" s="962"/>
      <c r="J2" s="962"/>
      <c r="K2" s="964"/>
      <c r="L2" s="2665"/>
      <c r="M2" s="2666"/>
      <c r="N2" s="2666"/>
      <c r="O2" s="2666"/>
      <c r="P2" s="347"/>
      <c r="Q2" s="347"/>
      <c r="R2" s="347"/>
      <c r="S2" s="347"/>
      <c r="T2" s="347"/>
      <c r="U2" s="347"/>
      <c r="V2" s="347"/>
      <c r="W2" s="347"/>
      <c r="X2" s="347"/>
      <c r="Y2" s="347"/>
      <c r="Z2" s="347"/>
      <c r="AA2" s="347"/>
      <c r="AB2" s="347"/>
      <c r="AC2" s="672"/>
    </row>
    <row r="3" spans="1:29" s="348" customFormat="1" ht="28.5" customHeight="1" thickBot="1">
      <c r="A3" s="201" t="s">
        <v>1905</v>
      </c>
      <c r="B3" s="544" t="e">
        <f>ROUND(IF(D3="",B2*10000/'数据-汇总表'!E3,B2*10000/D3),0)</f>
        <v>#DIV/0!</v>
      </c>
      <c r="C3" s="201" t="s">
        <v>2322</v>
      </c>
      <c r="D3" s="1221"/>
      <c r="E3" s="962"/>
      <c r="F3" s="963"/>
      <c r="G3" s="962"/>
      <c r="H3" s="962"/>
      <c r="I3" s="962"/>
      <c r="J3" s="962"/>
      <c r="K3" s="964"/>
      <c r="L3" s="2665"/>
      <c r="M3" s="2666"/>
      <c r="N3" s="2666"/>
      <c r="O3" s="2666"/>
      <c r="P3" s="347"/>
      <c r="Q3" s="347"/>
      <c r="R3" s="347"/>
      <c r="S3" s="347"/>
      <c r="T3" s="347"/>
      <c r="U3" s="347"/>
      <c r="V3" s="347"/>
      <c r="W3" s="347"/>
      <c r="X3" s="347"/>
      <c r="Y3" s="347"/>
      <c r="Z3" s="347"/>
      <c r="AA3" s="347"/>
      <c r="AB3" s="685"/>
      <c r="AC3" s="672"/>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365" t="s">
        <v>2227</v>
      </c>
      <c r="Q4" s="3366"/>
      <c r="R4" s="3348" t="s">
        <v>2223</v>
      </c>
      <c r="S4" s="3349"/>
      <c r="T4" s="3348" t="s">
        <v>2224</v>
      </c>
      <c r="U4" s="3349"/>
      <c r="V4" s="3373" t="s">
        <v>2225</v>
      </c>
      <c r="W4" s="3373"/>
      <c r="X4" s="1394"/>
      <c r="Y4" s="3348" t="s">
        <v>2227</v>
      </c>
      <c r="Z4" s="3349"/>
      <c r="AA4" s="3343" t="s">
        <v>2223</v>
      </c>
      <c r="AB4" s="3344" t="s">
        <v>2224</v>
      </c>
      <c r="AC4" s="3343" t="s">
        <v>2225</v>
      </c>
    </row>
    <row r="5" spans="1:29" ht="15">
      <c r="A5" s="354"/>
      <c r="B5" s="355"/>
      <c r="C5" s="3354" t="s">
        <v>2118</v>
      </c>
      <c r="D5" s="3355"/>
      <c r="E5" s="3352" t="s">
        <v>2119</v>
      </c>
      <c r="F5" s="3353"/>
      <c r="G5" s="3354" t="s">
        <v>2120</v>
      </c>
      <c r="H5" s="3355"/>
      <c r="I5" s="3354" t="s">
        <v>2121</v>
      </c>
      <c r="J5" s="3355"/>
      <c r="K5" s="545"/>
      <c r="L5" s="2648"/>
      <c r="M5" s="2649"/>
      <c r="N5" s="2649"/>
      <c r="O5" s="2649"/>
      <c r="P5" s="3367"/>
      <c r="Q5" s="3368"/>
      <c r="R5" s="3350"/>
      <c r="S5" s="3351"/>
      <c r="T5" s="3350"/>
      <c r="U5" s="3351"/>
      <c r="V5" s="3373"/>
      <c r="W5" s="3373"/>
      <c r="X5" s="1394"/>
      <c r="Y5" s="3350"/>
      <c r="Z5" s="3351"/>
      <c r="AA5" s="3344"/>
      <c r="AB5" s="3344"/>
      <c r="AC5" s="3344"/>
    </row>
    <row r="6" spans="1:29" ht="15.75" thickBot="1">
      <c r="A6" s="356"/>
      <c r="B6" s="357"/>
      <c r="C6" s="3434" t="s">
        <v>2371</v>
      </c>
      <c r="D6" s="3435"/>
      <c r="E6" s="3436" t="s">
        <v>2371</v>
      </c>
      <c r="F6" s="3437"/>
      <c r="G6" s="3434" t="s">
        <v>2371</v>
      </c>
      <c r="H6" s="3435"/>
      <c r="I6" s="3434" t="s">
        <v>2371</v>
      </c>
      <c r="J6" s="3435"/>
      <c r="K6" s="545" t="s">
        <v>2123</v>
      </c>
      <c r="L6" s="2648"/>
      <c r="M6" s="2649"/>
      <c r="N6" s="2649"/>
      <c r="O6" s="2649"/>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c r="F7" s="363">
        <f>SUMIF(65:65,YEAR(E7)&amp;"-"&amp;INT((MONTH(E7)+2)/3),66:66)</f>
        <v>0</v>
      </c>
      <c r="G7" s="1952"/>
      <c r="H7" s="361">
        <f>SUMIF(65:65,YEAR(G7)&amp;"-"&amp;INT((MONTH(G7)+2)/3),66:66)</f>
        <v>0</v>
      </c>
      <c r="I7" s="1952"/>
      <c r="J7" s="361">
        <f>SUMIF(65:65,YEAR(I7)&amp;"-"&amp;INT((MONTH(I7)+2)/3),66:66)</f>
        <v>0</v>
      </c>
      <c r="K7" s="41"/>
      <c r="L7" s="2650"/>
      <c r="M7" s="2603"/>
      <c r="N7" s="2603"/>
      <c r="O7" s="2603"/>
      <c r="P7" s="3346" t="s">
        <v>2125</v>
      </c>
      <c r="Q7" s="3374"/>
      <c r="R7" s="673" t="s">
        <v>17</v>
      </c>
      <c r="S7" s="674">
        <f t="shared" ref="S7:S15" si="0">F7</f>
        <v>0</v>
      </c>
      <c r="T7" s="673" t="s">
        <v>17</v>
      </c>
      <c r="U7" s="674">
        <f t="shared" ref="U7:U15" si="1">H7</f>
        <v>0</v>
      </c>
      <c r="V7" s="673" t="s">
        <v>17</v>
      </c>
      <c r="W7" s="674">
        <f t="shared" ref="W7:W15" si="2">J7</f>
        <v>0</v>
      </c>
      <c r="X7" s="675"/>
      <c r="Y7" s="3346" t="s">
        <v>2125</v>
      </c>
      <c r="Z7" s="3347"/>
      <c r="AA7" s="53" t="e">
        <f>D7/F7</f>
        <v>#DIV/0!</v>
      </c>
      <c r="AB7" s="53" t="e">
        <f>D7/H7</f>
        <v>#DIV/0!</v>
      </c>
      <c r="AC7" s="53" t="e">
        <f>D7/J7</f>
        <v>#DIV/0!</v>
      </c>
    </row>
    <row r="8" spans="1:29" s="107" customFormat="1" ht="15.75" thickBot="1">
      <c r="A8" s="358" t="s">
        <v>2126</v>
      </c>
      <c r="B8" s="359"/>
      <c r="C8" s="364" t="s">
        <v>2127</v>
      </c>
      <c r="D8" s="361">
        <v>100</v>
      </c>
      <c r="E8" s="364"/>
      <c r="F8" s="363">
        <f>SUMIF(68:68,E8,69:69)-SUMIF(68:68,C8,69:69)+100</f>
        <v>0</v>
      </c>
      <c r="G8" s="364"/>
      <c r="H8" s="361">
        <f>SUMIF(68:68,G8,69:69)-SUMIF(68:68,C8,69:69)+100</f>
        <v>0</v>
      </c>
      <c r="I8" s="364"/>
      <c r="J8" s="361">
        <f>SUMIF(68:68,I8,69:69)-SUMIF(68:68,C8,69:69)+100</f>
        <v>0</v>
      </c>
      <c r="K8" s="41"/>
      <c r="L8" s="2650"/>
      <c r="M8" s="2603"/>
      <c r="N8" s="2603"/>
      <c r="O8" s="2603"/>
      <c r="P8" s="3346" t="s">
        <v>2128</v>
      </c>
      <c r="Q8" s="3347"/>
      <c r="R8" s="673" t="s">
        <v>17</v>
      </c>
      <c r="S8" s="674">
        <f t="shared" si="0"/>
        <v>0</v>
      </c>
      <c r="T8" s="673" t="s">
        <v>17</v>
      </c>
      <c r="U8" s="674">
        <f t="shared" si="1"/>
        <v>0</v>
      </c>
      <c r="V8" s="673" t="s">
        <v>17</v>
      </c>
      <c r="W8" s="674">
        <f t="shared" si="2"/>
        <v>0</v>
      </c>
      <c r="X8" s="675"/>
      <c r="Y8" s="3346" t="s">
        <v>2128</v>
      </c>
      <c r="Z8" s="3347"/>
      <c r="AA8" s="53" t="e">
        <f t="shared" ref="AA8:AA40" si="3">D8/F8</f>
        <v>#DIV/0!</v>
      </c>
      <c r="AB8" s="53" t="e">
        <f t="shared" ref="AB8:AB40" si="4">D8/H8</f>
        <v>#DIV/0!</v>
      </c>
      <c r="AC8" s="53" t="e">
        <f t="shared" ref="AC8:AC40" si="5">D8/J8</f>
        <v>#DIV/0!</v>
      </c>
    </row>
    <row r="9" spans="1:29" s="107" customFormat="1">
      <c r="A9" s="365" t="s">
        <v>2129</v>
      </c>
      <c r="B9" s="64" t="s">
        <v>2130</v>
      </c>
      <c r="C9" s="1955"/>
      <c r="D9" s="63">
        <v>100</v>
      </c>
      <c r="E9" s="1955"/>
      <c r="F9" s="63">
        <f>SUMIF(70:70,E9,71:71)-SUMIF(70:70,C9,71:71)+100</f>
        <v>100</v>
      </c>
      <c r="G9" s="1955"/>
      <c r="H9" s="63">
        <f>SUMIF(70:70,G9,71:71)-SUMIF(70:70,C9,71:71)+100</f>
        <v>100</v>
      </c>
      <c r="I9" s="1955"/>
      <c r="J9" s="63">
        <f>SUMIF(70:70,I9,71:71)-SUMIF(70:70,C9,71:71)+100</f>
        <v>100</v>
      </c>
      <c r="K9" s="41"/>
      <c r="L9" s="2650"/>
      <c r="M9" s="2603"/>
      <c r="N9" s="2603"/>
      <c r="O9" s="2702"/>
      <c r="P9" s="3360" t="s">
        <v>2131</v>
      </c>
      <c r="Q9" s="538" t="str">
        <f t="shared" ref="Q9:Q15" si="6">B9</f>
        <v>用途</v>
      </c>
      <c r="R9" s="673" t="s">
        <v>17</v>
      </c>
      <c r="S9" s="674">
        <f t="shared" si="0"/>
        <v>100</v>
      </c>
      <c r="T9" s="673" t="s">
        <v>17</v>
      </c>
      <c r="U9" s="674">
        <f t="shared" si="1"/>
        <v>100</v>
      </c>
      <c r="V9" s="673" t="s">
        <v>17</v>
      </c>
      <c r="W9" s="674">
        <f t="shared" si="2"/>
        <v>100</v>
      </c>
      <c r="X9" s="675"/>
      <c r="Y9" s="3316" t="s">
        <v>2132</v>
      </c>
      <c r="Z9" s="53" t="str">
        <f t="shared" ref="Z9:Z15" si="7">Q9</f>
        <v>用途</v>
      </c>
      <c r="AA9" s="53">
        <f t="shared" si="3"/>
        <v>1</v>
      </c>
      <c r="AB9" s="53">
        <f t="shared" si="4"/>
        <v>1</v>
      </c>
      <c r="AC9" s="53">
        <f t="shared" si="5"/>
        <v>1</v>
      </c>
    </row>
    <row r="10" spans="1:29" s="374" customFormat="1" ht="27">
      <c r="A10" s="369"/>
      <c r="B10" s="370" t="s">
        <v>2133</v>
      </c>
      <c r="C10" s="379"/>
      <c r="D10" s="124">
        <v>100</v>
      </c>
      <c r="E10" s="379"/>
      <c r="F10" s="124">
        <f>ROUND(100/'数据-取费表'!G16,0)</f>
        <v>109</v>
      </c>
      <c r="G10" s="379"/>
      <c r="H10" s="124">
        <f>ROUND(100/'数据-取费表'!G16,0)</f>
        <v>109</v>
      </c>
      <c r="I10" s="379"/>
      <c r="J10" s="124">
        <f>ROUND(100/'数据-取费表'!G16,0)</f>
        <v>109</v>
      </c>
      <c r="K10" s="600"/>
      <c r="L10" s="2651"/>
      <c r="M10" s="2652"/>
      <c r="N10" s="2652"/>
      <c r="O10" s="2703"/>
      <c r="P10" s="3360"/>
      <c r="Q10" s="538" t="str">
        <f t="shared" si="6"/>
        <v>土地使用年限（年）</v>
      </c>
      <c r="R10" s="673" t="s">
        <v>17</v>
      </c>
      <c r="S10" s="674">
        <f t="shared" si="0"/>
        <v>109</v>
      </c>
      <c r="T10" s="673" t="s">
        <v>17</v>
      </c>
      <c r="U10" s="674">
        <f t="shared" si="1"/>
        <v>109</v>
      </c>
      <c r="V10" s="673" t="s">
        <v>17</v>
      </c>
      <c r="W10" s="674">
        <f t="shared" si="2"/>
        <v>109</v>
      </c>
      <c r="X10" s="675"/>
      <c r="Y10" s="3316"/>
      <c r="Z10" s="53" t="str">
        <f t="shared" si="7"/>
        <v>土地使用年限（年）</v>
      </c>
      <c r="AA10" s="53">
        <f t="shared" si="3"/>
        <v>0.91743119266055051</v>
      </c>
      <c r="AB10" s="53">
        <f t="shared" si="4"/>
        <v>0.91743119266055051</v>
      </c>
      <c r="AC10" s="53">
        <f t="shared" si="5"/>
        <v>0.91743119266055051</v>
      </c>
    </row>
    <row r="11" spans="1:29" ht="15">
      <c r="A11" s="375"/>
      <c r="B11" s="370" t="s">
        <v>2134</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3"/>
      <c r="M11" s="2649"/>
      <c r="N11" s="2649"/>
      <c r="O11" s="2704"/>
      <c r="P11" s="3360"/>
      <c r="Q11" s="538" t="str">
        <f t="shared" si="6"/>
        <v>容积率</v>
      </c>
      <c r="R11" s="673" t="s">
        <v>17</v>
      </c>
      <c r="S11" s="674" t="e">
        <f t="shared" si="0"/>
        <v>#N/A</v>
      </c>
      <c r="T11" s="673" t="s">
        <v>17</v>
      </c>
      <c r="U11" s="674" t="e">
        <f t="shared" si="1"/>
        <v>#N/A</v>
      </c>
      <c r="V11" s="673" t="s">
        <v>17</v>
      </c>
      <c r="W11" s="674" t="e">
        <f t="shared" si="2"/>
        <v>#N/A</v>
      </c>
      <c r="X11" s="675"/>
      <c r="Y11" s="3316"/>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0"/>
      <c r="M12" s="2603"/>
      <c r="N12" s="2603"/>
      <c r="O12" s="2702"/>
      <c r="P12" s="3360"/>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4"/>
      <c r="M13" s="2649"/>
      <c r="N13" s="2649"/>
      <c r="O13" s="2704"/>
      <c r="P13" s="3360"/>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53">
        <f t="shared" si="5"/>
        <v>1</v>
      </c>
    </row>
    <row r="14" spans="1:29" ht="15.75" thickBot="1">
      <c r="A14" s="383"/>
      <c r="B14" s="1879">
        <v>111</v>
      </c>
      <c r="C14" s="384"/>
      <c r="D14" s="385">
        <v>100</v>
      </c>
      <c r="E14" s="488"/>
      <c r="F14" s="385">
        <f>SUMIF(81:81,E14,82:82)-SUMIF(81:81,C14,82:82)+100</f>
        <v>100</v>
      </c>
      <c r="G14" s="602"/>
      <c r="H14" s="385">
        <f>SUMIF(81:81,G14,82:82)-SUMIF(81:81,C14,82:82)+100</f>
        <v>100</v>
      </c>
      <c r="I14" s="488"/>
      <c r="J14" s="385">
        <f>SUMIF(81:81,I14,82:82)-SUMIF(81:81,C14,82:82)+100</f>
        <v>100</v>
      </c>
      <c r="K14" s="600"/>
      <c r="L14" s="2654"/>
      <c r="M14" s="2649"/>
      <c r="N14" s="2649"/>
      <c r="O14" s="2704"/>
      <c r="P14" s="3360"/>
      <c r="Q14" s="538">
        <f t="shared" si="6"/>
        <v>111</v>
      </c>
      <c r="R14" s="673" t="s">
        <v>17</v>
      </c>
      <c r="S14" s="674">
        <f t="shared" si="0"/>
        <v>100</v>
      </c>
      <c r="T14" s="673" t="s">
        <v>17</v>
      </c>
      <c r="U14" s="674">
        <f t="shared" si="1"/>
        <v>100</v>
      </c>
      <c r="V14" s="673" t="s">
        <v>17</v>
      </c>
      <c r="W14" s="674">
        <f t="shared" si="2"/>
        <v>100</v>
      </c>
      <c r="X14" s="675"/>
      <c r="Y14" s="3316"/>
      <c r="Z14" s="53">
        <f t="shared" si="7"/>
        <v>111</v>
      </c>
      <c r="AA14" s="53">
        <f t="shared" si="3"/>
        <v>1</v>
      </c>
      <c r="AB14" s="53">
        <f t="shared" si="4"/>
        <v>1</v>
      </c>
      <c r="AC14" s="53">
        <f t="shared" si="5"/>
        <v>1</v>
      </c>
    </row>
    <row r="15" spans="1:29" ht="57">
      <c r="A15" s="387" t="s">
        <v>2135</v>
      </c>
      <c r="B15" s="562" t="s">
        <v>2372</v>
      </c>
      <c r="C15" s="1949"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4"/>
      <c r="M15" s="2649"/>
      <c r="N15" s="2649"/>
      <c r="O15" s="2704"/>
      <c r="P15" s="3375" t="s">
        <v>2136</v>
      </c>
      <c r="Q15" s="1392" t="str">
        <f t="shared" si="6"/>
        <v>产业集聚程度</v>
      </c>
      <c r="R15" s="676" t="s">
        <v>17</v>
      </c>
      <c r="S15" s="677">
        <f t="shared" si="0"/>
        <v>100</v>
      </c>
      <c r="T15" s="676" t="s">
        <v>17</v>
      </c>
      <c r="U15" s="677">
        <f t="shared" si="1"/>
        <v>100</v>
      </c>
      <c r="V15" s="676" t="s">
        <v>17</v>
      </c>
      <c r="W15" s="677">
        <f t="shared" si="2"/>
        <v>100</v>
      </c>
      <c r="X15" s="1394"/>
      <c r="Y15" s="3375" t="s">
        <v>2136</v>
      </c>
      <c r="Z15" s="1393" t="str">
        <f t="shared" si="7"/>
        <v>产业集聚程度</v>
      </c>
      <c r="AA15" s="1393">
        <f t="shared" si="3"/>
        <v>1</v>
      </c>
      <c r="AB15" s="1393">
        <f t="shared" si="4"/>
        <v>1</v>
      </c>
      <c r="AC15" s="1393">
        <f t="shared" si="5"/>
        <v>1</v>
      </c>
    </row>
    <row r="16" spans="1:29" ht="15">
      <c r="A16" s="375"/>
      <c r="B16" s="563"/>
      <c r="C16" s="394"/>
      <c r="D16" s="395"/>
      <c r="E16" s="1888"/>
      <c r="F16" s="395"/>
      <c r="G16" s="1888"/>
      <c r="H16" s="397"/>
      <c r="I16" s="1888"/>
      <c r="J16" s="395"/>
      <c r="K16" s="600"/>
      <c r="L16" s="2654"/>
      <c r="M16" s="2649"/>
      <c r="N16" s="2649"/>
      <c r="O16" s="2704"/>
      <c r="P16" s="3376"/>
      <c r="Q16" s="1392"/>
      <c r="R16" s="676"/>
      <c r="S16" s="677"/>
      <c r="T16" s="676"/>
      <c r="U16" s="677"/>
      <c r="V16" s="676"/>
      <c r="W16" s="677"/>
      <c r="X16" s="1394"/>
      <c r="Y16" s="3376"/>
      <c r="Z16" s="1393"/>
      <c r="AA16" s="1393">
        <v>1</v>
      </c>
      <c r="AB16" s="1393">
        <v>1</v>
      </c>
      <c r="AC16" s="1393">
        <v>1</v>
      </c>
    </row>
    <row r="17" spans="1:29" ht="85.5">
      <c r="A17" s="375"/>
      <c r="B17" s="564" t="s">
        <v>2285</v>
      </c>
      <c r="C17" s="1884"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4"/>
      <c r="M17" s="2649"/>
      <c r="N17" s="2649"/>
      <c r="O17" s="2704"/>
      <c r="P17" s="3376"/>
      <c r="Q17" s="1392" t="str">
        <f>B17</f>
        <v>交通便捷度</v>
      </c>
      <c r="R17" s="676" t="s">
        <v>17</v>
      </c>
      <c r="S17" s="677">
        <f>F17</f>
        <v>100</v>
      </c>
      <c r="T17" s="676" t="s">
        <v>17</v>
      </c>
      <c r="U17" s="677">
        <f>H17</f>
        <v>100</v>
      </c>
      <c r="V17" s="676" t="s">
        <v>17</v>
      </c>
      <c r="W17" s="677">
        <f>J17</f>
        <v>100</v>
      </c>
      <c r="X17" s="1394"/>
      <c r="Y17" s="3376"/>
      <c r="Z17" s="1393" t="str">
        <f>Q17</f>
        <v>交通便捷度</v>
      </c>
      <c r="AA17" s="1393">
        <f t="shared" si="3"/>
        <v>1</v>
      </c>
      <c r="AB17" s="1393">
        <f t="shared" si="4"/>
        <v>1</v>
      </c>
      <c r="AC17" s="1393">
        <f t="shared" si="5"/>
        <v>1</v>
      </c>
    </row>
    <row r="18" spans="1:29" ht="15">
      <c r="A18" s="375"/>
      <c r="B18" s="409"/>
      <c r="C18" s="394"/>
      <c r="D18" s="395"/>
      <c r="E18" s="1882"/>
      <c r="F18" s="395"/>
      <c r="G18" s="1882"/>
      <c r="H18" s="395"/>
      <c r="I18" s="1881"/>
      <c r="J18" s="395"/>
      <c r="K18" s="600"/>
      <c r="L18" s="2654"/>
      <c r="M18" s="2649"/>
      <c r="N18" s="2649"/>
      <c r="O18" s="2704"/>
      <c r="P18" s="3376"/>
      <c r="Q18" s="1392"/>
      <c r="R18" s="676"/>
      <c r="S18" s="677"/>
      <c r="T18" s="676"/>
      <c r="U18" s="677"/>
      <c r="V18" s="676"/>
      <c r="W18" s="677"/>
      <c r="X18" s="1394"/>
      <c r="Y18" s="3376"/>
      <c r="Z18" s="1393"/>
      <c r="AA18" s="1393">
        <v>1</v>
      </c>
      <c r="AB18" s="1393">
        <v>1</v>
      </c>
      <c r="AC18" s="1393">
        <v>1</v>
      </c>
    </row>
    <row r="19" spans="1:29" ht="15">
      <c r="A19" s="375"/>
      <c r="B19" s="564" t="s">
        <v>2324</v>
      </c>
      <c r="C19" s="1884">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4"/>
      <c r="M19" s="2649"/>
      <c r="N19" s="2649"/>
      <c r="O19" s="2704"/>
      <c r="P19" s="3376"/>
      <c r="Q19" s="1392" t="str">
        <f t="shared" ref="Q19:Q33" si="8">B19</f>
        <v>区域土地利用方向</v>
      </c>
      <c r="R19" s="676" t="s">
        <v>17</v>
      </c>
      <c r="S19" s="677">
        <f>F19</f>
        <v>100</v>
      </c>
      <c r="T19" s="676" t="s">
        <v>17</v>
      </c>
      <c r="U19" s="677">
        <f>H19</f>
        <v>100</v>
      </c>
      <c r="V19" s="676" t="s">
        <v>17</v>
      </c>
      <c r="W19" s="677">
        <f>J19</f>
        <v>100</v>
      </c>
      <c r="X19" s="1394"/>
      <c r="Y19" s="3376"/>
      <c r="Z19" s="1393" t="str">
        <f>Q19</f>
        <v>区域土地利用方向</v>
      </c>
      <c r="AA19" s="1393">
        <f t="shared" si="3"/>
        <v>1</v>
      </c>
      <c r="AB19" s="1393">
        <f t="shared" si="4"/>
        <v>1</v>
      </c>
      <c r="AC19" s="1393">
        <f t="shared" si="5"/>
        <v>1</v>
      </c>
    </row>
    <row r="20" spans="1:29" ht="15">
      <c r="A20" s="354"/>
      <c r="B20" s="409"/>
      <c r="C20" s="394"/>
      <c r="D20" s="395"/>
      <c r="E20" s="1882"/>
      <c r="F20" s="395"/>
      <c r="G20" s="1882"/>
      <c r="H20" s="395"/>
      <c r="I20" s="1882"/>
      <c r="J20" s="395"/>
      <c r="K20" s="708"/>
      <c r="L20" s="2654"/>
      <c r="M20" s="2649"/>
      <c r="N20" s="2649"/>
      <c r="O20" s="2704"/>
      <c r="P20" s="3376"/>
      <c r="Q20" s="1392"/>
      <c r="R20" s="676"/>
      <c r="S20" s="677"/>
      <c r="T20" s="676"/>
      <c r="U20" s="677"/>
      <c r="V20" s="676"/>
      <c r="W20" s="677"/>
      <c r="X20" s="1394"/>
      <c r="Y20" s="3376"/>
      <c r="Z20" s="1393"/>
      <c r="AA20" s="1393"/>
      <c r="AB20" s="1393"/>
      <c r="AC20" s="1393"/>
    </row>
    <row r="21" spans="1:29" ht="71.25">
      <c r="A21" s="354"/>
      <c r="B21" s="564" t="s">
        <v>2373</v>
      </c>
      <c r="C21" s="1884"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4"/>
      <c r="M21" s="2649"/>
      <c r="N21" s="2649"/>
      <c r="O21" s="2704"/>
      <c r="P21" s="3376"/>
      <c r="Q21" s="1392" t="str">
        <f t="shared" si="8"/>
        <v>环境状况</v>
      </c>
      <c r="R21" s="676" t="s">
        <v>17</v>
      </c>
      <c r="S21" s="677">
        <f>F21</f>
        <v>100</v>
      </c>
      <c r="T21" s="676" t="s">
        <v>17</v>
      </c>
      <c r="U21" s="677">
        <f>H21</f>
        <v>100</v>
      </c>
      <c r="V21" s="676" t="s">
        <v>17</v>
      </c>
      <c r="W21" s="677">
        <f>J21</f>
        <v>100</v>
      </c>
      <c r="X21" s="1394"/>
      <c r="Y21" s="3376"/>
      <c r="Z21" s="1393" t="str">
        <f>Q21</f>
        <v>环境状况</v>
      </c>
      <c r="AA21" s="1393">
        <f t="shared" si="3"/>
        <v>1</v>
      </c>
      <c r="AB21" s="1393">
        <f t="shared" si="4"/>
        <v>1</v>
      </c>
      <c r="AC21" s="1393">
        <f t="shared" si="5"/>
        <v>1</v>
      </c>
    </row>
    <row r="22" spans="1:29" ht="15">
      <c r="A22" s="354"/>
      <c r="B22" s="409"/>
      <c r="C22" s="394"/>
      <c r="D22" s="395"/>
      <c r="E22" s="1888"/>
      <c r="F22" s="395"/>
      <c r="G22" s="1888"/>
      <c r="H22" s="395"/>
      <c r="I22" s="394"/>
      <c r="J22" s="395"/>
      <c r="K22" s="600"/>
      <c r="L22" s="2654"/>
      <c r="M22" s="2649"/>
      <c r="N22" s="2649"/>
      <c r="O22" s="2704"/>
      <c r="P22" s="3376"/>
      <c r="Q22" s="1392"/>
      <c r="R22" s="676"/>
      <c r="S22" s="677"/>
      <c r="T22" s="676"/>
      <c r="U22" s="677"/>
      <c r="V22" s="676"/>
      <c r="W22" s="677"/>
      <c r="X22" s="1394"/>
      <c r="Y22" s="3376"/>
      <c r="Z22" s="1393"/>
      <c r="AA22" s="1393">
        <v>1</v>
      </c>
      <c r="AB22" s="1393">
        <v>1</v>
      </c>
      <c r="AC22" s="1393">
        <v>1</v>
      </c>
    </row>
    <row r="23" spans="1:29" s="107" customFormat="1" ht="42.75">
      <c r="A23" s="451"/>
      <c r="B23" s="565" t="s">
        <v>2230</v>
      </c>
      <c r="C23" s="1884"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0"/>
      <c r="M23" s="2603"/>
      <c r="N23" s="2603"/>
      <c r="O23" s="2702"/>
      <c r="P23" s="3376"/>
      <c r="Q23" s="538" t="str">
        <f t="shared" si="8"/>
        <v>公共配套设施</v>
      </c>
      <c r="R23" s="673" t="s">
        <v>17</v>
      </c>
      <c r="S23" s="674">
        <f>F23</f>
        <v>100</v>
      </c>
      <c r="T23" s="673" t="s">
        <v>17</v>
      </c>
      <c r="U23" s="674">
        <f>H23</f>
        <v>100</v>
      </c>
      <c r="V23" s="673" t="s">
        <v>17</v>
      </c>
      <c r="W23" s="674">
        <f>J23</f>
        <v>100</v>
      </c>
      <c r="X23" s="675"/>
      <c r="Y23" s="3376"/>
      <c r="Z23" s="53" t="str">
        <f>Q23</f>
        <v>公共配套设施</v>
      </c>
      <c r="AA23" s="1393">
        <f>D23/F23</f>
        <v>1</v>
      </c>
      <c r="AB23" s="1393">
        <f>D23/H23</f>
        <v>1</v>
      </c>
      <c r="AC23" s="1393">
        <f>D23/J23</f>
        <v>1</v>
      </c>
    </row>
    <row r="24" spans="1:29" s="107" customFormat="1" ht="15">
      <c r="A24" s="451"/>
      <c r="B24" s="409"/>
      <c r="C24" s="1956"/>
      <c r="D24" s="395"/>
      <c r="E24" s="1888"/>
      <c r="F24" s="395"/>
      <c r="G24" s="1888"/>
      <c r="H24" s="395"/>
      <c r="I24" s="394"/>
      <c r="J24" s="395"/>
      <c r="K24" s="600"/>
      <c r="L24" s="2650"/>
      <c r="M24" s="2603"/>
      <c r="N24" s="2603"/>
      <c r="O24" s="2702"/>
      <c r="P24" s="3376"/>
      <c r="Q24" s="538"/>
      <c r="R24" s="673"/>
      <c r="S24" s="674"/>
      <c r="T24" s="673"/>
      <c r="U24" s="674"/>
      <c r="V24" s="673"/>
      <c r="W24" s="674"/>
      <c r="X24" s="675"/>
      <c r="Y24" s="3376"/>
      <c r="Z24" s="53"/>
      <c r="AA24" s="53">
        <v>1</v>
      </c>
      <c r="AB24" s="53">
        <v>1</v>
      </c>
      <c r="AC24" s="53">
        <v>1</v>
      </c>
    </row>
    <row r="25" spans="1:29" s="107" customFormat="1" ht="28.5">
      <c r="A25" s="451"/>
      <c r="B25" s="565" t="s">
        <v>2231</v>
      </c>
      <c r="C25" s="1884"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0"/>
      <c r="M25" s="2603"/>
      <c r="N25" s="2603"/>
      <c r="O25" s="2702"/>
      <c r="P25" s="3376"/>
      <c r="Q25" s="538" t="str">
        <f t="shared" ref="Q25" si="9">B25</f>
        <v>基础设施水平</v>
      </c>
      <c r="R25" s="673" t="s">
        <v>17</v>
      </c>
      <c r="S25" s="674">
        <f>F25</f>
        <v>100</v>
      </c>
      <c r="T25" s="673" t="s">
        <v>17</v>
      </c>
      <c r="U25" s="674">
        <f>H25</f>
        <v>100</v>
      </c>
      <c r="V25" s="673" t="s">
        <v>17</v>
      </c>
      <c r="W25" s="674">
        <f>J25</f>
        <v>100</v>
      </c>
      <c r="X25" s="675"/>
      <c r="Y25" s="3376"/>
      <c r="Z25" s="53" t="str">
        <f>Q25</f>
        <v>基础设施水平</v>
      </c>
      <c r="AA25" s="1393">
        <f>D25/F25</f>
        <v>1</v>
      </c>
      <c r="AB25" s="1393">
        <f>D25/H25</f>
        <v>1</v>
      </c>
      <c r="AC25" s="1393">
        <f>D25/J25</f>
        <v>1</v>
      </c>
    </row>
    <row r="26" spans="1:29" s="107" customFormat="1" ht="15">
      <c r="A26" s="451"/>
      <c r="B26" s="409"/>
      <c r="C26" s="1956"/>
      <c r="D26" s="395"/>
      <c r="E26" s="1957"/>
      <c r="F26" s="395"/>
      <c r="G26" s="1957"/>
      <c r="H26" s="395"/>
      <c r="I26" s="1957"/>
      <c r="J26" s="395"/>
      <c r="K26" s="600"/>
      <c r="L26" s="2650"/>
      <c r="M26" s="2603"/>
      <c r="N26" s="2603"/>
      <c r="O26" s="2702"/>
      <c r="P26" s="3376"/>
      <c r="Q26" s="538"/>
      <c r="R26" s="673"/>
      <c r="S26" s="674"/>
      <c r="T26" s="673"/>
      <c r="U26" s="674"/>
      <c r="V26" s="673"/>
      <c r="W26" s="674"/>
      <c r="X26" s="675"/>
      <c r="Y26" s="3376"/>
      <c r="Z26" s="53"/>
      <c r="AA26" s="53">
        <v>1</v>
      </c>
      <c r="AB26" s="53">
        <v>1</v>
      </c>
      <c r="AC26" s="53">
        <v>1</v>
      </c>
    </row>
    <row r="27" spans="1:29" ht="15">
      <c r="A27" s="375"/>
      <c r="B27" s="409" t="s">
        <v>2232</v>
      </c>
      <c r="C27" s="550"/>
      <c r="D27" s="382">
        <v>100</v>
      </c>
      <c r="E27" s="566"/>
      <c r="F27" s="382">
        <f>SUMIF(95:95,E27,96:96)-SUMIF(95:95,C27,96:96)+100</f>
        <v>100</v>
      </c>
      <c r="G27" s="566"/>
      <c r="H27" s="382">
        <f>SUMIF(95:95,G27,96:96)-SUMIF(95:95,C27,96:96)+100</f>
        <v>100</v>
      </c>
      <c r="I27" s="566"/>
      <c r="J27" s="382">
        <f>SUMIF(95:95,I27,96:96)-SUMIF(95:95,C27,96:96)+100</f>
        <v>100</v>
      </c>
      <c r="K27" s="601"/>
      <c r="L27" s="2654"/>
      <c r="M27" s="2649"/>
      <c r="N27" s="2649"/>
      <c r="O27" s="2704"/>
      <c r="P27" s="3376"/>
      <c r="Q27" s="1392" t="str">
        <f t="shared" si="8"/>
        <v>临街状况</v>
      </c>
      <c r="R27" s="676" t="s">
        <v>17</v>
      </c>
      <c r="S27" s="677">
        <f t="shared" ref="S27:S40" si="10">F27</f>
        <v>100</v>
      </c>
      <c r="T27" s="676" t="s">
        <v>17</v>
      </c>
      <c r="U27" s="677">
        <f t="shared" ref="U27:U40" si="11">H27</f>
        <v>100</v>
      </c>
      <c r="V27" s="676" t="s">
        <v>17</v>
      </c>
      <c r="W27" s="677">
        <f t="shared" ref="W27:W40" si="12">J27</f>
        <v>100</v>
      </c>
      <c r="X27" s="1394"/>
      <c r="Y27" s="3376"/>
      <c r="Z27" s="1393" t="str">
        <f t="shared" ref="Z27:Z40" si="13">Q27</f>
        <v>临街状况</v>
      </c>
      <c r="AA27" s="1393">
        <f t="shared" si="3"/>
        <v>1</v>
      </c>
      <c r="AB27" s="1393">
        <f t="shared" si="4"/>
        <v>1</v>
      </c>
      <c r="AC27" s="1393">
        <f t="shared" si="5"/>
        <v>1</v>
      </c>
    </row>
    <row r="28" spans="1:29" ht="27">
      <c r="A28" s="375"/>
      <c r="B28" s="565" t="s">
        <v>2267</v>
      </c>
      <c r="C28" s="1968">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4"/>
      <c r="M28" s="2649"/>
      <c r="N28" s="2649"/>
      <c r="O28" s="2704"/>
      <c r="P28" s="3376"/>
      <c r="Q28" s="1392" t="str">
        <f t="shared" si="8"/>
        <v>毗邻道路的类型与等级</v>
      </c>
      <c r="R28" s="676" t="s">
        <v>17</v>
      </c>
      <c r="S28" s="677">
        <f t="shared" si="10"/>
        <v>100</v>
      </c>
      <c r="T28" s="676" t="s">
        <v>17</v>
      </c>
      <c r="U28" s="677">
        <f t="shared" si="11"/>
        <v>100</v>
      </c>
      <c r="V28" s="676" t="s">
        <v>17</v>
      </c>
      <c r="W28" s="677">
        <f t="shared" si="12"/>
        <v>100</v>
      </c>
      <c r="X28" s="1394"/>
      <c r="Y28" s="3376"/>
      <c r="Z28" s="1393" t="str">
        <f t="shared" si="13"/>
        <v>毗邻道路的类型与等级</v>
      </c>
      <c r="AA28" s="1393">
        <f t="shared" si="3"/>
        <v>1</v>
      </c>
      <c r="AB28" s="1393">
        <f t="shared" si="4"/>
        <v>1</v>
      </c>
      <c r="AC28" s="1393">
        <f t="shared" si="5"/>
        <v>1</v>
      </c>
    </row>
    <row r="29" spans="1:29" ht="15">
      <c r="A29" s="375"/>
      <c r="B29" s="409"/>
      <c r="C29" s="394"/>
      <c r="D29" s="395"/>
      <c r="E29" s="1888"/>
      <c r="F29" s="395"/>
      <c r="G29" s="1888"/>
      <c r="H29" s="395"/>
      <c r="I29" s="1888"/>
      <c r="J29" s="395"/>
      <c r="K29" s="547"/>
      <c r="L29" s="2654"/>
      <c r="M29" s="2649"/>
      <c r="N29" s="2649"/>
      <c r="O29" s="2704"/>
      <c r="P29" s="3376"/>
      <c r="Q29" s="1392"/>
      <c r="R29" s="676"/>
      <c r="S29" s="677"/>
      <c r="T29" s="676"/>
      <c r="U29" s="677"/>
      <c r="V29" s="676"/>
      <c r="W29" s="677"/>
      <c r="X29" s="1394"/>
      <c r="Y29" s="3376"/>
      <c r="Z29" s="1393"/>
      <c r="AA29" s="1393">
        <v>1</v>
      </c>
      <c r="AB29" s="1393">
        <v>1</v>
      </c>
      <c r="AC29" s="1393">
        <v>1</v>
      </c>
    </row>
    <row r="30" spans="1:29" ht="15">
      <c r="A30" s="375"/>
      <c r="B30" s="124" t="s">
        <v>2326</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4"/>
      <c r="M30" s="2649"/>
      <c r="N30" s="2649"/>
      <c r="O30" s="2704"/>
      <c r="P30" s="3376"/>
      <c r="Q30" s="1392" t="str">
        <f t="shared" si="8"/>
        <v>土地级别</v>
      </c>
      <c r="R30" s="676" t="s">
        <v>17</v>
      </c>
      <c r="S30" s="677">
        <f t="shared" si="10"/>
        <v>100</v>
      </c>
      <c r="T30" s="676" t="s">
        <v>17</v>
      </c>
      <c r="U30" s="677">
        <f t="shared" si="11"/>
        <v>100</v>
      </c>
      <c r="V30" s="676" t="s">
        <v>17</v>
      </c>
      <c r="W30" s="677">
        <f t="shared" si="12"/>
        <v>100</v>
      </c>
      <c r="X30" s="1394"/>
      <c r="Y30" s="3376"/>
      <c r="Z30" s="1393" t="str">
        <f t="shared" si="13"/>
        <v>土地级别</v>
      </c>
      <c r="AA30" s="1393">
        <f t="shared" si="3"/>
        <v>1</v>
      </c>
      <c r="AB30" s="1393">
        <f t="shared" si="4"/>
        <v>1</v>
      </c>
      <c r="AC30" s="1393">
        <f t="shared" si="5"/>
        <v>1</v>
      </c>
    </row>
    <row r="31" spans="1:29" ht="1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4"/>
      <c r="M31" s="2649"/>
      <c r="N31" s="2649"/>
      <c r="O31" s="2704"/>
      <c r="P31" s="3376"/>
      <c r="Q31" s="1392">
        <f t="shared" si="8"/>
        <v>111</v>
      </c>
      <c r="R31" s="676" t="s">
        <v>17</v>
      </c>
      <c r="S31" s="677">
        <f t="shared" si="10"/>
        <v>100</v>
      </c>
      <c r="T31" s="676" t="s">
        <v>17</v>
      </c>
      <c r="U31" s="677">
        <f t="shared" si="11"/>
        <v>100</v>
      </c>
      <c r="V31" s="676" t="s">
        <v>17</v>
      </c>
      <c r="W31" s="677">
        <f t="shared" si="12"/>
        <v>100</v>
      </c>
      <c r="X31" s="1394"/>
      <c r="Y31" s="3376"/>
      <c r="Z31" s="1393">
        <f t="shared" si="13"/>
        <v>111</v>
      </c>
      <c r="AA31" s="1393">
        <f t="shared" si="3"/>
        <v>1</v>
      </c>
      <c r="AB31" s="1393">
        <f t="shared" si="4"/>
        <v>1</v>
      </c>
      <c r="AC31" s="1393">
        <f t="shared" si="5"/>
        <v>1</v>
      </c>
    </row>
    <row r="32" spans="1:29" ht="15">
      <c r="A32" s="603"/>
      <c r="B32" s="1969">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4"/>
      <c r="M32" s="2649"/>
      <c r="N32" s="2649"/>
      <c r="O32" s="2704"/>
      <c r="P32" s="3377" t="s">
        <v>2141</v>
      </c>
      <c r="Q32" s="1392">
        <f t="shared" si="8"/>
        <v>111</v>
      </c>
      <c r="R32" s="676" t="s">
        <v>17</v>
      </c>
      <c r="S32" s="677">
        <f t="shared" si="10"/>
        <v>100</v>
      </c>
      <c r="T32" s="676" t="s">
        <v>17</v>
      </c>
      <c r="U32" s="677">
        <f t="shared" si="11"/>
        <v>100</v>
      </c>
      <c r="V32" s="676" t="s">
        <v>17</v>
      </c>
      <c r="W32" s="677">
        <f t="shared" si="12"/>
        <v>100</v>
      </c>
      <c r="X32" s="1394"/>
      <c r="Y32" s="3378" t="s">
        <v>2141</v>
      </c>
      <c r="Z32" s="1393">
        <f t="shared" si="13"/>
        <v>111</v>
      </c>
      <c r="AA32" s="1393">
        <f t="shared" si="3"/>
        <v>1</v>
      </c>
      <c r="AB32" s="1393">
        <f t="shared" si="4"/>
        <v>1</v>
      </c>
      <c r="AC32" s="1393">
        <f t="shared" si="5"/>
        <v>1</v>
      </c>
    </row>
    <row r="33" spans="1:31" s="416" customFormat="1" ht="15.75" thickBot="1">
      <c r="A33" s="604"/>
      <c r="B33" s="1970">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3"/>
      <c r="M33" s="2655"/>
      <c r="N33" s="2655"/>
      <c r="O33" s="2705"/>
      <c r="P33" s="3378"/>
      <c r="Q33" s="1392">
        <f t="shared" si="8"/>
        <v>111</v>
      </c>
      <c r="R33" s="678" t="s">
        <v>17</v>
      </c>
      <c r="S33" s="679">
        <f t="shared" si="10"/>
        <v>100</v>
      </c>
      <c r="T33" s="678" t="s">
        <v>17</v>
      </c>
      <c r="U33" s="679">
        <f t="shared" si="11"/>
        <v>100</v>
      </c>
      <c r="V33" s="678" t="s">
        <v>17</v>
      </c>
      <c r="W33" s="679">
        <f t="shared" si="12"/>
        <v>100</v>
      </c>
      <c r="X33" s="680"/>
      <c r="Y33" s="3378"/>
      <c r="Z33" s="681">
        <f t="shared" si="13"/>
        <v>111</v>
      </c>
      <c r="AA33" s="1393">
        <f t="shared" si="3"/>
        <v>1</v>
      </c>
      <c r="AB33" s="1393">
        <f t="shared" si="4"/>
        <v>1</v>
      </c>
      <c r="AC33" s="1393">
        <f t="shared" si="5"/>
        <v>1</v>
      </c>
    </row>
    <row r="34" spans="1:31" ht="15">
      <c r="A34" s="387" t="s">
        <v>2139</v>
      </c>
      <c r="B34" s="403" t="s">
        <v>2327</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4"/>
      <c r="M34" s="2649"/>
      <c r="N34" s="2649"/>
      <c r="O34" s="2704"/>
      <c r="P34" s="3378"/>
      <c r="Q34" s="1392" t="str">
        <f>B34</f>
        <v>宗地面积</v>
      </c>
      <c r="R34" s="676" t="s">
        <v>17</v>
      </c>
      <c r="S34" s="677" t="e">
        <f t="shared" si="10"/>
        <v>#N/A</v>
      </c>
      <c r="T34" s="676" t="s">
        <v>17</v>
      </c>
      <c r="U34" s="677" t="e">
        <f t="shared" si="11"/>
        <v>#N/A</v>
      </c>
      <c r="V34" s="676" t="s">
        <v>17</v>
      </c>
      <c r="W34" s="677" t="e">
        <f t="shared" si="12"/>
        <v>#N/A</v>
      </c>
      <c r="X34" s="1394"/>
      <c r="Y34" s="3378"/>
      <c r="Z34" s="1393" t="str">
        <f t="shared" si="13"/>
        <v>宗地面积</v>
      </c>
      <c r="AA34" s="1393" t="e">
        <f t="shared" si="3"/>
        <v>#N/A</v>
      </c>
      <c r="AB34" s="1393" t="e">
        <f t="shared" si="4"/>
        <v>#N/A</v>
      </c>
      <c r="AC34" s="1393" t="e">
        <f t="shared" si="5"/>
        <v>#N/A</v>
      </c>
    </row>
    <row r="35" spans="1:31" ht="15">
      <c r="A35" s="417"/>
      <c r="B35" s="370" t="s">
        <v>2328</v>
      </c>
      <c r="C35" s="1890"/>
      <c r="D35" s="382">
        <v>100</v>
      </c>
      <c r="E35" s="1890"/>
      <c r="F35" s="382">
        <f>SUMIF(110:110,E35,111:111)-SUMIF(110:110,C35,111:111)+100</f>
        <v>100</v>
      </c>
      <c r="G35" s="1890"/>
      <c r="H35" s="382">
        <f>SUMIF(110:110,G35,111:111)-SUMIF(110:110,C35,111:111)+100</f>
        <v>100</v>
      </c>
      <c r="I35" s="1890"/>
      <c r="J35" s="382">
        <f>SUMIF(110:110,I35,111:111)-SUMIF(110:110,C35,111:111)+100</f>
        <v>100</v>
      </c>
      <c r="K35" s="546"/>
      <c r="L35" s="2654"/>
      <c r="M35" s="2649"/>
      <c r="N35" s="2649"/>
      <c r="O35" s="2704"/>
      <c r="P35" s="3378"/>
      <c r="Q35" s="1392" t="str">
        <f t="shared" ref="Q35:Q40" si="14">B35</f>
        <v>宗地形状</v>
      </c>
      <c r="R35" s="676" t="s">
        <v>17</v>
      </c>
      <c r="S35" s="677">
        <f t="shared" si="10"/>
        <v>100</v>
      </c>
      <c r="T35" s="676" t="s">
        <v>17</v>
      </c>
      <c r="U35" s="677">
        <f t="shared" si="11"/>
        <v>100</v>
      </c>
      <c r="V35" s="676" t="s">
        <v>17</v>
      </c>
      <c r="W35" s="677">
        <f t="shared" si="12"/>
        <v>100</v>
      </c>
      <c r="X35" s="1394"/>
      <c r="Y35" s="3378"/>
      <c r="Z35" s="1393" t="str">
        <f t="shared" si="13"/>
        <v>宗地形状</v>
      </c>
      <c r="AA35" s="1393">
        <f t="shared" si="3"/>
        <v>1</v>
      </c>
      <c r="AB35" s="1393">
        <f t="shared" si="4"/>
        <v>1</v>
      </c>
      <c r="AC35" s="1393">
        <f t="shared" si="5"/>
        <v>1</v>
      </c>
    </row>
    <row r="36" spans="1:31" s="107" customFormat="1" ht="15">
      <c r="A36" s="418"/>
      <c r="B36" s="370" t="s">
        <v>2330</v>
      </c>
      <c r="C36" s="1958"/>
      <c r="D36" s="124">
        <v>100</v>
      </c>
      <c r="E36" s="1958"/>
      <c r="F36" s="382">
        <f>SUMIF(112:112,E36,113:113)-SUMIF(112:112,C36,113:113)+100</f>
        <v>100</v>
      </c>
      <c r="G36" s="1958"/>
      <c r="H36" s="382">
        <f>SUMIF(112:112,G36,113:113)-SUMIF(112:112,C36,113:113)+100</f>
        <v>100</v>
      </c>
      <c r="I36" s="1958"/>
      <c r="J36" s="382">
        <f>SUMIF(112:112,I36,113:113)-SUMIF(112:112,C36,113:113)+100</f>
        <v>100</v>
      </c>
      <c r="K36" s="546"/>
      <c r="L36" s="2650"/>
      <c r="M36" s="2603"/>
      <c r="N36" s="2603"/>
      <c r="O36" s="2702"/>
      <c r="P36" s="3378"/>
      <c r="Q36" s="1392" t="str">
        <f t="shared" si="14"/>
        <v>宗地开发程度</v>
      </c>
      <c r="R36" s="673" t="s">
        <v>17</v>
      </c>
      <c r="S36" s="674">
        <f t="shared" si="10"/>
        <v>100</v>
      </c>
      <c r="T36" s="673" t="s">
        <v>17</v>
      </c>
      <c r="U36" s="674">
        <f t="shared" si="11"/>
        <v>100</v>
      </c>
      <c r="V36" s="673" t="s">
        <v>17</v>
      </c>
      <c r="W36" s="674">
        <f t="shared" si="12"/>
        <v>100</v>
      </c>
      <c r="X36" s="675"/>
      <c r="Y36" s="3378"/>
      <c r="Z36" s="53" t="str">
        <f t="shared" si="13"/>
        <v>宗地开发程度</v>
      </c>
      <c r="AA36" s="53">
        <f t="shared" si="3"/>
        <v>1</v>
      </c>
      <c r="AB36" s="53">
        <f t="shared" si="4"/>
        <v>1</v>
      </c>
      <c r="AC36" s="53">
        <f t="shared" si="5"/>
        <v>1</v>
      </c>
    </row>
    <row r="37" spans="1:31" ht="15">
      <c r="A37" s="417"/>
      <c r="B37" s="370" t="s">
        <v>2331</v>
      </c>
      <c r="C37" s="1890"/>
      <c r="D37" s="382">
        <v>100</v>
      </c>
      <c r="E37" s="1890"/>
      <c r="F37" s="382">
        <f>SUMIF(114:114,E37,115:115)-SUMIF(114:114,C37,115:115)+100</f>
        <v>100</v>
      </c>
      <c r="G37" s="1890"/>
      <c r="H37" s="382">
        <f>SUMIF(114:114,G37,115:115)-SUMIF(114:114,C37,115:115)+100</f>
        <v>100</v>
      </c>
      <c r="I37" s="1890"/>
      <c r="J37" s="382">
        <f>SUMIF(114:114,I37,115:115)-SUMIF(114:114,C37,115:115)+100</f>
        <v>100</v>
      </c>
      <c r="K37" s="546"/>
      <c r="L37" s="2654"/>
      <c r="M37" s="2649"/>
      <c r="N37" s="2649"/>
      <c r="O37" s="2704"/>
      <c r="P37" s="3378" t="s">
        <v>2141</v>
      </c>
      <c r="Q37" s="1392" t="str">
        <f t="shared" si="14"/>
        <v>工程地质条件</v>
      </c>
      <c r="R37" s="676" t="s">
        <v>17</v>
      </c>
      <c r="S37" s="677">
        <f t="shared" si="10"/>
        <v>100</v>
      </c>
      <c r="T37" s="676" t="s">
        <v>17</v>
      </c>
      <c r="U37" s="677">
        <f t="shared" si="11"/>
        <v>100</v>
      </c>
      <c r="V37" s="676" t="s">
        <v>17</v>
      </c>
      <c r="W37" s="677">
        <f t="shared" si="12"/>
        <v>100</v>
      </c>
      <c r="X37" s="1394"/>
      <c r="Y37" s="3378" t="s">
        <v>2141</v>
      </c>
      <c r="Z37" s="1393" t="str">
        <f t="shared" si="13"/>
        <v>工程地质条件</v>
      </c>
      <c r="AA37" s="1393">
        <f t="shared" si="3"/>
        <v>1</v>
      </c>
      <c r="AB37" s="1393">
        <f t="shared" si="4"/>
        <v>1</v>
      </c>
      <c r="AC37" s="1393">
        <f t="shared" si="5"/>
        <v>1</v>
      </c>
    </row>
    <row r="38" spans="1:31" ht="1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4"/>
      <c r="M38" s="2649"/>
      <c r="N38" s="2649"/>
      <c r="O38" s="2704"/>
      <c r="P38" s="3378"/>
      <c r="Q38" s="1392">
        <f t="shared" si="14"/>
        <v>111</v>
      </c>
      <c r="R38" s="676" t="s">
        <v>17</v>
      </c>
      <c r="S38" s="677">
        <f t="shared" si="10"/>
        <v>100</v>
      </c>
      <c r="T38" s="676" t="s">
        <v>17</v>
      </c>
      <c r="U38" s="677">
        <f t="shared" si="11"/>
        <v>100</v>
      </c>
      <c r="V38" s="676" t="s">
        <v>17</v>
      </c>
      <c r="W38" s="677">
        <f t="shared" si="12"/>
        <v>100</v>
      </c>
      <c r="X38" s="1394"/>
      <c r="Y38" s="3378"/>
      <c r="Z38" s="1393">
        <f t="shared" si="13"/>
        <v>111</v>
      </c>
      <c r="AA38" s="1393">
        <f t="shared" si="3"/>
        <v>1</v>
      </c>
      <c r="AB38" s="1393">
        <f t="shared" si="4"/>
        <v>1</v>
      </c>
      <c r="AC38" s="1393">
        <f t="shared" si="5"/>
        <v>1</v>
      </c>
    </row>
    <row r="39" spans="1:31" ht="1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4"/>
      <c r="M39" s="2649"/>
      <c r="N39" s="2649"/>
      <c r="O39" s="2704"/>
      <c r="P39" s="3378"/>
      <c r="Q39" s="1392">
        <f t="shared" si="14"/>
        <v>111</v>
      </c>
      <c r="R39" s="676" t="s">
        <v>17</v>
      </c>
      <c r="S39" s="677">
        <f t="shared" si="10"/>
        <v>100</v>
      </c>
      <c r="T39" s="676" t="s">
        <v>17</v>
      </c>
      <c r="U39" s="677">
        <f t="shared" si="11"/>
        <v>100</v>
      </c>
      <c r="V39" s="676" t="s">
        <v>17</v>
      </c>
      <c r="W39" s="677">
        <f t="shared" si="12"/>
        <v>100</v>
      </c>
      <c r="X39" s="1394"/>
      <c r="Y39" s="3378"/>
      <c r="Z39" s="1393">
        <f t="shared" si="13"/>
        <v>111</v>
      </c>
      <c r="AA39" s="1393">
        <f t="shared" si="3"/>
        <v>1</v>
      </c>
      <c r="AB39" s="1393">
        <f t="shared" si="4"/>
        <v>1</v>
      </c>
      <c r="AC39" s="1393">
        <f t="shared" si="5"/>
        <v>1</v>
      </c>
    </row>
    <row r="40" spans="1:31" s="416" customFormat="1" ht="15.75" thickBot="1">
      <c r="A40" s="414"/>
      <c r="B40" s="1177">
        <v>111</v>
      </c>
      <c r="C40" s="1959"/>
      <c r="D40" s="125">
        <v>100</v>
      </c>
      <c r="E40" s="602"/>
      <c r="F40" s="385">
        <f>SUMIF(120:120,E40,121:121)-SUMIF(120:120,C40,121:121)+100</f>
        <v>100</v>
      </c>
      <c r="G40" s="602"/>
      <c r="H40" s="385">
        <f>SUMIF(120:120,G40,121:121)-SUMIF(120:120,C40,121:121)+100</f>
        <v>100</v>
      </c>
      <c r="I40" s="488"/>
      <c r="J40" s="385">
        <f>SUMIF(120:120,I40,121:121)-SUMIF(120:120,C40,121:121)+100</f>
        <v>100</v>
      </c>
      <c r="K40" s="609"/>
      <c r="L40" s="2653"/>
      <c r="M40" s="2655"/>
      <c r="N40" s="2655"/>
      <c r="O40" s="2705"/>
      <c r="P40" s="3378"/>
      <c r="Q40" s="1392">
        <f t="shared" si="14"/>
        <v>111</v>
      </c>
      <c r="R40" s="678" t="s">
        <v>17</v>
      </c>
      <c r="S40" s="679">
        <f t="shared" si="10"/>
        <v>100</v>
      </c>
      <c r="T40" s="678" t="s">
        <v>17</v>
      </c>
      <c r="U40" s="679">
        <f t="shared" si="11"/>
        <v>100</v>
      </c>
      <c r="V40" s="678" t="s">
        <v>17</v>
      </c>
      <c r="W40" s="679">
        <f t="shared" si="12"/>
        <v>100</v>
      </c>
      <c r="X40" s="680"/>
      <c r="Y40" s="3378"/>
      <c r="Z40" s="681">
        <f t="shared" si="13"/>
        <v>111</v>
      </c>
      <c r="AA40" s="1393">
        <f t="shared" si="3"/>
        <v>1</v>
      </c>
      <c r="AB40" s="1393">
        <f t="shared" si="4"/>
        <v>1</v>
      </c>
      <c r="AC40" s="1393">
        <f t="shared" si="5"/>
        <v>1</v>
      </c>
    </row>
    <row r="41" spans="1:31" ht="15">
      <c r="A41" s="424" t="s">
        <v>2296</v>
      </c>
      <c r="B41" s="1960" t="s">
        <v>2374</v>
      </c>
      <c r="C41" s="610" t="s">
        <v>1</v>
      </c>
      <c r="D41" s="426"/>
      <c r="E41" s="427"/>
      <c r="F41" s="428"/>
      <c r="G41" s="429"/>
      <c r="H41" s="430"/>
      <c r="I41" s="427"/>
      <c r="J41" s="430"/>
      <c r="K41" s="683"/>
      <c r="L41" s="2656"/>
      <c r="M41" s="2649"/>
      <c r="N41" s="2649"/>
      <c r="O41" s="2649"/>
      <c r="P41" s="3360" t="str">
        <f>A41</f>
        <v>成交单价</v>
      </c>
      <c r="Q41" s="3360"/>
      <c r="R41" s="3373">
        <f>E41</f>
        <v>0</v>
      </c>
      <c r="S41" s="3373"/>
      <c r="T41" s="3373">
        <f>G41</f>
        <v>0</v>
      </c>
      <c r="U41" s="3373"/>
      <c r="V41" s="3373">
        <f>I41</f>
        <v>0</v>
      </c>
      <c r="W41" s="3373"/>
      <c r="X41" s="393"/>
      <c r="Y41" s="682"/>
      <c r="Z41" s="393"/>
      <c r="AA41" s="393"/>
      <c r="AB41" s="393"/>
      <c r="AC41" s="393"/>
    </row>
    <row r="42" spans="1:31" ht="15.75" thickBot="1">
      <c r="A42" s="431" t="s">
        <v>2245</v>
      </c>
      <c r="B42" s="611"/>
      <c r="C42" s="434" t="e">
        <f>R43</f>
        <v>#DIV/0!</v>
      </c>
      <c r="D42" s="2301" t="s">
        <v>2634</v>
      </c>
      <c r="E42" s="434" t="e">
        <f>R42</f>
        <v>#DIV/0!</v>
      </c>
      <c r="F42" s="2302"/>
      <c r="G42" s="433" t="e">
        <f>T42</f>
        <v>#DIV/0!</v>
      </c>
      <c r="H42" s="2302"/>
      <c r="I42" s="434" t="e">
        <f>V42</f>
        <v>#DIV/0!</v>
      </c>
      <c r="J42" s="2302"/>
      <c r="K42" s="2304">
        <f>F42+H42+J42</f>
        <v>0</v>
      </c>
      <c r="L42" s="2656"/>
      <c r="M42" s="2649"/>
      <c r="N42" s="2649"/>
      <c r="O42" s="2649"/>
      <c r="P42" s="3360" t="str">
        <f>A42</f>
        <v>比较价值（元/平方米）</v>
      </c>
      <c r="Q42" s="3360"/>
      <c r="R42" s="3379" t="e">
        <f>ROUND(PRODUCT(R41,AA7:AA40),0)</f>
        <v>#DIV/0!</v>
      </c>
      <c r="S42" s="3379"/>
      <c r="T42" s="3379" t="e">
        <f>ROUND(PRODUCT(T41,AB7:AB40),0)</f>
        <v>#DIV/0!</v>
      </c>
      <c r="U42" s="3379"/>
      <c r="V42" s="3379" t="e">
        <f>ROUND(PRODUCT(V41,AC7:AC40),0)</f>
        <v>#DIV/0!</v>
      </c>
      <c r="W42" s="3379"/>
      <c r="X42" s="393"/>
      <c r="Y42" s="393"/>
      <c r="Z42" s="393"/>
      <c r="AA42" s="393"/>
      <c r="AB42" s="393"/>
      <c r="AC42" s="393"/>
    </row>
    <row r="43" spans="1:31" ht="15.75" thickBot="1">
      <c r="A43" s="435" t="s">
        <v>2246</v>
      </c>
      <c r="B43" s="436"/>
      <c r="C43" s="437" t="e">
        <f>R43</f>
        <v>#DIV/0!</v>
      </c>
      <c r="D43" s="437"/>
      <c r="E43" s="437"/>
      <c r="F43" s="437"/>
      <c r="G43" s="437"/>
      <c r="H43" s="437"/>
      <c r="I43" s="437"/>
      <c r="J43" s="437"/>
      <c r="K43" s="684"/>
      <c r="L43" s="2656"/>
      <c r="M43" s="2649"/>
      <c r="N43" s="2649"/>
      <c r="O43" s="2649"/>
      <c r="P43" s="3380" t="str">
        <f>A43</f>
        <v>估价对象XX用房的比较价值（楼面单价，元/平方米）</v>
      </c>
      <c r="Q43" s="3381"/>
      <c r="R43" s="3382" t="e">
        <f>ROUND(IF(D42="简单平均",AVERAGE(R42:W42),R42*F42+T42*H42+V42*J42),0)</f>
        <v>#DIV/0!</v>
      </c>
      <c r="S43" s="3382"/>
      <c r="T43" s="3382"/>
      <c r="U43" s="3382"/>
      <c r="V43" s="3382"/>
      <c r="W43" s="3382"/>
      <c r="X43" s="393"/>
      <c r="Y43" s="393"/>
      <c r="Z43" s="393"/>
      <c r="AA43" s="393"/>
      <c r="AB43" s="393"/>
      <c r="AC43" s="393"/>
    </row>
    <row r="44" spans="1:31">
      <c r="A44" s="2649"/>
      <c r="B44" s="2649"/>
      <c r="C44" s="2649"/>
      <c r="D44" s="2649"/>
      <c r="E44" s="2649"/>
      <c r="F44" s="2649"/>
      <c r="G44" s="2660"/>
      <c r="H44" s="2649"/>
      <c r="I44" s="2649"/>
      <c r="J44" s="2649"/>
      <c r="K44" s="2661"/>
      <c r="L44" s="2657"/>
      <c r="M44" s="2649"/>
      <c r="N44" s="2649"/>
      <c r="O44" s="2649"/>
      <c r="P44" s="2649"/>
      <c r="Q44" s="2649"/>
      <c r="R44" s="2649"/>
      <c r="S44" s="2649"/>
      <c r="T44" s="2649"/>
      <c r="U44" s="2649"/>
      <c r="V44" s="2649"/>
      <c r="W44" s="2649"/>
      <c r="X44" s="2649"/>
      <c r="Y44" s="2649"/>
      <c r="Z44" s="2649"/>
      <c r="AA44" s="2649"/>
      <c r="AB44" s="2649"/>
      <c r="AC44" s="2649"/>
      <c r="AD44" s="2649"/>
      <c r="AE44" s="2649"/>
    </row>
    <row r="45" spans="1:31">
      <c r="A45" s="2649"/>
      <c r="B45" s="2649"/>
      <c r="C45" s="2649"/>
      <c r="D45" s="2649"/>
      <c r="E45" s="2649"/>
      <c r="F45" s="2649"/>
      <c r="G45" s="2649"/>
      <c r="H45" s="2649"/>
      <c r="I45" s="2649"/>
      <c r="J45" s="2649"/>
      <c r="K45" s="2661"/>
      <c r="L45" s="2657"/>
      <c r="M45" s="2649"/>
      <c r="N45" s="2649"/>
      <c r="O45" s="2649"/>
      <c r="P45" s="2649"/>
      <c r="Q45" s="2649"/>
      <c r="R45" s="2649"/>
      <c r="S45" s="2649"/>
      <c r="T45" s="2649"/>
      <c r="U45" s="2649"/>
      <c r="V45" s="2649"/>
      <c r="W45" s="2649"/>
      <c r="X45" s="2649"/>
      <c r="Y45" s="2649"/>
      <c r="Z45" s="2649"/>
      <c r="AA45" s="2649"/>
      <c r="AB45" s="2649"/>
      <c r="AC45" s="2649"/>
      <c r="AD45" s="2649"/>
      <c r="AE45" s="2649"/>
    </row>
    <row r="46" spans="1:31" ht="13.5" customHeight="1">
      <c r="A46" s="2649"/>
      <c r="B46" s="2649"/>
      <c r="C46" s="440" t="s">
        <v>2247</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1"/>
      <c r="L46" s="2657"/>
      <c r="M46" s="2649"/>
      <c r="N46" s="2649"/>
      <c r="O46" s="2649"/>
      <c r="P46" s="2649"/>
      <c r="Q46" s="2649"/>
      <c r="R46" s="2649"/>
      <c r="S46" s="2649"/>
      <c r="T46" s="2649"/>
      <c r="U46" s="2649"/>
      <c r="V46" s="2649"/>
      <c r="W46" s="2649"/>
      <c r="X46" s="2649"/>
      <c r="Y46" s="2649"/>
      <c r="Z46" s="2649"/>
      <c r="AA46" s="2649"/>
      <c r="AB46" s="2649"/>
      <c r="AC46" s="2649"/>
      <c r="AD46" s="2649"/>
      <c r="AE46" s="2649"/>
    </row>
    <row r="47" spans="1:31" ht="13.5" customHeight="1">
      <c r="A47" s="2649"/>
      <c r="B47" s="2649"/>
      <c r="C47" s="440" t="s">
        <v>2248</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1"/>
      <c r="L47" s="2657"/>
      <c r="M47" s="2649"/>
      <c r="N47" s="2649"/>
      <c r="O47" s="2649"/>
      <c r="P47" s="2649"/>
      <c r="Q47" s="2649"/>
      <c r="R47" s="2649"/>
      <c r="S47" s="2649"/>
      <c r="T47" s="2649"/>
      <c r="U47" s="2649"/>
      <c r="V47" s="2649"/>
      <c r="W47" s="2649"/>
      <c r="X47" s="2649"/>
      <c r="Y47" s="2649"/>
      <c r="Z47" s="2649"/>
      <c r="AA47" s="2649"/>
      <c r="AB47" s="2649"/>
      <c r="AC47" s="2649"/>
      <c r="AD47" s="2649"/>
      <c r="AE47" s="2649"/>
    </row>
    <row r="48" spans="1:31" s="445" customFormat="1" ht="13.5" customHeight="1">
      <c r="A48" s="2659"/>
      <c r="B48" s="2659"/>
      <c r="C48" s="440" t="s">
        <v>2249</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4"/>
      <c r="L48" s="2658"/>
      <c r="M48" s="2659"/>
      <c r="N48" s="2659"/>
      <c r="O48" s="2659"/>
      <c r="P48" s="2659"/>
      <c r="Q48" s="2659"/>
      <c r="R48" s="2659"/>
      <c r="S48" s="2659"/>
      <c r="T48" s="2659"/>
      <c r="U48" s="2659"/>
      <c r="V48" s="2659"/>
      <c r="W48" s="2659"/>
      <c r="X48" s="2659"/>
      <c r="Y48" s="2659"/>
      <c r="Z48" s="2659"/>
      <c r="AA48" s="2659"/>
      <c r="AB48" s="2659"/>
      <c r="AC48" s="2659"/>
      <c r="AD48" s="2659"/>
      <c r="AE48" s="2659"/>
    </row>
    <row r="49" spans="1:31" s="445" customFormat="1" ht="15" thickBot="1">
      <c r="A49" s="2659"/>
      <c r="B49" s="2662"/>
      <c r="C49" s="666"/>
      <c r="D49" s="664"/>
      <c r="E49" s="664"/>
      <c r="F49" s="664"/>
      <c r="G49" s="664"/>
      <c r="H49" s="664"/>
      <c r="I49" s="664"/>
      <c r="J49" s="664"/>
      <c r="K49" s="2664"/>
      <c r="L49" s="2658"/>
      <c r="M49" s="2659"/>
      <c r="N49" s="2659"/>
      <c r="O49" s="2659"/>
      <c r="P49" s="2659"/>
      <c r="Q49" s="2659"/>
      <c r="R49" s="2659"/>
      <c r="S49" s="2659"/>
      <c r="T49" s="2659"/>
      <c r="U49" s="2659"/>
      <c r="V49" s="2659"/>
      <c r="W49" s="2659"/>
      <c r="X49" s="2659"/>
      <c r="Y49" s="2659"/>
      <c r="Z49" s="2659"/>
      <c r="AA49" s="2659"/>
      <c r="AB49" s="2659"/>
      <c r="AC49" s="2659"/>
      <c r="AD49" s="2659"/>
      <c r="AE49" s="2659"/>
    </row>
    <row r="50" spans="1:31" ht="27">
      <c r="A50" s="612" t="s">
        <v>2334</v>
      </c>
      <c r="B50" s="613" t="s">
        <v>2335</v>
      </c>
      <c r="C50" s="1961" t="s">
        <v>2336</v>
      </c>
      <c r="D50" s="1962" t="s">
        <v>2337</v>
      </c>
      <c r="E50" s="614" t="s">
        <v>2338</v>
      </c>
      <c r="F50" s="615" t="s">
        <v>2339</v>
      </c>
      <c r="G50" s="3361" t="s">
        <v>2340</v>
      </c>
      <c r="H50" s="3383"/>
      <c r="I50" s="1393" t="s">
        <v>2375</v>
      </c>
      <c r="J50" s="1393">
        <f>项目基本情况!F35</f>
        <v>0</v>
      </c>
      <c r="K50" s="1964" t="s">
        <v>2342</v>
      </c>
      <c r="L50" s="2657"/>
      <c r="M50" s="2649"/>
      <c r="N50" s="2649"/>
      <c r="O50" s="2649"/>
      <c r="P50" s="2649"/>
      <c r="Q50" s="2649"/>
      <c r="R50" s="2649"/>
      <c r="S50" s="2649"/>
      <c r="T50" s="2649"/>
      <c r="U50" s="2649"/>
      <c r="V50" s="2649"/>
      <c r="W50" s="2649"/>
      <c r="X50" s="2649"/>
      <c r="Y50" s="2649"/>
      <c r="Z50" s="2649"/>
      <c r="AA50" s="2649"/>
      <c r="AB50" s="2649"/>
      <c r="AC50" s="2649"/>
      <c r="AD50" s="2649"/>
      <c r="AE50" s="2649"/>
    </row>
    <row r="51" spans="1:31" s="620" customFormat="1">
      <c r="A51" s="616" t="s">
        <v>2343</v>
      </c>
      <c r="B51" s="617" t="e">
        <f>C43</f>
        <v>#DIV/0!</v>
      </c>
      <c r="C51" s="618">
        <v>1</v>
      </c>
      <c r="D51" s="997">
        <v>1</v>
      </c>
      <c r="E51" s="618">
        <f>'数据-汇总表'!E8+'数据-汇总表'!E9</f>
        <v>116688.04</v>
      </c>
      <c r="F51" s="619" t="e">
        <f t="shared" ref="F51:F60" si="15">ROUND(B51*E51/10000,0)</f>
        <v>#DIV/0!</v>
      </c>
      <c r="G51" s="3384"/>
      <c r="H51" s="3360"/>
      <c r="I51" s="809">
        <v>1</v>
      </c>
      <c r="J51" s="809">
        <v>1</v>
      </c>
      <c r="K51" s="2659"/>
      <c r="L51" s="2708"/>
      <c r="M51" s="2708"/>
      <c r="N51" s="2708"/>
      <c r="O51" s="2708"/>
      <c r="P51" s="2708"/>
      <c r="Q51" s="2708"/>
      <c r="R51" s="2708"/>
      <c r="S51" s="2708"/>
      <c r="T51" s="2708"/>
      <c r="U51" s="2708"/>
      <c r="V51" s="2708"/>
      <c r="W51" s="2708"/>
      <c r="X51" s="2708"/>
      <c r="Y51" s="2708"/>
      <c r="Z51" s="2708"/>
      <c r="AA51" s="2708"/>
      <c r="AB51" s="2708"/>
      <c r="AC51" s="2708"/>
      <c r="AD51" s="2708"/>
      <c r="AE51" s="2708"/>
    </row>
    <row r="52" spans="1:31" s="620" customFormat="1">
      <c r="A52" s="621" t="s">
        <v>2344</v>
      </c>
      <c r="B52" s="216" t="e">
        <f>ROUND($C$43*C52*D52,0)</f>
        <v>#DIV/0!</v>
      </c>
      <c r="C52" s="168">
        <f t="shared" ref="C52:C60" si="16">IF($C$50="北京市系数",I52,J52)</f>
        <v>0</v>
      </c>
      <c r="D52" s="998">
        <v>0.25</v>
      </c>
      <c r="E52" s="622"/>
      <c r="F52" s="619" t="e">
        <f t="shared" si="15"/>
        <v>#DIV/0!</v>
      </c>
      <c r="G52" s="2955" t="s">
        <v>2345</v>
      </c>
      <c r="H52" s="941">
        <f>项目基本情况!B37</f>
        <v>0</v>
      </c>
      <c r="I52" s="809">
        <f>SUMIF(修正!A57:A68,H52,修正!B57:B68)</f>
        <v>0</v>
      </c>
      <c r="J52" s="810"/>
      <c r="K52" s="2649"/>
      <c r="L52" s="2708"/>
      <c r="M52" s="2708"/>
      <c r="N52" s="2708"/>
      <c r="O52" s="2708"/>
      <c r="P52" s="2708"/>
      <c r="Q52" s="2708"/>
      <c r="R52" s="2708"/>
      <c r="S52" s="2708"/>
      <c r="T52" s="2708"/>
      <c r="U52" s="2708"/>
      <c r="V52" s="2708"/>
      <c r="W52" s="2708"/>
      <c r="X52" s="2708"/>
      <c r="Y52" s="2708"/>
      <c r="Z52" s="2708"/>
      <c r="AA52" s="2708"/>
      <c r="AB52" s="2708"/>
      <c r="AC52" s="2708"/>
      <c r="AD52" s="2708"/>
      <c r="AE52" s="2708"/>
    </row>
    <row r="53" spans="1:31" s="620" customFormat="1">
      <c r="A53" s="621" t="s">
        <v>2346</v>
      </c>
      <c r="B53" s="216" t="e">
        <f t="shared" ref="B53:B60" si="17">ROUND($C$43*C53*D53,0)</f>
        <v>#DIV/0!</v>
      </c>
      <c r="C53" s="168">
        <f t="shared" si="16"/>
        <v>0</v>
      </c>
      <c r="D53" s="998">
        <v>0.25</v>
      </c>
      <c r="E53" s="622"/>
      <c r="F53" s="619" t="e">
        <f t="shared" si="15"/>
        <v>#DIV/0!</v>
      </c>
      <c r="G53" s="2956"/>
      <c r="H53" s="941">
        <f>项目基本情况!B37</f>
        <v>0</v>
      </c>
      <c r="I53" s="809">
        <f>SUMIF(修正!A57:A68,H53,修正!C57:C68)</f>
        <v>0</v>
      </c>
      <c r="J53" s="810"/>
      <c r="K53" s="2659"/>
      <c r="L53" s="2708"/>
      <c r="M53" s="2708"/>
      <c r="N53" s="2708"/>
      <c r="O53" s="2708"/>
      <c r="P53" s="2708"/>
      <c r="Q53" s="2708"/>
      <c r="R53" s="2708"/>
      <c r="S53" s="2708"/>
      <c r="T53" s="2708"/>
      <c r="U53" s="2708"/>
      <c r="V53" s="2708"/>
      <c r="W53" s="2708"/>
      <c r="X53" s="2708"/>
      <c r="Y53" s="2708"/>
      <c r="Z53" s="2708"/>
      <c r="AA53" s="2708"/>
      <c r="AB53" s="2708"/>
      <c r="AC53" s="2708"/>
      <c r="AD53" s="2708"/>
      <c r="AE53" s="2708"/>
    </row>
    <row r="54" spans="1:31" s="620" customFormat="1">
      <c r="A54" s="621" t="s">
        <v>2347</v>
      </c>
      <c r="B54" s="216" t="e">
        <f t="shared" si="17"/>
        <v>#DIV/0!</v>
      </c>
      <c r="C54" s="168">
        <f t="shared" si="16"/>
        <v>0</v>
      </c>
      <c r="D54" s="998">
        <v>0.25</v>
      </c>
      <c r="E54" s="622"/>
      <c r="F54" s="619" t="e">
        <f t="shared" si="15"/>
        <v>#DIV/0!</v>
      </c>
      <c r="G54" s="2956"/>
      <c r="H54" s="941">
        <f>项目基本情况!B37</f>
        <v>0</v>
      </c>
      <c r="I54" s="809">
        <f>SUMIF(修正!A57:A68,H54,修正!D57:D68)</f>
        <v>0</v>
      </c>
      <c r="J54" s="810"/>
      <c r="K54" s="2649"/>
      <c r="L54" s="2708"/>
      <c r="M54" s="2708"/>
      <c r="N54" s="2708"/>
      <c r="O54" s="2708"/>
      <c r="P54" s="2708"/>
      <c r="Q54" s="2708"/>
      <c r="R54" s="2708"/>
      <c r="S54" s="2708"/>
      <c r="T54" s="2708"/>
      <c r="U54" s="2708"/>
      <c r="V54" s="2708"/>
      <c r="W54" s="2708"/>
      <c r="X54" s="2708"/>
      <c r="Y54" s="2708"/>
      <c r="Z54" s="2708"/>
      <c r="AA54" s="2708"/>
      <c r="AB54" s="2708"/>
      <c r="AC54" s="2708"/>
      <c r="AD54" s="2708"/>
      <c r="AE54" s="2708"/>
    </row>
    <row r="55" spans="1:31" s="620" customFormat="1" hidden="1">
      <c r="A55" s="621"/>
      <c r="B55" s="216"/>
      <c r="C55" s="168"/>
      <c r="D55" s="998"/>
      <c r="E55" s="622"/>
      <c r="F55" s="619"/>
      <c r="G55" s="2957"/>
      <c r="H55" s="941"/>
      <c r="I55" s="809"/>
      <c r="J55" s="810"/>
      <c r="K55" s="2659"/>
      <c r="L55" s="2708"/>
      <c r="M55" s="2708"/>
      <c r="N55" s="2708"/>
      <c r="O55" s="2708"/>
      <c r="P55" s="2708"/>
      <c r="Q55" s="2708"/>
      <c r="R55" s="2708"/>
      <c r="S55" s="2708"/>
      <c r="T55" s="2708"/>
      <c r="U55" s="2708"/>
      <c r="V55" s="2708"/>
      <c r="W55" s="2708"/>
      <c r="X55" s="2708"/>
      <c r="Y55" s="2708"/>
      <c r="Z55" s="2708"/>
      <c r="AA55" s="2708"/>
      <c r="AB55" s="2708"/>
      <c r="AC55" s="2708"/>
      <c r="AD55" s="2708"/>
      <c r="AE55" s="2708"/>
    </row>
    <row r="56" spans="1:31" s="620" customFormat="1">
      <c r="A56" s="621" t="s">
        <v>2348</v>
      </c>
      <c r="B56" s="216" t="e">
        <f t="shared" si="17"/>
        <v>#DIV/0!</v>
      </c>
      <c r="C56" s="168">
        <f t="shared" si="16"/>
        <v>0.25</v>
      </c>
      <c r="D56" s="998">
        <v>0.25</v>
      </c>
      <c r="E56" s="215">
        <f>'数据-汇总表'!E11</f>
        <v>0</v>
      </c>
      <c r="F56" s="619" t="e">
        <f t="shared" si="15"/>
        <v>#DIV/0!</v>
      </c>
      <c r="G56" s="1965" t="s">
        <v>2349</v>
      </c>
      <c r="H56" s="941" t="str">
        <f>项目基本情况!C37</f>
        <v>五级</v>
      </c>
      <c r="I56" s="809">
        <f>SUMIF(修正!A57:A68,H56,修正!E57:E68)</f>
        <v>0.25</v>
      </c>
      <c r="J56" s="810"/>
      <c r="K56" s="2649"/>
      <c r="L56" s="2708"/>
      <c r="M56" s="2708"/>
      <c r="N56" s="2708"/>
      <c r="O56" s="2708"/>
      <c r="P56" s="2708"/>
      <c r="Q56" s="2708"/>
      <c r="R56" s="2708"/>
      <c r="S56" s="2708"/>
      <c r="T56" s="2708"/>
      <c r="U56" s="2708"/>
      <c r="V56" s="2708"/>
      <c r="W56" s="2708"/>
      <c r="X56" s="2708"/>
      <c r="Y56" s="2708"/>
      <c r="Z56" s="2708"/>
      <c r="AA56" s="2708"/>
      <c r="AB56" s="2708"/>
      <c r="AC56" s="2708"/>
      <c r="AD56" s="2708"/>
      <c r="AE56" s="2708"/>
    </row>
    <row r="57" spans="1:31" s="620" customFormat="1">
      <c r="A57" s="621" t="s">
        <v>2350</v>
      </c>
      <c r="B57" s="216" t="e">
        <f t="shared" si="17"/>
        <v>#DIV/0!</v>
      </c>
      <c r="C57" s="168">
        <f t="shared" si="16"/>
        <v>0.25</v>
      </c>
      <c r="D57" s="998">
        <v>0.25</v>
      </c>
      <c r="E57" s="215">
        <f>'数据-汇总表'!E12</f>
        <v>0</v>
      </c>
      <c r="F57" s="619" t="e">
        <f t="shared" si="15"/>
        <v>#DIV/0!</v>
      </c>
      <c r="G57" s="946" t="s">
        <v>2351</v>
      </c>
      <c r="H57" s="941" t="str">
        <f>IF(G57="商业",项目基本情况!B37,IF(G57="办公",项目基本情况!C37,IF(G57="住宅",项目基本情况!D37,项目基本情况!E37)))</f>
        <v>五级</v>
      </c>
      <c r="I57" s="809">
        <f>SUMIF(修正!A57:A68,H57,修正!F57:F68)</f>
        <v>0.25</v>
      </c>
      <c r="J57" s="810"/>
      <c r="K57" s="2659"/>
      <c r="L57" s="2708"/>
      <c r="M57" s="2708"/>
      <c r="N57" s="2708"/>
      <c r="O57" s="2708"/>
      <c r="P57" s="2708"/>
      <c r="Q57" s="2708"/>
      <c r="R57" s="2708"/>
      <c r="S57" s="2708"/>
      <c r="T57" s="2708"/>
      <c r="U57" s="2708"/>
      <c r="V57" s="2708"/>
      <c r="W57" s="2708"/>
      <c r="X57" s="2708"/>
      <c r="Y57" s="2708"/>
      <c r="Z57" s="2708"/>
      <c r="AA57" s="2708"/>
      <c r="AB57" s="2708"/>
      <c r="AC57" s="2708"/>
      <c r="AD57" s="2708"/>
      <c r="AE57" s="2708"/>
    </row>
    <row r="58" spans="1:31" s="620" customFormat="1">
      <c r="A58" s="621" t="s">
        <v>2352</v>
      </c>
      <c r="B58" s="216" t="e">
        <f t="shared" si="17"/>
        <v>#DIV/0!</v>
      </c>
      <c r="C58" s="168">
        <f t="shared" si="16"/>
        <v>0</v>
      </c>
      <c r="D58" s="998">
        <v>0.25</v>
      </c>
      <c r="E58" s="215">
        <f>'数据-汇总表'!E13</f>
        <v>0</v>
      </c>
      <c r="F58" s="619" t="e">
        <f t="shared" si="15"/>
        <v>#DIV/0!</v>
      </c>
      <c r="G58" s="946" t="s">
        <v>2353</v>
      </c>
      <c r="H58" s="941">
        <f>IF(G58="商业",项目基本情况!B37,IF(G58="办公",项目基本情况!C37,IF(G58="住宅",项目基本情况!D37,项目基本情况!E37)))</f>
        <v>0</v>
      </c>
      <c r="I58" s="809">
        <f>SUMIF(修正!A57:A68,H58,修正!G57:G68)</f>
        <v>0</v>
      </c>
      <c r="J58" s="810"/>
      <c r="K58" s="2649"/>
      <c r="L58" s="2708"/>
      <c r="M58" s="2708"/>
      <c r="N58" s="2708"/>
      <c r="O58" s="2708"/>
      <c r="P58" s="2708"/>
      <c r="Q58" s="2708"/>
      <c r="R58" s="2708"/>
      <c r="S58" s="2708"/>
      <c r="T58" s="2708"/>
      <c r="U58" s="2708"/>
      <c r="V58" s="2708"/>
      <c r="W58" s="2708"/>
      <c r="X58" s="2708"/>
      <c r="Y58" s="2708"/>
      <c r="Z58" s="2708"/>
      <c r="AA58" s="2708"/>
      <c r="AB58" s="2708"/>
      <c r="AC58" s="2708"/>
      <c r="AD58" s="2708"/>
      <c r="AE58" s="2708"/>
    </row>
    <row r="59" spans="1:31" s="620" customFormat="1">
      <c r="A59" s="621" t="s">
        <v>2354</v>
      </c>
      <c r="B59" s="216" t="e">
        <f t="shared" si="17"/>
        <v>#DIV/0!</v>
      </c>
      <c r="C59" s="168">
        <f t="shared" si="16"/>
        <v>0</v>
      </c>
      <c r="D59" s="998">
        <v>0.25</v>
      </c>
      <c r="E59" s="215">
        <f>'数据-汇总表'!E14</f>
        <v>0</v>
      </c>
      <c r="F59" s="619" t="e">
        <f t="shared" si="15"/>
        <v>#DIV/0!</v>
      </c>
      <c r="G59" s="1965" t="s">
        <v>2345</v>
      </c>
      <c r="H59" s="941">
        <f>项目基本情况!B37</f>
        <v>0</v>
      </c>
      <c r="I59" s="809">
        <f>SUMIF(修正!A57:A68,H59,修正!G57:G68)</f>
        <v>0</v>
      </c>
      <c r="J59" s="810"/>
      <c r="K59" s="2659"/>
      <c r="L59" s="2708"/>
      <c r="M59" s="2708"/>
      <c r="N59" s="2708"/>
      <c r="O59" s="2708"/>
      <c r="P59" s="2708"/>
      <c r="Q59" s="2708"/>
      <c r="R59" s="2708"/>
      <c r="S59" s="2708"/>
      <c r="T59" s="2708"/>
      <c r="U59" s="2708"/>
      <c r="V59" s="2708"/>
      <c r="W59" s="2708"/>
      <c r="X59" s="2708"/>
      <c r="Y59" s="2708"/>
      <c r="Z59" s="2708"/>
      <c r="AA59" s="2708"/>
      <c r="AB59" s="2708"/>
      <c r="AC59" s="2708"/>
      <c r="AD59" s="2708"/>
      <c r="AE59" s="2708"/>
    </row>
    <row r="60" spans="1:31" s="620" customFormat="1" ht="15" thickBot="1">
      <c r="A60" s="621" t="s">
        <v>2355</v>
      </c>
      <c r="B60" s="216" t="e">
        <f t="shared" si="17"/>
        <v>#DIV/0!</v>
      </c>
      <c r="C60" s="168">
        <f t="shared" si="16"/>
        <v>0.15</v>
      </c>
      <c r="D60" s="998">
        <v>0.25</v>
      </c>
      <c r="E60" s="215">
        <f>'数据-汇总表'!E15</f>
        <v>60266.74</v>
      </c>
      <c r="F60" s="619" t="e">
        <f t="shared" si="15"/>
        <v>#DIV/0!</v>
      </c>
      <c r="G60" s="1966" t="s">
        <v>2349</v>
      </c>
      <c r="H60" s="951" t="str">
        <f>项目基本情况!C37</f>
        <v>五级</v>
      </c>
      <c r="I60" s="809">
        <f>SUMIF(修正!A57:A68,H60,修正!G57:G68)</f>
        <v>0.15</v>
      </c>
      <c r="J60" s="810"/>
      <c r="K60" s="2649"/>
      <c r="L60" s="2708"/>
      <c r="M60" s="2708"/>
      <c r="N60" s="2708"/>
      <c r="O60" s="2708"/>
      <c r="P60" s="2708"/>
      <c r="Q60" s="2708"/>
      <c r="R60" s="2708"/>
      <c r="S60" s="2708"/>
      <c r="T60" s="2708"/>
      <c r="U60" s="2708"/>
      <c r="V60" s="2708"/>
      <c r="W60" s="2708"/>
      <c r="X60" s="2708"/>
      <c r="Y60" s="2708"/>
      <c r="Z60" s="2708"/>
      <c r="AA60" s="2708"/>
      <c r="AB60" s="2708"/>
      <c r="AC60" s="2708"/>
      <c r="AD60" s="2708"/>
      <c r="AE60" s="2708"/>
    </row>
    <row r="61" spans="1:31" s="620" customFormat="1" ht="15" thickBot="1">
      <c r="A61" s="623" t="s">
        <v>2356</v>
      </c>
      <c r="B61" s="624" t="s">
        <v>28</v>
      </c>
      <c r="C61" s="624" t="s">
        <v>29</v>
      </c>
      <c r="D61" s="624" t="s">
        <v>816</v>
      </c>
      <c r="E61" s="624">
        <f>IF(B41="楼面地价",SUM(E51:E60),'数据-汇总表'!D3)</f>
        <v>45717.88</v>
      </c>
      <c r="F61" s="625" t="e">
        <f>IF(B41="楼面地价",SUM(F51:F60),ROUND(C43*E61/10000,0))</f>
        <v>#DIV/0!</v>
      </c>
      <c r="G61" s="992"/>
      <c r="H61" s="992"/>
      <c r="I61" s="992"/>
      <c r="J61" s="992"/>
      <c r="K61" s="2661"/>
      <c r="L61" s="2708"/>
      <c r="M61" s="2708"/>
      <c r="N61" s="2708"/>
      <c r="O61" s="2708"/>
      <c r="P61" s="2708"/>
      <c r="Q61" s="2708"/>
      <c r="R61" s="2708"/>
      <c r="S61" s="2708"/>
      <c r="T61" s="2708"/>
      <c r="U61" s="2708"/>
      <c r="V61" s="2708"/>
      <c r="W61" s="2708"/>
      <c r="X61" s="2708"/>
      <c r="Y61" s="2708"/>
      <c r="Z61" s="2708"/>
      <c r="AA61" s="2708"/>
      <c r="AB61" s="2708"/>
      <c r="AC61" s="2708"/>
      <c r="AD61" s="2708"/>
      <c r="AE61" s="2708"/>
    </row>
    <row r="62" spans="1:31">
      <c r="A62" s="968"/>
      <c r="B62" s="982"/>
      <c r="C62" s="984"/>
      <c r="D62" s="968"/>
      <c r="E62" s="968"/>
      <c r="F62" s="968"/>
      <c r="G62" s="968"/>
      <c r="H62" s="968"/>
      <c r="I62" s="968"/>
      <c r="J62" s="968"/>
      <c r="K62" s="942"/>
      <c r="L62" s="943"/>
      <c r="M62" s="968"/>
      <c r="N62" s="968"/>
      <c r="O62" s="968"/>
      <c r="P62" s="2649"/>
      <c r="Q62" s="2649"/>
      <c r="R62" s="2649"/>
      <c r="S62" s="2649"/>
      <c r="T62" s="2649"/>
      <c r="U62" s="2649"/>
      <c r="V62" s="2649"/>
      <c r="W62" s="2649"/>
      <c r="X62" s="2649"/>
      <c r="Y62" s="2649"/>
      <c r="Z62" s="2649"/>
      <c r="AA62" s="2649"/>
      <c r="AB62" s="2649"/>
      <c r="AC62" s="2649"/>
      <c r="AD62" s="2649"/>
      <c r="AE62" s="2649"/>
    </row>
    <row r="63" spans="1:31">
      <c r="A63" s="968"/>
      <c r="B63" s="982"/>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49"/>
      <c r="Q63" s="2649"/>
      <c r="R63" s="2649"/>
      <c r="S63" s="2649"/>
      <c r="T63" s="2649"/>
      <c r="U63" s="2649"/>
      <c r="V63" s="2649"/>
      <c r="W63" s="2649"/>
      <c r="X63" s="2649"/>
      <c r="Y63" s="2649"/>
      <c r="Z63" s="2649"/>
      <c r="AA63" s="2649"/>
      <c r="AB63" s="2649"/>
      <c r="AC63" s="2649"/>
      <c r="AD63" s="2649"/>
      <c r="AE63" s="2649"/>
    </row>
    <row r="64" spans="1:31" ht="21.75" thickBot="1">
      <c r="A64" s="667" t="s">
        <v>2250</v>
      </c>
      <c r="B64" s="393"/>
      <c r="C64" s="668"/>
      <c r="D64" s="668"/>
      <c r="E64" s="668"/>
      <c r="F64" s="669"/>
      <c r="G64" s="669"/>
      <c r="H64" s="668"/>
      <c r="I64" s="668"/>
      <c r="J64" s="668"/>
      <c r="K64" s="670"/>
      <c r="L64" s="671"/>
      <c r="M64" s="668"/>
      <c r="N64" s="668"/>
      <c r="O64" s="993"/>
      <c r="P64" s="2699"/>
      <c r="Q64" s="2670"/>
      <c r="R64" s="2649"/>
      <c r="S64" s="2649"/>
      <c r="T64" s="2649"/>
      <c r="U64" s="2649"/>
      <c r="V64" s="2649"/>
      <c r="W64" s="2649"/>
      <c r="X64" s="2649"/>
      <c r="Y64" s="2649"/>
      <c r="Z64" s="2649"/>
      <c r="AA64" s="2649"/>
      <c r="AB64" s="2649"/>
      <c r="AC64" s="2649"/>
      <c r="AD64" s="2649"/>
      <c r="AE64" s="2649"/>
    </row>
    <row r="65" spans="1:31" s="450" customFormat="1" ht="15">
      <c r="A65" s="1760" t="s">
        <v>2357</v>
      </c>
      <c r="B65" s="1154"/>
      <c r="C65" s="1211" t="str">
        <f>YEAR(C63)&amp;"-"&amp;ROUNDUP(MONTH(C63)/3,0)</f>
        <v>2022-4</v>
      </c>
      <c r="D65" s="1211" t="str">
        <f t="shared" ref="D65:O65" si="19">YEAR(D63)&amp;"-"&amp;ROUNDUP(MONTH(D63)/3,0)</f>
        <v>2022-3</v>
      </c>
      <c r="E65" s="1211" t="str">
        <f t="shared" si="19"/>
        <v>2022-2</v>
      </c>
      <c r="F65" s="1211" t="str">
        <f t="shared" si="19"/>
        <v>2022-1</v>
      </c>
      <c r="G65" s="1211" t="str">
        <f t="shared" si="19"/>
        <v>2021-4</v>
      </c>
      <c r="H65" s="1211" t="str">
        <f t="shared" si="19"/>
        <v>2021-3</v>
      </c>
      <c r="I65" s="1211" t="str">
        <f t="shared" si="19"/>
        <v>2021-2</v>
      </c>
      <c r="J65" s="1211" t="str">
        <f t="shared" si="19"/>
        <v>2021-1</v>
      </c>
      <c r="K65" s="1211" t="str">
        <f t="shared" si="19"/>
        <v>2020-4</v>
      </c>
      <c r="L65" s="1211" t="str">
        <f t="shared" si="19"/>
        <v>2020-3</v>
      </c>
      <c r="M65" s="1211" t="str">
        <f t="shared" si="19"/>
        <v>2020-2</v>
      </c>
      <c r="N65" s="1211" t="str">
        <f t="shared" si="19"/>
        <v>2020-1</v>
      </c>
      <c r="O65" s="1211" t="str">
        <f t="shared" si="19"/>
        <v>2019-4</v>
      </c>
      <c r="P65" s="2672"/>
      <c r="Q65" s="2672"/>
      <c r="R65" s="2672"/>
      <c r="S65" s="2672"/>
      <c r="T65" s="2672"/>
      <c r="U65" s="2672"/>
      <c r="V65" s="2672"/>
      <c r="W65" s="2672"/>
      <c r="X65" s="2672"/>
      <c r="Y65" s="2672"/>
      <c r="Z65" s="2672"/>
      <c r="AA65" s="2672"/>
      <c r="AB65" s="2672"/>
      <c r="AC65" s="2672"/>
      <c r="AD65" s="2672"/>
      <c r="AE65" s="2672"/>
    </row>
    <row r="66" spans="1:31" s="107" customFormat="1" ht="30.75" customHeight="1">
      <c r="A66" s="1971" t="s">
        <v>2376</v>
      </c>
      <c r="B66" s="286" t="str">
        <f>"北京市平均增长率"&amp;TEXT(基准地价修正!P24,"0.00%")</f>
        <v>北京市平均增长率0.00%</v>
      </c>
      <c r="C66" s="538">
        <v>100</v>
      </c>
      <c r="D66" s="9"/>
      <c r="E66" s="9"/>
      <c r="F66" s="9"/>
      <c r="G66" s="9"/>
      <c r="H66" s="9"/>
      <c r="I66" s="9"/>
      <c r="J66" s="9"/>
      <c r="K66" s="9"/>
      <c r="L66" s="9"/>
      <c r="M66" s="1176"/>
      <c r="N66" s="1176"/>
      <c r="O66" s="1209"/>
      <c r="P66" s="2670"/>
      <c r="Q66" s="2603"/>
      <c r="R66" s="2603"/>
      <c r="S66" s="2603"/>
      <c r="T66" s="2603"/>
      <c r="U66" s="2603"/>
      <c r="V66" s="2603"/>
      <c r="W66" s="2603"/>
      <c r="X66" s="2603"/>
      <c r="Y66" s="2603"/>
      <c r="Z66" s="2603"/>
      <c r="AA66" s="2603"/>
      <c r="AB66" s="2603"/>
      <c r="AC66" s="2603"/>
      <c r="AD66" s="2603"/>
      <c r="AE66" s="2603"/>
    </row>
    <row r="67" spans="1:31" s="107" customFormat="1" ht="15.75" thickBot="1">
      <c r="A67" s="457" t="s">
        <v>2161</v>
      </c>
      <c r="B67" s="458"/>
      <c r="C67" s="459"/>
      <c r="D67" s="460"/>
      <c r="E67" s="460"/>
      <c r="F67" s="460"/>
      <c r="G67" s="460"/>
      <c r="H67" s="460"/>
      <c r="I67" s="460"/>
      <c r="J67" s="460"/>
      <c r="K67" s="460"/>
      <c r="L67" s="460"/>
      <c r="M67" s="461"/>
      <c r="N67" s="461"/>
      <c r="O67" s="462"/>
      <c r="P67" s="2670"/>
      <c r="Q67" s="2670"/>
      <c r="R67" s="2603"/>
      <c r="S67" s="2603"/>
      <c r="T67" s="2603"/>
      <c r="U67" s="2603"/>
      <c r="V67" s="2603"/>
      <c r="W67" s="2603"/>
      <c r="X67" s="2603"/>
      <c r="Y67" s="2603"/>
      <c r="Z67" s="2603"/>
      <c r="AA67" s="2603"/>
      <c r="AB67" s="2603"/>
      <c r="AC67" s="2603"/>
      <c r="AD67" s="2603"/>
      <c r="AE67" s="2603"/>
    </row>
    <row r="68" spans="1:31" s="107" customFormat="1" ht="15">
      <c r="A68" s="463" t="s">
        <v>2126</v>
      </c>
      <c r="B68" s="452"/>
      <c r="C68" s="464" t="s">
        <v>2228</v>
      </c>
      <c r="D68" s="34"/>
      <c r="E68" s="34"/>
      <c r="F68" s="34"/>
      <c r="G68" s="34"/>
      <c r="H68" s="34"/>
      <c r="I68" s="34"/>
      <c r="J68" s="34"/>
      <c r="K68" s="34"/>
      <c r="L68" s="465"/>
      <c r="M68" s="466"/>
      <c r="N68" s="2682"/>
      <c r="O68" s="2682"/>
      <c r="P68" s="2706"/>
      <c r="Q68" s="2670"/>
      <c r="R68" s="2603"/>
      <c r="S68" s="2603"/>
      <c r="T68" s="2603"/>
      <c r="U68" s="2603"/>
      <c r="V68" s="2603"/>
      <c r="W68" s="2603"/>
      <c r="X68" s="2603"/>
      <c r="Y68" s="2603"/>
      <c r="Z68" s="2603"/>
      <c r="AA68" s="2603"/>
      <c r="AB68" s="2603"/>
      <c r="AC68" s="2603"/>
      <c r="AD68" s="2603"/>
      <c r="AE68" s="2603"/>
    </row>
    <row r="69" spans="1:31" s="107" customFormat="1" ht="15.75" thickBot="1">
      <c r="A69" s="463"/>
      <c r="B69" s="452"/>
      <c r="C69" s="571">
        <v>100</v>
      </c>
      <c r="D69" s="454"/>
      <c r="E69" s="454"/>
      <c r="F69" s="454"/>
      <c r="G69" s="454"/>
      <c r="H69" s="454"/>
      <c r="I69" s="454"/>
      <c r="J69" s="454"/>
      <c r="K69" s="454"/>
      <c r="L69" s="454"/>
      <c r="M69" s="456"/>
      <c r="N69" s="2682"/>
      <c r="O69" s="2682"/>
      <c r="P69" s="2670"/>
      <c r="Q69" s="2670"/>
      <c r="R69" s="2603"/>
      <c r="S69" s="2603"/>
      <c r="T69" s="2603"/>
      <c r="U69" s="2603"/>
      <c r="V69" s="2603"/>
      <c r="W69" s="2603"/>
      <c r="X69" s="2603"/>
      <c r="Y69" s="2603"/>
      <c r="Z69" s="2603"/>
      <c r="AA69" s="2603"/>
      <c r="AB69" s="2603"/>
      <c r="AC69" s="2603"/>
      <c r="AD69" s="2603"/>
      <c r="AE69" s="2603"/>
    </row>
    <row r="70" spans="1:31">
      <c r="A70" s="387" t="s">
        <v>2164</v>
      </c>
      <c r="B70" s="468" t="s">
        <v>2130</v>
      </c>
      <c r="C70" s="470"/>
      <c r="D70" s="470"/>
      <c r="E70" s="470"/>
      <c r="F70" s="470"/>
      <c r="G70" s="470"/>
      <c r="H70" s="470"/>
      <c r="I70" s="470"/>
      <c r="J70" s="470"/>
      <c r="K70" s="471"/>
      <c r="L70" s="472"/>
      <c r="M70" s="473"/>
      <c r="N70" s="2683"/>
      <c r="O70" s="2683"/>
      <c r="P70" s="2682"/>
      <c r="Q70" s="2670"/>
      <c r="R70" s="2649"/>
      <c r="S70" s="2649"/>
      <c r="T70" s="2649"/>
      <c r="U70" s="2649"/>
      <c r="V70" s="2649"/>
      <c r="W70" s="2649"/>
      <c r="X70" s="2649"/>
      <c r="Y70" s="2649"/>
      <c r="Z70" s="2649"/>
      <c r="AA70" s="2649"/>
      <c r="AB70" s="2649"/>
      <c r="AC70" s="2649"/>
      <c r="AD70" s="2649"/>
      <c r="AE70" s="2649"/>
    </row>
    <row r="71" spans="1:31" ht="15.75" thickBot="1">
      <c r="A71" s="375"/>
      <c r="B71" s="474"/>
      <c r="C71" s="475"/>
      <c r="D71" s="475"/>
      <c r="E71" s="475"/>
      <c r="F71" s="475"/>
      <c r="G71" s="475"/>
      <c r="H71" s="475"/>
      <c r="I71" s="475"/>
      <c r="J71" s="475"/>
      <c r="K71" s="475"/>
      <c r="L71" s="475"/>
      <c r="M71" s="476"/>
      <c r="N71" s="2684"/>
      <c r="O71" s="2684"/>
      <c r="P71" s="2682"/>
      <c r="Q71" s="2670"/>
      <c r="R71" s="2649"/>
      <c r="S71" s="2649"/>
      <c r="T71" s="2649"/>
      <c r="U71" s="2649"/>
      <c r="V71" s="2649"/>
      <c r="W71" s="2649"/>
      <c r="X71" s="2649"/>
      <c r="Y71" s="2649"/>
      <c r="Z71" s="2649"/>
      <c r="AA71" s="2649"/>
      <c r="AB71" s="2649"/>
      <c r="AC71" s="2649"/>
      <c r="AD71" s="2649"/>
      <c r="AE71" s="2649"/>
    </row>
    <row r="72" spans="1:31" ht="27.75" thickTop="1">
      <c r="A72" s="375"/>
      <c r="B72" s="477" t="s">
        <v>2133</v>
      </c>
      <c r="C72" s="478"/>
      <c r="D72" s="478"/>
      <c r="E72" s="478"/>
      <c r="F72" s="478"/>
      <c r="G72" s="478"/>
      <c r="H72" s="478"/>
      <c r="I72" s="478"/>
      <c r="J72" s="478"/>
      <c r="K72" s="479"/>
      <c r="L72" s="480"/>
      <c r="M72" s="481"/>
      <c r="N72" s="2683"/>
      <c r="O72" s="2683"/>
      <c r="P72" s="2682"/>
      <c r="Q72" s="2670"/>
      <c r="R72" s="2649"/>
      <c r="S72" s="2649"/>
      <c r="T72" s="2649"/>
      <c r="U72" s="2649"/>
      <c r="V72" s="2649"/>
      <c r="W72" s="2649"/>
      <c r="X72" s="2649"/>
      <c r="Y72" s="2649"/>
      <c r="Z72" s="2649"/>
      <c r="AA72" s="2649"/>
      <c r="AB72" s="2649"/>
      <c r="AC72" s="2649"/>
      <c r="AD72" s="2649"/>
      <c r="AE72" s="2649"/>
    </row>
    <row r="73" spans="1:31" ht="15.75" thickBot="1">
      <c r="A73" s="375"/>
      <c r="B73" s="482"/>
      <c r="C73" s="483"/>
      <c r="D73" s="483"/>
      <c r="E73" s="483"/>
      <c r="F73" s="483"/>
      <c r="G73" s="483"/>
      <c r="H73" s="483"/>
      <c r="I73" s="483"/>
      <c r="J73" s="483"/>
      <c r="K73" s="483"/>
      <c r="L73" s="483"/>
      <c r="M73" s="484"/>
      <c r="N73" s="2684"/>
      <c r="O73" s="2684"/>
      <c r="P73" s="2682"/>
      <c r="Q73" s="2670"/>
      <c r="R73" s="2649"/>
      <c r="S73" s="2649"/>
      <c r="T73" s="2649"/>
      <c r="U73" s="2649"/>
      <c r="V73" s="2649"/>
      <c r="W73" s="2649"/>
      <c r="X73" s="2649"/>
      <c r="Y73" s="2649"/>
      <c r="Z73" s="2649"/>
      <c r="AA73" s="2649"/>
      <c r="AB73" s="2649"/>
      <c r="AC73" s="2649"/>
      <c r="AD73" s="2649"/>
      <c r="AE73" s="2649"/>
    </row>
    <row r="74" spans="1:31" ht="15.75" thickTop="1">
      <c r="A74" s="375"/>
      <c r="B74" s="485" t="s">
        <v>2134</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4"/>
      <c r="O74" s="2684"/>
      <c r="P74" s="2682"/>
      <c r="Q74" s="2670"/>
      <c r="R74" s="2649"/>
      <c r="S74" s="2649"/>
      <c r="T74" s="2649"/>
      <c r="U74" s="2649"/>
      <c r="V74" s="2649"/>
      <c r="W74" s="2649"/>
      <c r="X74" s="2649"/>
      <c r="Y74" s="2649"/>
      <c r="Z74" s="2649"/>
      <c r="AA74" s="2649"/>
      <c r="AB74" s="2649"/>
      <c r="AC74" s="2649"/>
      <c r="AD74" s="2649"/>
      <c r="AE74" s="2649"/>
    </row>
    <row r="75" spans="1:31" ht="15">
      <c r="A75" s="375"/>
      <c r="B75" s="487"/>
      <c r="C75" s="488"/>
      <c r="D75" s="488"/>
      <c r="E75" s="488"/>
      <c r="F75" s="488"/>
      <c r="G75" s="488"/>
      <c r="H75" s="488"/>
      <c r="I75" s="488"/>
      <c r="J75" s="488"/>
      <c r="K75" s="489"/>
      <c r="L75" s="490"/>
      <c r="M75" s="491"/>
      <c r="N75" s="2683"/>
      <c r="O75" s="2683"/>
      <c r="P75" s="2682"/>
      <c r="Q75" s="2670"/>
      <c r="R75" s="2649"/>
      <c r="S75" s="2649"/>
      <c r="T75" s="2649"/>
      <c r="U75" s="2649"/>
      <c r="V75" s="2649"/>
      <c r="W75" s="2649"/>
      <c r="X75" s="2649"/>
      <c r="Y75" s="2649"/>
      <c r="Z75" s="2649"/>
      <c r="AA75" s="2649"/>
      <c r="AB75" s="2649"/>
      <c r="AC75" s="2649"/>
      <c r="AD75" s="2649"/>
      <c r="AE75" s="2649"/>
    </row>
    <row r="76" spans="1:31" ht="15.7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4"/>
      <c r="O76" s="2684"/>
      <c r="P76" s="2682"/>
      <c r="Q76" s="2670"/>
      <c r="R76" s="2649"/>
      <c r="S76" s="2649"/>
      <c r="T76" s="2649"/>
      <c r="U76" s="2649"/>
      <c r="V76" s="2649"/>
      <c r="W76" s="2649"/>
      <c r="X76" s="2649"/>
      <c r="Y76" s="2649"/>
      <c r="Z76" s="2649"/>
      <c r="AA76" s="2649"/>
      <c r="AB76" s="2649"/>
      <c r="AC76" s="2649"/>
      <c r="AD76" s="2649"/>
      <c r="AE76" s="2649"/>
    </row>
    <row r="77" spans="1:31" s="416" customFormat="1" ht="15.75" thickTop="1">
      <c r="A77" s="492"/>
      <c r="B77" s="477">
        <f>B12</f>
        <v>111</v>
      </c>
      <c r="C77" s="493"/>
      <c r="D77" s="493"/>
      <c r="E77" s="493"/>
      <c r="F77" s="493"/>
      <c r="G77" s="493"/>
      <c r="H77" s="494"/>
      <c r="I77" s="494"/>
      <c r="J77" s="494"/>
      <c r="K77" s="494"/>
      <c r="L77" s="495"/>
      <c r="M77" s="496"/>
      <c r="N77" s="2685"/>
      <c r="O77" s="2685"/>
      <c r="P77" s="2685"/>
      <c r="Q77" s="2677"/>
      <c r="R77" s="2655"/>
      <c r="S77" s="2655"/>
      <c r="T77" s="2655"/>
      <c r="U77" s="2655"/>
      <c r="V77" s="2655"/>
      <c r="W77" s="2655"/>
      <c r="X77" s="2655"/>
      <c r="Y77" s="2655"/>
      <c r="Z77" s="2655"/>
      <c r="AA77" s="2655"/>
      <c r="AB77" s="2655"/>
      <c r="AC77" s="2655"/>
      <c r="AD77" s="2655"/>
      <c r="AE77" s="2655"/>
    </row>
    <row r="78" spans="1:31" s="416" customFormat="1" ht="15.75" thickBot="1">
      <c r="A78" s="492"/>
      <c r="B78" s="482"/>
      <c r="C78" s="499"/>
      <c r="D78" s="475"/>
      <c r="E78" s="475"/>
      <c r="F78" s="475"/>
      <c r="G78" s="475"/>
      <c r="H78" s="475"/>
      <c r="I78" s="475"/>
      <c r="J78" s="475"/>
      <c r="K78" s="475"/>
      <c r="L78" s="475"/>
      <c r="M78" s="476"/>
      <c r="N78" s="2684"/>
      <c r="O78" s="2684"/>
      <c r="P78" s="2685"/>
      <c r="Q78" s="2677"/>
      <c r="R78" s="2655"/>
      <c r="S78" s="2655"/>
      <c r="T78" s="2655"/>
      <c r="U78" s="2655"/>
      <c r="V78" s="2655"/>
      <c r="W78" s="2655"/>
      <c r="X78" s="2655"/>
      <c r="Y78" s="2655"/>
      <c r="Z78" s="2655"/>
      <c r="AA78" s="2655"/>
      <c r="AB78" s="2655"/>
      <c r="AC78" s="2655"/>
      <c r="AD78" s="2655"/>
      <c r="AE78" s="2655"/>
    </row>
    <row r="79" spans="1:31" s="416" customFormat="1" ht="15.75" thickTop="1">
      <c r="A79" s="492"/>
      <c r="B79" s="477">
        <f>B13</f>
        <v>111</v>
      </c>
      <c r="C79" s="493"/>
      <c r="D79" s="493"/>
      <c r="E79" s="493"/>
      <c r="F79" s="493"/>
      <c r="G79" s="493"/>
      <c r="H79" s="494"/>
      <c r="I79" s="494"/>
      <c r="J79" s="494"/>
      <c r="K79" s="494"/>
      <c r="L79" s="495"/>
      <c r="M79" s="496"/>
      <c r="N79" s="2685"/>
      <c r="O79" s="2685"/>
      <c r="P79" s="2655"/>
      <c r="Q79" s="2679"/>
      <c r="R79" s="2655"/>
      <c r="S79" s="2655"/>
      <c r="T79" s="2655"/>
      <c r="U79" s="2655"/>
      <c r="V79" s="2655"/>
      <c r="W79" s="2655"/>
      <c r="X79" s="2655"/>
      <c r="Y79" s="2655"/>
      <c r="Z79" s="2655"/>
      <c r="AA79" s="2655"/>
      <c r="AB79" s="2655"/>
      <c r="AC79" s="2655"/>
      <c r="AD79" s="2655"/>
      <c r="AE79" s="2655"/>
    </row>
    <row r="80" spans="1:31" s="416" customFormat="1" ht="15.75" thickBot="1">
      <c r="A80" s="492"/>
      <c r="B80" s="482"/>
      <c r="C80" s="499"/>
      <c r="D80" s="499"/>
      <c r="E80" s="499"/>
      <c r="F80" s="499"/>
      <c r="G80" s="499"/>
      <c r="H80" s="501"/>
      <c r="I80" s="501"/>
      <c r="J80" s="501"/>
      <c r="K80" s="501"/>
      <c r="L80" s="501"/>
      <c r="M80" s="502"/>
      <c r="N80" s="2685"/>
      <c r="O80" s="2685"/>
      <c r="P80" s="2685"/>
      <c r="Q80" s="2677"/>
      <c r="R80" s="2655"/>
      <c r="S80" s="2655"/>
      <c r="T80" s="2655"/>
      <c r="U80" s="2655"/>
      <c r="V80" s="2655"/>
      <c r="W80" s="2655"/>
      <c r="X80" s="2655"/>
      <c r="Y80" s="2655"/>
      <c r="Z80" s="2655"/>
      <c r="AA80" s="2655"/>
      <c r="AB80" s="2655"/>
      <c r="AC80" s="2655"/>
      <c r="AD80" s="2655"/>
      <c r="AE80" s="2655"/>
    </row>
    <row r="81" spans="1:31" s="416" customFormat="1" ht="15.75" thickTop="1">
      <c r="A81" s="492"/>
      <c r="B81" s="485">
        <f>B14</f>
        <v>111</v>
      </c>
      <c r="C81" s="34"/>
      <c r="D81" s="34"/>
      <c r="E81" s="34"/>
      <c r="F81" s="34"/>
      <c r="G81" s="34"/>
      <c r="H81" s="503"/>
      <c r="I81" s="503"/>
      <c r="J81" s="503"/>
      <c r="K81" s="503"/>
      <c r="L81" s="504"/>
      <c r="M81" s="505"/>
      <c r="N81" s="2685"/>
      <c r="O81" s="2685"/>
      <c r="P81" s="2710"/>
      <c r="Q81" s="2677"/>
      <c r="R81" s="2655"/>
      <c r="S81" s="2655"/>
      <c r="T81" s="2655"/>
      <c r="U81" s="2655"/>
      <c r="V81" s="2655"/>
      <c r="W81" s="2655"/>
      <c r="X81" s="2655"/>
      <c r="Y81" s="2655"/>
      <c r="Z81" s="2655"/>
      <c r="AA81" s="2655"/>
      <c r="AB81" s="2655"/>
      <c r="AC81" s="2655"/>
      <c r="AD81" s="2655"/>
      <c r="AE81" s="2655"/>
    </row>
    <row r="82" spans="1:31" s="416" customFormat="1" ht="15.75" thickBot="1">
      <c r="A82" s="507"/>
      <c r="B82" s="508"/>
      <c r="C82" s="509"/>
      <c r="D82" s="509"/>
      <c r="E82" s="509"/>
      <c r="F82" s="509"/>
      <c r="G82" s="509"/>
      <c r="H82" s="510"/>
      <c r="I82" s="510"/>
      <c r="J82" s="510"/>
      <c r="K82" s="510"/>
      <c r="L82" s="510"/>
      <c r="M82" s="511"/>
      <c r="N82" s="2685"/>
      <c r="O82" s="2685"/>
      <c r="P82" s="2685"/>
      <c r="Q82" s="2677"/>
      <c r="R82" s="2655"/>
      <c r="S82" s="2655"/>
      <c r="T82" s="2655"/>
      <c r="U82" s="2655"/>
      <c r="V82" s="2655"/>
      <c r="W82" s="2655"/>
      <c r="X82" s="2655"/>
      <c r="Y82" s="2655"/>
      <c r="Z82" s="2655"/>
      <c r="AA82" s="2655"/>
      <c r="AB82" s="2655"/>
      <c r="AC82" s="2655"/>
      <c r="AD82" s="2655"/>
      <c r="AE82" s="2655"/>
    </row>
    <row r="83" spans="1:31">
      <c r="A83" s="387" t="s">
        <v>2135</v>
      </c>
      <c r="B83" s="468" t="s">
        <v>2281</v>
      </c>
      <c r="C83" s="512" t="s">
        <v>2173</v>
      </c>
      <c r="D83" s="512" t="s">
        <v>2174</v>
      </c>
      <c r="E83" s="512" t="s">
        <v>2175</v>
      </c>
      <c r="F83" s="512" t="s">
        <v>2176</v>
      </c>
      <c r="G83" s="512" t="s">
        <v>2177</v>
      </c>
      <c r="H83" s="469"/>
      <c r="I83" s="469"/>
      <c r="J83" s="469"/>
      <c r="K83" s="513"/>
      <c r="L83" s="514"/>
      <c r="M83" s="515"/>
      <c r="N83" s="2683"/>
      <c r="O83" s="2683"/>
      <c r="P83" s="2707"/>
      <c r="Q83" s="2670"/>
      <c r="R83" s="2649"/>
      <c r="S83" s="2649"/>
      <c r="T83" s="2649"/>
      <c r="U83" s="2649"/>
      <c r="V83" s="2649"/>
      <c r="W83" s="2649"/>
      <c r="X83" s="2649"/>
      <c r="Y83" s="2649"/>
      <c r="Z83" s="2649"/>
      <c r="AA83" s="2649"/>
      <c r="AB83" s="2649"/>
      <c r="AC83" s="2649"/>
      <c r="AD83" s="2649"/>
      <c r="AE83" s="2649"/>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84"/>
      <c r="O84" s="2684"/>
      <c r="P84" s="2682"/>
      <c r="Q84" s="2670"/>
      <c r="R84" s="2649"/>
      <c r="S84" s="2649"/>
      <c r="T84" s="2649"/>
      <c r="U84" s="2649"/>
      <c r="V84" s="2649"/>
      <c r="W84" s="2649"/>
      <c r="X84" s="2649"/>
      <c r="Y84" s="2649"/>
      <c r="Z84" s="2649"/>
      <c r="AA84" s="2649"/>
      <c r="AB84" s="2649"/>
      <c r="AC84" s="2649"/>
      <c r="AD84" s="2649"/>
      <c r="AE84" s="2649"/>
    </row>
    <row r="85" spans="1:31" ht="15.75" thickTop="1">
      <c r="A85" s="375"/>
      <c r="B85" s="477" t="s">
        <v>2178</v>
      </c>
      <c r="C85" s="517" t="s">
        <v>2173</v>
      </c>
      <c r="D85" s="517" t="s">
        <v>2174</v>
      </c>
      <c r="E85" s="517" t="s">
        <v>2175</v>
      </c>
      <c r="F85" s="517" t="s">
        <v>2176</v>
      </c>
      <c r="G85" s="517" t="s">
        <v>2177</v>
      </c>
      <c r="H85" s="478"/>
      <c r="I85" s="478"/>
      <c r="J85" s="478"/>
      <c r="K85" s="479"/>
      <c r="L85" s="480"/>
      <c r="M85" s="481"/>
      <c r="N85" s="2683"/>
      <c r="O85" s="2683"/>
      <c r="P85" s="2682"/>
      <c r="Q85" s="2670"/>
      <c r="R85" s="2649"/>
      <c r="S85" s="2649"/>
      <c r="T85" s="2649"/>
      <c r="U85" s="2649"/>
      <c r="V85" s="2649"/>
      <c r="W85" s="2649"/>
      <c r="X85" s="2649"/>
      <c r="Y85" s="2649"/>
      <c r="Z85" s="2649"/>
      <c r="AA85" s="2649"/>
      <c r="AB85" s="2649"/>
      <c r="AC85" s="2649"/>
      <c r="AD85" s="2649"/>
      <c r="AE85" s="2649"/>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84"/>
      <c r="O86" s="2684"/>
      <c r="P86" s="2682"/>
      <c r="Q86" s="2670"/>
      <c r="R86" s="2649"/>
      <c r="S86" s="2649"/>
      <c r="T86" s="2649"/>
      <c r="U86" s="2649"/>
      <c r="V86" s="2649"/>
      <c r="W86" s="2649"/>
      <c r="X86" s="2649"/>
      <c r="Y86" s="2649"/>
      <c r="Z86" s="2649"/>
      <c r="AA86" s="2649"/>
      <c r="AB86" s="2649"/>
      <c r="AC86" s="2649"/>
      <c r="AD86" s="2649"/>
      <c r="AE86" s="2649"/>
    </row>
    <row r="87" spans="1:31" s="107" customFormat="1" ht="15.75" thickTop="1">
      <c r="A87" s="378"/>
      <c r="B87" s="477" t="s">
        <v>2359</v>
      </c>
      <c r="C87" s="512" t="s">
        <v>2173</v>
      </c>
      <c r="D87" s="512" t="s">
        <v>2174</v>
      </c>
      <c r="E87" s="512" t="s">
        <v>2175</v>
      </c>
      <c r="F87" s="512" t="s">
        <v>2176</v>
      </c>
      <c r="G87" s="512" t="s">
        <v>2177</v>
      </c>
      <c r="H87" s="517"/>
      <c r="I87" s="517"/>
      <c r="J87" s="517"/>
      <c r="K87" s="517"/>
      <c r="L87" s="626"/>
      <c r="M87" s="555"/>
      <c r="N87" s="2682"/>
      <c r="O87" s="2682"/>
      <c r="P87" s="2682"/>
      <c r="Q87" s="2670"/>
      <c r="R87" s="2603"/>
      <c r="S87" s="2603"/>
      <c r="T87" s="2603"/>
      <c r="U87" s="2603"/>
      <c r="V87" s="2603"/>
      <c r="W87" s="2603"/>
      <c r="X87" s="2603"/>
      <c r="Y87" s="2603"/>
      <c r="Z87" s="2603"/>
      <c r="AA87" s="2603"/>
      <c r="AB87" s="2603"/>
      <c r="AC87" s="2603"/>
      <c r="AD87" s="2603"/>
      <c r="AE87" s="2603"/>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84"/>
      <c r="O88" s="2684"/>
      <c r="P88" s="2682"/>
      <c r="Q88" s="2670"/>
      <c r="R88" s="2603"/>
      <c r="S88" s="2603"/>
      <c r="T88" s="2603"/>
      <c r="U88" s="2603"/>
      <c r="V88" s="2603"/>
      <c r="W88" s="2603"/>
      <c r="X88" s="2603"/>
      <c r="Y88" s="2603"/>
      <c r="Z88" s="2603"/>
      <c r="AA88" s="2603"/>
      <c r="AB88" s="2603"/>
      <c r="AC88" s="2603"/>
      <c r="AD88" s="2603"/>
      <c r="AE88" s="2603"/>
    </row>
    <row r="89" spans="1:31" s="107" customFormat="1" ht="27.75" thickTop="1">
      <c r="A89" s="378"/>
      <c r="B89" s="477" t="s">
        <v>2360</v>
      </c>
      <c r="C89" s="512" t="s">
        <v>2173</v>
      </c>
      <c r="D89" s="512" t="s">
        <v>2174</v>
      </c>
      <c r="E89" s="512" t="s">
        <v>2175</v>
      </c>
      <c r="F89" s="512" t="s">
        <v>2176</v>
      </c>
      <c r="G89" s="512" t="s">
        <v>2177</v>
      </c>
      <c r="H89" s="517"/>
      <c r="I89" s="517"/>
      <c r="J89" s="517"/>
      <c r="K89" s="517"/>
      <c r="L89" s="517"/>
      <c r="M89" s="555"/>
      <c r="N89" s="2682"/>
      <c r="O89" s="2682"/>
      <c r="P89" s="2682"/>
      <c r="Q89" s="2670"/>
      <c r="R89" s="2603"/>
      <c r="S89" s="2603"/>
      <c r="T89" s="2603"/>
      <c r="U89" s="2603"/>
      <c r="V89" s="2603"/>
      <c r="W89" s="2603"/>
      <c r="X89" s="2603"/>
      <c r="Y89" s="2603"/>
      <c r="Z89" s="2603"/>
      <c r="AA89" s="2603"/>
      <c r="AB89" s="2603"/>
      <c r="AC89" s="2603"/>
      <c r="AD89" s="2603"/>
      <c r="AE89" s="2603"/>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84"/>
      <c r="O90" s="2684"/>
      <c r="P90" s="2682"/>
      <c r="Q90" s="2670"/>
      <c r="R90" s="2603"/>
      <c r="S90" s="2603"/>
      <c r="T90" s="2603"/>
      <c r="U90" s="2603"/>
      <c r="V90" s="2603"/>
      <c r="W90" s="2603"/>
      <c r="X90" s="2603"/>
      <c r="Y90" s="2603"/>
      <c r="Z90" s="2603"/>
      <c r="AA90" s="2603"/>
      <c r="AB90" s="2603"/>
      <c r="AC90" s="2603"/>
      <c r="AD90" s="2603"/>
      <c r="AE90" s="2603"/>
    </row>
    <row r="91" spans="1:31" s="416" customFormat="1" ht="15.75" thickTop="1">
      <c r="A91" s="492"/>
      <c r="B91" s="477" t="s">
        <v>2230</v>
      </c>
      <c r="C91" s="512" t="s">
        <v>2173</v>
      </c>
      <c r="D91" s="512" t="s">
        <v>2174</v>
      </c>
      <c r="E91" s="512" t="s">
        <v>2175</v>
      </c>
      <c r="F91" s="512" t="s">
        <v>2176</v>
      </c>
      <c r="G91" s="512" t="s">
        <v>2177</v>
      </c>
      <c r="H91" s="535"/>
      <c r="I91" s="535"/>
      <c r="J91" s="535"/>
      <c r="K91" s="535"/>
      <c r="L91" s="536"/>
      <c r="M91" s="537"/>
      <c r="N91" s="2685"/>
      <c r="O91" s="2685"/>
      <c r="P91" s="2685"/>
      <c r="Q91" s="2677"/>
      <c r="R91" s="2655"/>
      <c r="S91" s="2655"/>
      <c r="T91" s="2655"/>
      <c r="U91" s="2655"/>
      <c r="V91" s="2655"/>
      <c r="W91" s="2655"/>
      <c r="X91" s="2655"/>
      <c r="Y91" s="2655"/>
      <c r="Z91" s="2655"/>
      <c r="AA91" s="2655"/>
      <c r="AB91" s="2655"/>
      <c r="AC91" s="2655"/>
      <c r="AD91" s="2655"/>
      <c r="AE91" s="2655"/>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85"/>
      <c r="O92" s="2685"/>
      <c r="P92" s="2685"/>
      <c r="Q92" s="2677"/>
      <c r="R92" s="2655"/>
      <c r="S92" s="2655"/>
      <c r="T92" s="2655"/>
      <c r="U92" s="2655"/>
      <c r="V92" s="2655"/>
      <c r="W92" s="2655"/>
      <c r="X92" s="2655"/>
      <c r="Y92" s="2655"/>
      <c r="Z92" s="2655"/>
      <c r="AA92" s="2655"/>
      <c r="AB92" s="2655"/>
      <c r="AC92" s="2655"/>
      <c r="AD92" s="2655"/>
      <c r="AE92" s="2655"/>
    </row>
    <row r="93" spans="1:31" s="416" customFormat="1" ht="15.75" thickTop="1">
      <c r="A93" s="492"/>
      <c r="B93" s="485" t="s">
        <v>2377</v>
      </c>
      <c r="C93" s="589" t="s">
        <v>2251</v>
      </c>
      <c r="D93" s="589" t="s">
        <v>2252</v>
      </c>
      <c r="E93" s="589" t="s">
        <v>2253</v>
      </c>
      <c r="F93" s="589" t="s">
        <v>2254</v>
      </c>
      <c r="G93" s="589" t="s">
        <v>2255</v>
      </c>
      <c r="H93" s="535"/>
      <c r="I93" s="535"/>
      <c r="J93" s="535"/>
      <c r="K93" s="535"/>
      <c r="L93" s="535"/>
      <c r="M93" s="537"/>
      <c r="N93" s="2685"/>
      <c r="O93" s="2685"/>
      <c r="P93" s="2685"/>
      <c r="Q93" s="2677"/>
      <c r="R93" s="2655"/>
      <c r="S93" s="2655"/>
      <c r="T93" s="2655"/>
      <c r="U93" s="2655"/>
      <c r="V93" s="2655"/>
      <c r="W93" s="2655"/>
      <c r="X93" s="2655"/>
      <c r="Y93" s="2655"/>
      <c r="Z93" s="2655"/>
      <c r="AA93" s="2655"/>
      <c r="AB93" s="2655"/>
      <c r="AC93" s="2655"/>
      <c r="AD93" s="2655"/>
      <c r="AE93" s="2655"/>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75"/>
      <c r="N94" s="2685"/>
      <c r="O94" s="2685"/>
      <c r="P94" s="2685"/>
      <c r="Q94" s="2677"/>
      <c r="R94" s="2655"/>
      <c r="S94" s="2655"/>
      <c r="T94" s="2655"/>
      <c r="U94" s="2655"/>
      <c r="V94" s="2655"/>
      <c r="W94" s="2655"/>
      <c r="X94" s="2655"/>
      <c r="Y94" s="2655"/>
      <c r="Z94" s="2655"/>
      <c r="AA94" s="2655"/>
      <c r="AB94" s="2655"/>
      <c r="AC94" s="2655"/>
      <c r="AD94" s="2655"/>
      <c r="AE94" s="2655"/>
    </row>
    <row r="95" spans="1:31" ht="15.75" thickTop="1">
      <c r="A95" s="375"/>
      <c r="B95" s="477" t="str">
        <f>B27</f>
        <v>临街状况</v>
      </c>
      <c r="C95" s="478" t="s">
        <v>2361</v>
      </c>
      <c r="D95" s="478" t="s">
        <v>2362</v>
      </c>
      <c r="E95" s="478" t="s">
        <v>2363</v>
      </c>
      <c r="F95" s="478" t="s">
        <v>2364</v>
      </c>
      <c r="G95" s="478"/>
      <c r="H95" s="478"/>
      <c r="I95" s="478"/>
      <c r="J95" s="478"/>
      <c r="K95" s="479"/>
      <c r="L95" s="480"/>
      <c r="M95" s="481"/>
      <c r="N95" s="2683"/>
      <c r="O95" s="2683"/>
      <c r="P95" s="2682"/>
      <c r="Q95" s="2670"/>
      <c r="R95" s="2649"/>
      <c r="S95" s="2649"/>
      <c r="T95" s="2649"/>
      <c r="U95" s="2649"/>
      <c r="V95" s="2649"/>
      <c r="W95" s="2649"/>
      <c r="X95" s="2649"/>
      <c r="Y95" s="2649"/>
      <c r="Z95" s="2649"/>
      <c r="AA95" s="2649"/>
      <c r="AB95" s="2649"/>
      <c r="AC95" s="2649"/>
      <c r="AD95" s="2649"/>
      <c r="AE95" s="2649"/>
    </row>
    <row r="96" spans="1:31" ht="15.7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4"/>
      <c r="O96" s="2684"/>
      <c r="P96" s="2682"/>
      <c r="Q96" s="2670"/>
      <c r="R96" s="2649"/>
      <c r="S96" s="2649"/>
      <c r="T96" s="2649"/>
      <c r="U96" s="2649"/>
      <c r="V96" s="2649"/>
      <c r="W96" s="2649"/>
      <c r="X96" s="2649"/>
      <c r="Y96" s="2649"/>
      <c r="Z96" s="2649"/>
      <c r="AA96" s="2649"/>
      <c r="AB96" s="2649"/>
      <c r="AC96" s="2649"/>
      <c r="AD96" s="2649"/>
      <c r="AE96" s="2649"/>
    </row>
    <row r="97" spans="1:31" ht="27.75" thickTop="1">
      <c r="A97" s="375"/>
      <c r="B97" s="477" t="s">
        <v>2267</v>
      </c>
      <c r="C97" s="493"/>
      <c r="D97" s="493"/>
      <c r="E97" s="493"/>
      <c r="F97" s="493"/>
      <c r="G97" s="493"/>
      <c r="H97" s="521"/>
      <c r="I97" s="521"/>
      <c r="J97" s="521"/>
      <c r="K97" s="522"/>
      <c r="L97" s="523"/>
      <c r="M97" s="524"/>
      <c r="N97" s="2683"/>
      <c r="O97" s="2683"/>
      <c r="P97" s="2682"/>
      <c r="Q97" s="2670"/>
      <c r="R97" s="2649"/>
      <c r="S97" s="2649"/>
      <c r="T97" s="2649"/>
      <c r="U97" s="2649"/>
      <c r="V97" s="2649"/>
      <c r="W97" s="2649"/>
      <c r="X97" s="2649"/>
      <c r="Y97" s="2649"/>
      <c r="Z97" s="2649"/>
      <c r="AA97" s="2649"/>
      <c r="AB97" s="2649"/>
      <c r="AC97" s="2649"/>
      <c r="AD97" s="2649"/>
      <c r="AE97" s="2649"/>
    </row>
    <row r="98" spans="1:31" ht="15.7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4"/>
      <c r="O98" s="2684"/>
      <c r="P98" s="2682"/>
      <c r="Q98" s="2670"/>
      <c r="R98" s="2649"/>
      <c r="S98" s="2649"/>
      <c r="T98" s="2649"/>
      <c r="U98" s="2649"/>
      <c r="V98" s="2649"/>
      <c r="W98" s="2649"/>
      <c r="X98" s="2649"/>
      <c r="Y98" s="2649"/>
      <c r="Z98" s="2649"/>
      <c r="AA98" s="2649"/>
      <c r="AB98" s="2649"/>
      <c r="AC98" s="2649"/>
      <c r="AD98" s="2649"/>
      <c r="AE98" s="2649"/>
    </row>
    <row r="99" spans="1:31" ht="15.75" thickTop="1">
      <c r="A99" s="375"/>
      <c r="B99" s="477" t="s">
        <v>2326</v>
      </c>
      <c r="C99" s="521"/>
      <c r="D99" s="521"/>
      <c r="E99" s="521"/>
      <c r="F99" s="521"/>
      <c r="G99" s="521"/>
      <c r="H99" s="521"/>
      <c r="I99" s="521"/>
      <c r="J99" s="521"/>
      <c r="K99" s="522"/>
      <c r="L99" s="523"/>
      <c r="M99" s="524"/>
      <c r="N99" s="2683"/>
      <c r="O99" s="2683"/>
      <c r="P99" s="2682"/>
      <c r="Q99" s="2670"/>
      <c r="R99" s="2649"/>
      <c r="S99" s="2649"/>
      <c r="T99" s="2649"/>
      <c r="U99" s="2649"/>
      <c r="V99" s="2649"/>
      <c r="W99" s="2649"/>
      <c r="X99" s="2649"/>
      <c r="Y99" s="2649"/>
      <c r="Z99" s="2649"/>
      <c r="AA99" s="2649"/>
      <c r="AB99" s="2649"/>
      <c r="AC99" s="2649"/>
      <c r="AD99" s="2649"/>
      <c r="AE99" s="2649"/>
    </row>
    <row r="100" spans="1:31" ht="15.7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4"/>
      <c r="O100" s="2684"/>
      <c r="P100" s="2682"/>
      <c r="Q100" s="2670"/>
      <c r="R100" s="2649"/>
      <c r="S100" s="2649"/>
      <c r="T100" s="2649"/>
      <c r="U100" s="2649"/>
      <c r="V100" s="2649"/>
      <c r="W100" s="2649"/>
      <c r="X100" s="2649"/>
      <c r="Y100" s="2649"/>
      <c r="Z100" s="2649"/>
      <c r="AA100" s="2649"/>
      <c r="AB100" s="2649"/>
      <c r="AC100" s="2649"/>
      <c r="AD100" s="2649"/>
      <c r="AE100" s="2649"/>
    </row>
    <row r="101" spans="1:31" ht="15.75" thickTop="1">
      <c r="A101" s="375"/>
      <c r="B101" s="485">
        <f>B31</f>
        <v>111</v>
      </c>
      <c r="C101" s="493"/>
      <c r="D101" s="493"/>
      <c r="E101" s="493"/>
      <c r="F101" s="493"/>
      <c r="G101" s="525"/>
      <c r="H101" s="525"/>
      <c r="I101" s="525"/>
      <c r="J101" s="525"/>
      <c r="K101" s="526"/>
      <c r="L101" s="527"/>
      <c r="M101" s="528"/>
      <c r="N101" s="2683"/>
      <c r="O101" s="2683"/>
      <c r="P101" s="2682"/>
      <c r="Q101" s="2670"/>
      <c r="R101" s="2649"/>
      <c r="S101" s="2649"/>
      <c r="T101" s="2649"/>
      <c r="U101" s="2649"/>
      <c r="V101" s="2649"/>
      <c r="W101" s="2649"/>
      <c r="X101" s="2649"/>
      <c r="Y101" s="2649"/>
      <c r="Z101" s="2649"/>
      <c r="AA101" s="2649"/>
      <c r="AB101" s="2649"/>
      <c r="AC101" s="2649"/>
      <c r="AD101" s="2649"/>
      <c r="AE101" s="2649"/>
    </row>
    <row r="102" spans="1:31" ht="15.75" thickBot="1">
      <c r="A102" s="375"/>
      <c r="B102" s="508"/>
      <c r="C102" s="499"/>
      <c r="D102" s="475"/>
      <c r="E102" s="475"/>
      <c r="F102" s="475"/>
      <c r="G102" s="529"/>
      <c r="H102" s="529"/>
      <c r="I102" s="529"/>
      <c r="J102" s="529"/>
      <c r="K102" s="529"/>
      <c r="L102" s="529"/>
      <c r="M102" s="530"/>
      <c r="N102" s="2684"/>
      <c r="O102" s="2684"/>
      <c r="P102" s="2682"/>
      <c r="Q102" s="2670"/>
      <c r="R102" s="2649"/>
      <c r="S102" s="2649"/>
      <c r="T102" s="2649"/>
      <c r="U102" s="2649"/>
      <c r="V102" s="2649"/>
      <c r="W102" s="2649"/>
      <c r="X102" s="2649"/>
      <c r="Y102" s="2649"/>
      <c r="Z102" s="2649"/>
      <c r="AA102" s="2649"/>
      <c r="AB102" s="2649"/>
      <c r="AC102" s="2649"/>
      <c r="AD102" s="2649"/>
      <c r="AE102" s="2649"/>
    </row>
    <row r="103" spans="1:31" ht="15" thickTop="1">
      <c r="A103" s="603"/>
      <c r="B103" s="477">
        <f>B32</f>
        <v>111</v>
      </c>
      <c r="C103" s="493"/>
      <c r="D103" s="493"/>
      <c r="E103" s="493"/>
      <c r="F103" s="493"/>
      <c r="G103" s="521"/>
      <c r="H103" s="521"/>
      <c r="I103" s="521"/>
      <c r="J103" s="521"/>
      <c r="K103" s="522"/>
      <c r="L103" s="523"/>
      <c r="M103" s="524"/>
      <c r="N103" s="2683"/>
      <c r="O103" s="2683"/>
      <c r="P103" s="2682"/>
      <c r="Q103" s="2670"/>
      <c r="R103" s="2649"/>
      <c r="S103" s="2649"/>
      <c r="T103" s="2649"/>
      <c r="U103" s="2649"/>
      <c r="V103" s="2649"/>
      <c r="W103" s="2649"/>
      <c r="X103" s="2649"/>
      <c r="Y103" s="2649"/>
      <c r="Z103" s="2649"/>
      <c r="AA103" s="2649"/>
      <c r="AB103" s="2649"/>
      <c r="AC103" s="2649"/>
      <c r="AD103" s="2649"/>
      <c r="AE103" s="2649"/>
    </row>
    <row r="104" spans="1:31" ht="15.75" thickBot="1">
      <c r="A104" s="375"/>
      <c r="B104" s="482"/>
      <c r="C104" s="499"/>
      <c r="D104" s="499"/>
      <c r="E104" s="499"/>
      <c r="F104" s="499"/>
      <c r="G104" s="475"/>
      <c r="H104" s="475"/>
      <c r="I104" s="475"/>
      <c r="J104" s="475"/>
      <c r="K104" s="475"/>
      <c r="L104" s="475"/>
      <c r="M104" s="476"/>
      <c r="N104" s="2684"/>
      <c r="O104" s="2684"/>
      <c r="P104" s="2682"/>
      <c r="Q104" s="2670"/>
      <c r="R104" s="2649"/>
      <c r="S104" s="2649"/>
      <c r="T104" s="2649"/>
      <c r="U104" s="2649"/>
      <c r="V104" s="2649"/>
      <c r="W104" s="2649"/>
      <c r="X104" s="2649"/>
      <c r="Y104" s="2649"/>
      <c r="Z104" s="2649"/>
      <c r="AA104" s="2649"/>
      <c r="AB104" s="2649"/>
      <c r="AC104" s="2649"/>
      <c r="AD104" s="2649"/>
      <c r="AE104" s="2649"/>
    </row>
    <row r="105" spans="1:31" s="416" customFormat="1" ht="15" thickTop="1">
      <c r="A105" s="414"/>
      <c r="B105" s="531">
        <f>B33</f>
        <v>111</v>
      </c>
      <c r="C105" s="34"/>
      <c r="D105" s="34"/>
      <c r="E105" s="34"/>
      <c r="F105" s="34"/>
      <c r="G105" s="9"/>
      <c r="H105" s="9"/>
      <c r="I105" s="9"/>
      <c r="J105" s="532"/>
      <c r="K105" s="532"/>
      <c r="L105" s="533"/>
      <c r="M105" s="534"/>
      <c r="N105" s="2685"/>
      <c r="O105" s="2685"/>
      <c r="P105" s="2685"/>
      <c r="Q105" s="2677"/>
      <c r="R105" s="2655"/>
      <c r="S105" s="2655"/>
      <c r="T105" s="2655"/>
      <c r="U105" s="2655"/>
      <c r="V105" s="2655"/>
      <c r="W105" s="2655"/>
      <c r="X105" s="2655"/>
      <c r="Y105" s="2655"/>
      <c r="Z105" s="2655"/>
      <c r="AA105" s="2655"/>
      <c r="AB105" s="2655"/>
      <c r="AC105" s="2655"/>
      <c r="AD105" s="2655"/>
      <c r="AE105" s="2655"/>
    </row>
    <row r="106" spans="1:31" s="416" customFormat="1" ht="15.75" thickBot="1">
      <c r="A106" s="492"/>
      <c r="B106" s="485"/>
      <c r="C106" s="509"/>
      <c r="D106" s="509"/>
      <c r="E106" s="509"/>
      <c r="F106" s="509"/>
      <c r="G106" s="605"/>
      <c r="H106" s="605"/>
      <c r="I106" s="605"/>
      <c r="J106" s="605"/>
      <c r="K106" s="605"/>
      <c r="L106" s="605"/>
      <c r="M106" s="627"/>
      <c r="N106" s="2684"/>
      <c r="O106" s="2684"/>
      <c r="P106" s="2685"/>
      <c r="Q106" s="2677"/>
      <c r="R106" s="2655"/>
      <c r="S106" s="2655"/>
      <c r="T106" s="2655"/>
      <c r="U106" s="2655"/>
      <c r="V106" s="2655"/>
      <c r="W106" s="2655"/>
      <c r="X106" s="2655"/>
      <c r="Y106" s="2655"/>
      <c r="Z106" s="2655"/>
      <c r="AA106" s="2655"/>
      <c r="AB106" s="2655"/>
      <c r="AC106" s="2655"/>
      <c r="AD106" s="2655"/>
      <c r="AE106" s="2655"/>
    </row>
    <row r="107" spans="1:31">
      <c r="A107" s="387" t="s">
        <v>2139</v>
      </c>
      <c r="B107" s="468" t="s">
        <v>2365</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1" t="str">
        <f t="shared" si="25"/>
        <v>(含)-</v>
      </c>
      <c r="L107" s="1361" t="str">
        <f t="shared" si="25"/>
        <v>(含)-</v>
      </c>
      <c r="M107" s="1362" t="str">
        <f>M108&amp;"(含)"&amp;"-"&amp;P108</f>
        <v>(含)-</v>
      </c>
      <c r="N107" s="2683"/>
      <c r="O107" s="2683"/>
      <c r="P107" s="2682"/>
      <c r="Q107" s="2670"/>
      <c r="R107" s="2649"/>
      <c r="S107" s="2649"/>
      <c r="T107" s="2649"/>
      <c r="U107" s="2649"/>
      <c r="V107" s="2649"/>
      <c r="W107" s="2649"/>
      <c r="X107" s="2649"/>
      <c r="Y107" s="2649"/>
      <c r="Z107" s="2649"/>
      <c r="AA107" s="2649"/>
      <c r="AB107" s="2649"/>
      <c r="AC107" s="2649"/>
      <c r="AD107" s="2649"/>
      <c r="AE107" s="2649"/>
    </row>
    <row r="108" spans="1:31" ht="15">
      <c r="A108" s="375"/>
      <c r="B108" s="485"/>
      <c r="C108" s="9"/>
      <c r="D108" s="9"/>
      <c r="E108" s="9"/>
      <c r="F108" s="9"/>
      <c r="G108" s="9"/>
      <c r="H108" s="9"/>
      <c r="I108" s="9"/>
      <c r="J108" s="532"/>
      <c r="K108" s="532"/>
      <c r="L108" s="533"/>
      <c r="M108" s="534"/>
      <c r="N108" s="2683"/>
      <c r="O108" s="2683"/>
      <c r="P108" s="2682"/>
      <c r="Q108" s="2670"/>
      <c r="R108" s="2649"/>
      <c r="S108" s="2649"/>
      <c r="T108" s="2649"/>
      <c r="U108" s="2649"/>
      <c r="V108" s="2649"/>
      <c r="W108" s="2649"/>
      <c r="X108" s="2649"/>
      <c r="Y108" s="2649"/>
      <c r="Z108" s="2649"/>
      <c r="AA108" s="2649"/>
      <c r="AB108" s="2649"/>
      <c r="AC108" s="2649"/>
      <c r="AD108" s="2649"/>
      <c r="AE108" s="2649"/>
    </row>
    <row r="109" spans="1:31" ht="15.75" thickBot="1">
      <c r="A109" s="375"/>
      <c r="B109" s="482"/>
      <c r="C109" s="509"/>
      <c r="D109" s="529"/>
      <c r="E109" s="529"/>
      <c r="F109" s="529"/>
      <c r="G109" s="529"/>
      <c r="H109" s="529"/>
      <c r="I109" s="529"/>
      <c r="J109" s="529"/>
      <c r="K109" s="529"/>
      <c r="L109" s="529"/>
      <c r="M109" s="530"/>
      <c r="N109" s="2684"/>
      <c r="O109" s="2684"/>
      <c r="P109" s="2682"/>
      <c r="Q109" s="2670"/>
      <c r="R109" s="2649"/>
      <c r="S109" s="2649"/>
      <c r="T109" s="2649"/>
      <c r="U109" s="2649"/>
      <c r="V109" s="2649"/>
      <c r="W109" s="2649"/>
      <c r="X109" s="2649"/>
      <c r="Y109" s="2649"/>
      <c r="Z109" s="2649"/>
      <c r="AA109" s="2649"/>
      <c r="AB109" s="2649"/>
      <c r="AC109" s="2649"/>
      <c r="AD109" s="2649"/>
      <c r="AE109" s="2649"/>
    </row>
    <row r="110" spans="1:31" ht="15" thickTop="1">
      <c r="A110" s="417"/>
      <c r="B110" s="477" t="s">
        <v>2366</v>
      </c>
      <c r="C110" s="521"/>
      <c r="D110" s="521"/>
      <c r="E110" s="521"/>
      <c r="F110" s="521"/>
      <c r="G110" s="521"/>
      <c r="H110" s="521"/>
      <c r="I110" s="521"/>
      <c r="J110" s="521"/>
      <c r="K110" s="522"/>
      <c r="L110" s="523"/>
      <c r="M110" s="524"/>
      <c r="N110" s="2683"/>
      <c r="O110" s="2683"/>
      <c r="P110" s="2682"/>
      <c r="Q110" s="2670"/>
      <c r="R110" s="2649"/>
      <c r="S110" s="2649"/>
      <c r="T110" s="2649"/>
      <c r="U110" s="2649"/>
      <c r="V110" s="2649"/>
      <c r="W110" s="2649"/>
      <c r="X110" s="2649"/>
      <c r="Y110" s="2649"/>
      <c r="Z110" s="2649"/>
      <c r="AA110" s="2649"/>
      <c r="AB110" s="2649"/>
      <c r="AC110" s="2649"/>
      <c r="AD110" s="2649"/>
      <c r="AE110" s="2649"/>
    </row>
    <row r="111" spans="1:31" ht="15.7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4"/>
      <c r="O111" s="2684"/>
      <c r="P111" s="2682"/>
      <c r="Q111" s="2670"/>
      <c r="R111" s="2649"/>
      <c r="S111" s="2649"/>
      <c r="T111" s="2649"/>
      <c r="U111" s="2649"/>
      <c r="V111" s="2649"/>
      <c r="W111" s="2649"/>
      <c r="X111" s="2649"/>
      <c r="Y111" s="2649"/>
      <c r="Z111" s="2649"/>
      <c r="AA111" s="2649"/>
      <c r="AB111" s="2649"/>
      <c r="AC111" s="2649"/>
      <c r="AD111" s="2649"/>
      <c r="AE111" s="2649"/>
    </row>
    <row r="112" spans="1:31" s="416" customFormat="1" ht="15" thickTop="1">
      <c r="A112" s="414"/>
      <c r="B112" s="477" t="s">
        <v>2368</v>
      </c>
      <c r="C112" s="493"/>
      <c r="D112" s="493"/>
      <c r="E112" s="493"/>
      <c r="F112" s="493"/>
      <c r="G112" s="493"/>
      <c r="H112" s="521"/>
      <c r="I112" s="521"/>
      <c r="J112" s="521"/>
      <c r="K112" s="522"/>
      <c r="L112" s="523"/>
      <c r="M112" s="524"/>
      <c r="N112" s="2685"/>
      <c r="O112" s="2685"/>
      <c r="P112" s="2685"/>
      <c r="Q112" s="2677"/>
      <c r="R112" s="2655"/>
      <c r="S112" s="2655"/>
      <c r="T112" s="2655"/>
      <c r="U112" s="2655"/>
      <c r="V112" s="2655"/>
      <c r="W112" s="2655"/>
      <c r="X112" s="2655"/>
      <c r="Y112" s="2655"/>
      <c r="Z112" s="2655"/>
      <c r="AA112" s="2655"/>
      <c r="AB112" s="2655"/>
      <c r="AC112" s="2655"/>
      <c r="AD112" s="2655"/>
      <c r="AE112" s="2655"/>
    </row>
    <row r="113" spans="1:31" s="416"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5"/>
      <c r="O113" s="2685"/>
      <c r="P113" s="2685"/>
      <c r="Q113" s="2677"/>
      <c r="R113" s="2655"/>
      <c r="S113" s="2655"/>
      <c r="T113" s="2655"/>
      <c r="U113" s="2655"/>
      <c r="V113" s="2655"/>
      <c r="W113" s="2655"/>
      <c r="X113" s="2655"/>
      <c r="Y113" s="2655"/>
      <c r="Z113" s="2655"/>
      <c r="AA113" s="2655"/>
      <c r="AB113" s="2655"/>
      <c r="AC113" s="2655"/>
      <c r="AD113" s="2655"/>
      <c r="AE113" s="2655"/>
    </row>
    <row r="114" spans="1:31" ht="15" thickTop="1">
      <c r="A114" s="417"/>
      <c r="B114" s="477" t="s">
        <v>2369</v>
      </c>
      <c r="C114" s="493"/>
      <c r="D114" s="493"/>
      <c r="E114" s="521"/>
      <c r="F114" s="521"/>
      <c r="G114" s="521"/>
      <c r="H114" s="521"/>
      <c r="I114" s="521"/>
      <c r="J114" s="521"/>
      <c r="K114" s="522"/>
      <c r="L114" s="523"/>
      <c r="M114" s="524"/>
      <c r="N114" s="2683"/>
      <c r="O114" s="2683"/>
      <c r="P114" s="2682"/>
      <c r="Q114" s="2670"/>
      <c r="R114" s="2649"/>
      <c r="S114" s="2649"/>
      <c r="T114" s="2649"/>
      <c r="U114" s="2649"/>
      <c r="V114" s="2649"/>
      <c r="W114" s="2649"/>
      <c r="X114" s="2649"/>
      <c r="Y114" s="2649"/>
      <c r="Z114" s="2649"/>
      <c r="AA114" s="2649"/>
      <c r="AB114" s="2649"/>
      <c r="AC114" s="2649"/>
      <c r="AD114" s="2649"/>
      <c r="AE114" s="2649"/>
    </row>
    <row r="115" spans="1:31" ht="15.7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4"/>
      <c r="O115" s="2684"/>
      <c r="P115" s="2682"/>
      <c r="Q115" s="2670"/>
      <c r="R115" s="2649"/>
      <c r="S115" s="2649"/>
      <c r="T115" s="2649"/>
      <c r="U115" s="2649"/>
      <c r="V115" s="2649"/>
      <c r="W115" s="2649"/>
      <c r="X115" s="2649"/>
      <c r="Y115" s="2649"/>
      <c r="Z115" s="2649"/>
      <c r="AA115" s="2649"/>
      <c r="AB115" s="2649"/>
      <c r="AC115" s="2649"/>
      <c r="AD115" s="2649"/>
      <c r="AE115" s="2649"/>
    </row>
    <row r="116" spans="1:31" ht="15" thickTop="1">
      <c r="A116" s="417"/>
      <c r="B116" s="477">
        <f>B38</f>
        <v>111</v>
      </c>
      <c r="C116" s="493"/>
      <c r="D116" s="493"/>
      <c r="E116" s="493"/>
      <c r="F116" s="493"/>
      <c r="G116" s="493"/>
      <c r="H116" s="521"/>
      <c r="I116" s="521"/>
      <c r="J116" s="521"/>
      <c r="K116" s="522"/>
      <c r="L116" s="523"/>
      <c r="M116" s="524"/>
      <c r="N116" s="2683"/>
      <c r="O116" s="2683"/>
      <c r="P116" s="2682"/>
      <c r="Q116" s="2670"/>
      <c r="R116" s="2649"/>
      <c r="S116" s="2649"/>
      <c r="T116" s="2649"/>
      <c r="U116" s="2649"/>
      <c r="V116" s="2649"/>
      <c r="W116" s="2649"/>
      <c r="X116" s="2649"/>
      <c r="Y116" s="2649"/>
      <c r="Z116" s="2649"/>
      <c r="AA116" s="2649"/>
      <c r="AB116" s="2649"/>
      <c r="AC116" s="2649"/>
      <c r="AD116" s="2649"/>
      <c r="AE116" s="2649"/>
    </row>
    <row r="117" spans="1:31" ht="15.75" thickBot="1">
      <c r="A117" s="375"/>
      <c r="B117" s="482"/>
      <c r="C117" s="499"/>
      <c r="D117" s="475"/>
      <c r="E117" s="475"/>
      <c r="F117" s="475"/>
      <c r="G117" s="475"/>
      <c r="H117" s="475"/>
      <c r="I117" s="475"/>
      <c r="J117" s="475"/>
      <c r="K117" s="475"/>
      <c r="L117" s="475"/>
      <c r="M117" s="476"/>
      <c r="N117" s="2684"/>
      <c r="O117" s="2684"/>
      <c r="P117" s="2682"/>
      <c r="Q117" s="2670"/>
      <c r="R117" s="2649"/>
      <c r="S117" s="2649"/>
      <c r="T117" s="2649"/>
      <c r="U117" s="2649"/>
      <c r="V117" s="2649"/>
      <c r="W117" s="2649"/>
      <c r="X117" s="2649"/>
      <c r="Y117" s="2649"/>
      <c r="Z117" s="2649"/>
      <c r="AA117" s="2649"/>
      <c r="AB117" s="2649"/>
      <c r="AC117" s="2649"/>
      <c r="AD117" s="2649"/>
      <c r="AE117" s="2649"/>
    </row>
    <row r="118" spans="1:31" ht="15" thickTop="1">
      <c r="A118" s="417"/>
      <c r="B118" s="477">
        <f>B39</f>
        <v>111</v>
      </c>
      <c r="C118" s="493"/>
      <c r="D118" s="493"/>
      <c r="E118" s="493"/>
      <c r="F118" s="493"/>
      <c r="G118" s="521"/>
      <c r="H118" s="521"/>
      <c r="I118" s="521"/>
      <c r="J118" s="521"/>
      <c r="K118" s="522"/>
      <c r="L118" s="523"/>
      <c r="M118" s="524"/>
      <c r="N118" s="2683"/>
      <c r="O118" s="2683"/>
      <c r="P118" s="2682"/>
      <c r="Q118" s="2670"/>
      <c r="R118" s="2649"/>
      <c r="S118" s="2649"/>
      <c r="T118" s="2649"/>
      <c r="U118" s="2649"/>
      <c r="V118" s="2649"/>
      <c r="W118" s="2649"/>
      <c r="X118" s="2649"/>
      <c r="Y118" s="2649"/>
      <c r="Z118" s="2649"/>
      <c r="AA118" s="2649"/>
      <c r="AB118" s="2649"/>
      <c r="AC118" s="2649"/>
      <c r="AD118" s="2649"/>
      <c r="AE118" s="2649"/>
    </row>
    <row r="119" spans="1:31" ht="15.75" thickBot="1">
      <c r="A119" s="375"/>
      <c r="B119" s="482"/>
      <c r="C119" s="499"/>
      <c r="D119" s="499"/>
      <c r="E119" s="499"/>
      <c r="F119" s="499"/>
      <c r="G119" s="475"/>
      <c r="H119" s="475"/>
      <c r="I119" s="475"/>
      <c r="J119" s="475"/>
      <c r="K119" s="475"/>
      <c r="L119" s="475"/>
      <c r="M119" s="476"/>
      <c r="N119" s="2684"/>
      <c r="O119" s="2684"/>
      <c r="P119" s="2682"/>
      <c r="Q119" s="2670"/>
      <c r="R119" s="2649"/>
      <c r="S119" s="2649"/>
      <c r="T119" s="2649"/>
      <c r="U119" s="2649"/>
      <c r="V119" s="2649"/>
      <c r="W119" s="2649"/>
      <c r="X119" s="2649"/>
      <c r="Y119" s="2649"/>
      <c r="Z119" s="2649"/>
      <c r="AA119" s="2649"/>
      <c r="AB119" s="2649"/>
      <c r="AC119" s="2649"/>
      <c r="AD119" s="2649"/>
      <c r="AE119" s="2649"/>
    </row>
    <row r="120" spans="1:31" s="416" customFormat="1" ht="15" thickTop="1">
      <c r="A120" s="414"/>
      <c r="B120" s="477">
        <f>B40</f>
        <v>111</v>
      </c>
      <c r="C120" s="34"/>
      <c r="D120" s="34"/>
      <c r="E120" s="34"/>
      <c r="F120" s="34"/>
      <c r="G120" s="494"/>
      <c r="H120" s="494"/>
      <c r="I120" s="494"/>
      <c r="J120" s="494"/>
      <c r="K120" s="494"/>
      <c r="L120" s="495"/>
      <c r="M120" s="496"/>
      <c r="N120" s="2685"/>
      <c r="O120" s="2685"/>
      <c r="P120" s="2685"/>
      <c r="Q120" s="2677"/>
      <c r="R120" s="2655"/>
      <c r="S120" s="2655"/>
      <c r="T120" s="2655"/>
      <c r="U120" s="2655"/>
      <c r="V120" s="2655"/>
      <c r="W120" s="2655"/>
      <c r="X120" s="2655"/>
      <c r="Y120" s="2655"/>
      <c r="Z120" s="2655"/>
      <c r="AA120" s="2655"/>
      <c r="AB120" s="2655"/>
      <c r="AC120" s="2655"/>
      <c r="AD120" s="2655"/>
      <c r="AE120" s="2655"/>
    </row>
    <row r="121" spans="1:31" s="416" customFormat="1" ht="15.75" thickBot="1">
      <c r="A121" s="507"/>
      <c r="B121" s="628"/>
      <c r="C121" s="509"/>
      <c r="D121" s="509"/>
      <c r="E121" s="509"/>
      <c r="F121" s="509"/>
      <c r="G121" s="529"/>
      <c r="H121" s="529"/>
      <c r="I121" s="529"/>
      <c r="J121" s="529"/>
      <c r="K121" s="529"/>
      <c r="L121" s="529"/>
      <c r="M121" s="530"/>
      <c r="N121" s="2685"/>
      <c r="O121" s="2685"/>
      <c r="P121" s="2685"/>
      <c r="Q121" s="2677"/>
      <c r="R121" s="2655"/>
      <c r="S121" s="2655"/>
      <c r="T121" s="2655"/>
      <c r="U121" s="2655"/>
      <c r="V121" s="2655"/>
      <c r="W121" s="2655"/>
      <c r="X121" s="2655"/>
      <c r="Y121" s="2655"/>
      <c r="Z121" s="2655"/>
      <c r="AA121" s="2655"/>
      <c r="AB121" s="2655"/>
      <c r="AC121" s="2655"/>
      <c r="AD121" s="2655"/>
      <c r="AE121" s="2655"/>
    </row>
    <row r="122" spans="1:31">
      <c r="N122" s="2649"/>
      <c r="O122" s="2649"/>
      <c r="P122" s="2649"/>
      <c r="Q122" s="2649"/>
      <c r="R122" s="2649"/>
      <c r="S122" s="2649"/>
      <c r="T122" s="2649"/>
      <c r="U122" s="2649"/>
      <c r="V122" s="2649"/>
      <c r="W122" s="2649"/>
      <c r="X122" s="2649"/>
      <c r="Y122" s="2649"/>
      <c r="Z122" s="2649"/>
      <c r="AA122" s="2649"/>
      <c r="AB122" s="2649"/>
      <c r="AC122" s="2649"/>
      <c r="AD122" s="2649"/>
      <c r="AE122" s="2649"/>
    </row>
    <row r="123" spans="1:31">
      <c r="P123" s="2649"/>
      <c r="Q123" s="2649"/>
      <c r="R123" s="2649"/>
      <c r="S123" s="2649"/>
      <c r="T123" s="2649"/>
      <c r="U123" s="2649"/>
      <c r="V123" s="2649"/>
      <c r="W123" s="2649"/>
      <c r="X123" s="2649"/>
      <c r="Y123" s="2649"/>
      <c r="Z123" s="2649"/>
      <c r="AA123" s="2649"/>
      <c r="AB123" s="2649"/>
      <c r="AC123" s="2649"/>
      <c r="AD123" s="2649"/>
      <c r="AE123" s="264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34" customWidth="1"/>
    <col min="2" max="2" width="19.25" style="2132" customWidth="1"/>
    <col min="3" max="4" width="12" style="1975"/>
    <col min="5" max="5" width="14.625" style="1975" customWidth="1"/>
    <col min="6" max="8" width="12" style="1975"/>
    <col min="9" max="9" width="12.25" style="1975" bestFit="1" customWidth="1"/>
    <col min="10" max="10" width="12" style="1975"/>
    <col min="11" max="11" width="8.125" style="2029" customWidth="1"/>
    <col min="12" max="12" width="12" style="1975"/>
    <col min="13" max="13" width="8.5" style="1975" customWidth="1"/>
    <col min="14" max="14" width="9.75" style="1975" customWidth="1"/>
    <col min="15" max="25" width="12" style="1975"/>
    <col min="26" max="26" width="9.375" style="2034" customWidth="1"/>
    <col min="27" max="32" width="9.375" style="1167" customWidth="1"/>
    <col min="33" max="36" width="9.375" style="2034" customWidth="1"/>
    <col min="37" max="38" width="9.375" style="1975" customWidth="1"/>
    <col min="39" max="16384" width="12" style="1975"/>
  </cols>
  <sheetData>
    <row r="1" spans="1:36" ht="28.5">
      <c r="A1" s="194" t="s">
        <v>2378</v>
      </c>
      <c r="B1" s="195"/>
      <c r="C1" s="199" t="s">
        <v>2379</v>
      </c>
      <c r="D1" s="339">
        <f>SUM(D29:D30,D33:D39)</f>
        <v>0</v>
      </c>
      <c r="E1" s="1972"/>
      <c r="F1" s="1972"/>
      <c r="G1" s="1972"/>
      <c r="H1" s="1972"/>
      <c r="I1" s="1972"/>
      <c r="J1" s="1972"/>
      <c r="K1" s="1165"/>
      <c r="L1" s="1973" t="s">
        <v>2380</v>
      </c>
      <c r="M1" s="917">
        <f>SUMPRODUCT((区片价!B5:B9=I2)*(区片价!C3:F3=E2)*(区片价!C5:F9))</f>
        <v>0</v>
      </c>
      <c r="N1" s="920">
        <f>SUMPRODUCT((因素修正幅度!B5:B9=I2)*(因素修正幅度!C3:F3=E2)*(因素修正幅度!C5:F9))</f>
        <v>0</v>
      </c>
      <c r="O1" s="1974"/>
      <c r="P1" s="1974"/>
      <c r="Q1" s="1165"/>
      <c r="R1" s="1239" t="s">
        <v>2381</v>
      </c>
      <c r="S1" s="1239" t="s">
        <v>2382</v>
      </c>
      <c r="T1" s="1239" t="s">
        <v>2383</v>
      </c>
      <c r="U1" s="1239" t="s">
        <v>2384</v>
      </c>
      <c r="V1" s="1239" t="s">
        <v>2385</v>
      </c>
      <c r="W1" s="1243"/>
      <c r="X1" s="1243"/>
      <c r="Y1" s="1243"/>
      <c r="Z1" s="1243"/>
      <c r="AA1" s="1243"/>
      <c r="AB1" s="1243"/>
      <c r="AC1" s="1244"/>
      <c r="AD1" s="1245"/>
      <c r="AE1" s="1245"/>
      <c r="AF1" s="1245"/>
      <c r="AG1" s="1245"/>
      <c r="AH1" s="1245"/>
      <c r="AI1" s="1245"/>
      <c r="AJ1" s="1246"/>
    </row>
    <row r="2" spans="1:36" ht="15.75">
      <c r="A2" s="199" t="s">
        <v>2386</v>
      </c>
      <c r="B2" s="202" t="e">
        <f>C26</f>
        <v>#DIV/0!</v>
      </c>
      <c r="C2" s="1976" t="s">
        <v>2387</v>
      </c>
      <c r="D2" s="167" t="s">
        <v>2388</v>
      </c>
      <c r="E2" s="1977"/>
      <c r="F2" s="167" t="s">
        <v>2389</v>
      </c>
      <c r="G2" s="168">
        <f>IF(E2="商业",项目基本情况!B37,IF(E2="办公",项目基本情况!C37,IF(E2="住宅",项目基本情况!D37,项目基本情况!E37)))</f>
        <v>0</v>
      </c>
      <c r="H2" s="167" t="s">
        <v>2390</v>
      </c>
      <c r="I2" s="168">
        <f>IF(E2="商业",项目基本情况!B38,IF(E2="办公",项目基本情况!C38,IF(E2="住宅",项目基本情况!D38,项目基本情况!E38)))</f>
        <v>0</v>
      </c>
      <c r="J2" s="1972"/>
      <c r="K2" s="1165"/>
      <c r="L2" s="1978" t="s">
        <v>2391</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75">
      <c r="A3" s="201" t="s">
        <v>2392</v>
      </c>
      <c r="B3" s="202" t="e">
        <f>ROUND(B2*10000/D1,0)</f>
        <v>#DIV/0!</v>
      </c>
      <c r="C3" s="1976" t="s">
        <v>2393</v>
      </c>
      <c r="D3" s="167" t="s">
        <v>2394</v>
      </c>
      <c r="E3" s="1979"/>
      <c r="F3" s="1980" t="s">
        <v>2395</v>
      </c>
      <c r="G3" s="789">
        <f>IF(F3="宗地容积率",'数据-汇总表'!I4,IF(F3="估价对象容积率",'数据-汇总表'!I6,'数据-汇总表'!I7))</f>
        <v>2.5499999999999998</v>
      </c>
      <c r="H3" s="167" t="s">
        <v>2396</v>
      </c>
      <c r="I3" s="811"/>
      <c r="J3" s="1972" t="s">
        <v>2397</v>
      </c>
      <c r="K3" s="1165"/>
      <c r="L3" s="1978" t="s">
        <v>2398</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75">
      <c r="A4" s="3457"/>
      <c r="B4" s="3458"/>
      <c r="C4" s="3458"/>
      <c r="D4" s="3459"/>
      <c r="E4" s="3459"/>
      <c r="F4" s="3459"/>
      <c r="G4" s="3459"/>
      <c r="H4" s="3459"/>
      <c r="I4" s="3459"/>
      <c r="J4" s="3460"/>
      <c r="K4" s="1165"/>
      <c r="L4" s="1978" t="s">
        <v>2399</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90" customFormat="1" ht="15.75" thickBot="1">
      <c r="A5" s="1981" t="s">
        <v>626</v>
      </c>
      <c r="B5" s="1982" t="s">
        <v>2400</v>
      </c>
      <c r="C5" s="790" t="e">
        <f>ROUND(IF(E2="商业",C6*C7+C16,(IF(E2="住宅",C6*C12+C16,C6+C16))),0)</f>
        <v>#DIV/0!</v>
      </c>
      <c r="D5" s="1381" t="e">
        <f>ROUND(C6+C16,0)</f>
        <v>#DIV/0!</v>
      </c>
      <c r="E5" s="1381"/>
      <c r="F5" s="1983"/>
      <c r="G5" s="1984"/>
      <c r="H5" s="1984"/>
      <c r="I5" s="1984"/>
      <c r="J5" s="1985"/>
      <c r="K5" s="1986"/>
      <c r="L5" s="1978" t="s">
        <v>2401</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7"/>
      <c r="AD5" s="1988"/>
      <c r="AE5" s="1988"/>
      <c r="AF5" s="1988"/>
      <c r="AG5" s="1988"/>
      <c r="AH5" s="1988"/>
      <c r="AI5" s="1988"/>
      <c r="AJ5" s="1989"/>
    </row>
    <row r="6" spans="1:36" ht="15.75" thickBot="1">
      <c r="A6" s="1991" t="s">
        <v>2402</v>
      </c>
      <c r="B6" s="1992" t="s">
        <v>2403</v>
      </c>
      <c r="C6" s="791">
        <f>SUMIF(L1:L12,G2,M1:M12)</f>
        <v>0</v>
      </c>
      <c r="D6" s="1993" t="s">
        <v>2404</v>
      </c>
      <c r="E6" s="1994"/>
      <c r="F6" s="1994"/>
      <c r="G6" s="1995"/>
      <c r="H6" s="1995"/>
      <c r="I6" s="1995"/>
      <c r="J6" s="1996"/>
      <c r="K6" s="1421"/>
      <c r="L6" s="1978" t="s">
        <v>2405</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7"/>
      <c r="AD6" s="1988"/>
      <c r="AE6" s="1988"/>
      <c r="AF6" s="1988"/>
      <c r="AG6" s="1988"/>
      <c r="AH6" s="1988"/>
      <c r="AI6" s="1988"/>
      <c r="AJ6" s="1989"/>
    </row>
    <row r="7" spans="1:36" ht="24">
      <c r="A7" s="3438" t="str">
        <f>IF(E2="商业",IF(C8="不临58条商业街","",2),"")</f>
        <v/>
      </c>
      <c r="B7" s="1997" t="s">
        <v>2406</v>
      </c>
      <c r="C7" s="792" t="e">
        <f>IF(C8="不临58条商业街",1,ROUND(1+(1.6*E8+1.2*E9+0.8*E10+0.4*E11)*C9,4))</f>
        <v>#DIV/0!</v>
      </c>
      <c r="D7" s="1998" t="s">
        <v>2407</v>
      </c>
      <c r="E7" s="812"/>
      <c r="F7" s="1999"/>
      <c r="G7" s="2000"/>
      <c r="H7" s="2000"/>
      <c r="I7" s="2000"/>
      <c r="J7" s="2001"/>
      <c r="K7" s="1421"/>
      <c r="L7" s="1978" t="s">
        <v>2408</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2409</v>
      </c>
      <c r="X7" s="1241">
        <f>G2</f>
        <v>0</v>
      </c>
      <c r="Y7" s="1241" t="s">
        <v>2410</v>
      </c>
      <c r="Z7" s="1242">
        <f>G3</f>
        <v>2.5499999999999998</v>
      </c>
      <c r="AA7" s="1243"/>
      <c r="AB7" s="1243"/>
      <c r="AC7" s="1244"/>
      <c r="AD7" s="1245"/>
      <c r="AE7" s="1245"/>
      <c r="AF7" s="1245"/>
      <c r="AG7" s="1245"/>
      <c r="AH7" s="1245"/>
      <c r="AI7" s="1245"/>
      <c r="AJ7" s="1246"/>
    </row>
    <row r="8" spans="1:36" ht="15">
      <c r="A8" s="3461"/>
      <c r="B8" s="167" t="s">
        <v>2411</v>
      </c>
      <c r="C8" s="1977"/>
      <c r="D8" s="793" t="s">
        <v>139</v>
      </c>
      <c r="E8" s="794" t="e">
        <f>ROUND(C11/E7,4)</f>
        <v>#DIV/0!</v>
      </c>
      <c r="F8" s="2002" t="s">
        <v>2412</v>
      </c>
      <c r="G8" s="2003"/>
      <c r="H8" s="2003"/>
      <c r="I8" s="2003"/>
      <c r="J8" s="2004"/>
      <c r="K8" s="1165"/>
      <c r="L8" s="1978" t="s">
        <v>2413</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454" t="s">
        <v>2414</v>
      </c>
      <c r="X8" s="3455"/>
      <c r="Y8" s="1247" t="s">
        <v>2415</v>
      </c>
      <c r="Z8" s="1247" t="s">
        <v>2416</v>
      </c>
      <c r="AA8" s="1247" t="s">
        <v>2417</v>
      </c>
      <c r="AB8" s="1247" t="s">
        <v>2418</v>
      </c>
      <c r="AC8" s="1247" t="s">
        <v>2419</v>
      </c>
      <c r="AD8" s="1247" t="s">
        <v>2420</v>
      </c>
      <c r="AE8" s="1247" t="s">
        <v>2421</v>
      </c>
      <c r="AF8" s="1247" t="s">
        <v>2422</v>
      </c>
      <c r="AG8" s="1247" t="s">
        <v>2423</v>
      </c>
      <c r="AH8" s="1247" t="s">
        <v>2424</v>
      </c>
      <c r="AI8" s="1247" t="s">
        <v>2425</v>
      </c>
      <c r="AJ8" s="1247" t="s">
        <v>2426</v>
      </c>
    </row>
    <row r="9" spans="1:36" ht="15">
      <c r="A9" s="3461"/>
      <c r="B9" s="167" t="s">
        <v>2427</v>
      </c>
      <c r="C9" s="795">
        <f>SUMIF(修正!C71:C138,C8,修正!E71:E138)</f>
        <v>0</v>
      </c>
      <c r="D9" s="168" t="s">
        <v>140</v>
      </c>
      <c r="E9" s="168" t="e">
        <f>ROUND(C11/E7,4)</f>
        <v>#DIV/0!</v>
      </c>
      <c r="F9" s="2002" t="s">
        <v>2428</v>
      </c>
      <c r="G9" s="2003"/>
      <c r="H9" s="2003"/>
      <c r="I9" s="2003"/>
      <c r="J9" s="2004"/>
      <c r="K9" s="1165"/>
      <c r="L9" s="1978" t="s">
        <v>2429</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456" t="s">
        <v>2430</v>
      </c>
      <c r="X9" s="1248" t="s">
        <v>2431</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
      <c r="A10" s="3461"/>
      <c r="B10" s="167" t="s">
        <v>2432</v>
      </c>
      <c r="C10" s="168">
        <f>SUMIF(修正!C71:C138,C8,修正!F71:F138)</f>
        <v>0</v>
      </c>
      <c r="D10" s="168" t="s">
        <v>141</v>
      </c>
      <c r="E10" s="168" t="e">
        <f>ROUND(C11/E7,4)</f>
        <v>#DIV/0!</v>
      </c>
      <c r="F10" s="2002" t="s">
        <v>2433</v>
      </c>
      <c r="G10" s="2003"/>
      <c r="H10" s="2003"/>
      <c r="I10" s="2003"/>
      <c r="J10" s="2004"/>
      <c r="K10" s="1165"/>
      <c r="L10" s="1978" t="s">
        <v>2434</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456"/>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5.75" thickBot="1">
      <c r="A11" s="3461"/>
      <c r="B11" s="2005" t="s">
        <v>2435</v>
      </c>
      <c r="C11" s="796">
        <f>C10/4</f>
        <v>0</v>
      </c>
      <c r="D11" s="796" t="s">
        <v>142</v>
      </c>
      <c r="E11" s="796" t="e">
        <f>ROUND(C11/E7,4)</f>
        <v>#DIV/0!</v>
      </c>
      <c r="F11" s="2006" t="s">
        <v>2436</v>
      </c>
      <c r="G11" s="2007"/>
      <c r="H11" s="2007"/>
      <c r="I11" s="2007"/>
      <c r="J11" s="2008"/>
      <c r="K11" s="1165"/>
      <c r="L11" s="1978" t="s">
        <v>2437</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456" t="s">
        <v>2438</v>
      </c>
      <c r="X11" s="1251" t="s">
        <v>2439</v>
      </c>
      <c r="Y11" s="1251">
        <f>$G$3</f>
        <v>2.5499999999999998</v>
      </c>
      <c r="Z11" s="1251">
        <f t="shared" ref="Z11:AJ11" si="3">$G$3</f>
        <v>2.5499999999999998</v>
      </c>
      <c r="AA11" s="1251">
        <f t="shared" si="3"/>
        <v>2.5499999999999998</v>
      </c>
      <c r="AB11" s="1251">
        <f t="shared" si="3"/>
        <v>2.5499999999999998</v>
      </c>
      <c r="AC11" s="1251">
        <f t="shared" si="3"/>
        <v>2.5499999999999998</v>
      </c>
      <c r="AD11" s="1251">
        <f t="shared" si="3"/>
        <v>2.5499999999999998</v>
      </c>
      <c r="AE11" s="1251">
        <f t="shared" si="3"/>
        <v>2.5499999999999998</v>
      </c>
      <c r="AF11" s="1251">
        <f t="shared" si="3"/>
        <v>2.5499999999999998</v>
      </c>
      <c r="AG11" s="1251">
        <f t="shared" si="3"/>
        <v>2.5499999999999998</v>
      </c>
      <c r="AH11" s="1251">
        <f t="shared" si="3"/>
        <v>2.5499999999999998</v>
      </c>
      <c r="AI11" s="1251">
        <f t="shared" si="3"/>
        <v>2.5499999999999998</v>
      </c>
      <c r="AJ11" s="1251">
        <f t="shared" si="3"/>
        <v>2.5499999999999998</v>
      </c>
    </row>
    <row r="12" spans="1:36" ht="25.5" thickBot="1">
      <c r="A12" s="3438" t="s">
        <v>2440</v>
      </c>
      <c r="B12" s="2009" t="s">
        <v>2441</v>
      </c>
      <c r="C12" s="792">
        <f>ROUND(C15*D15*E15*F15*G15*H15*I15*J15,4)</f>
        <v>1</v>
      </c>
      <c r="D12" s="2010" t="s">
        <v>2442</v>
      </c>
      <c r="E12" s="2011"/>
      <c r="F12" s="2011"/>
      <c r="G12" s="2012"/>
      <c r="H12" s="2012"/>
      <c r="I12" s="2012"/>
      <c r="J12" s="2013"/>
      <c r="K12" s="1165"/>
      <c r="L12" s="1926" t="s">
        <v>2443</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456"/>
      <c r="X12" s="1252" t="s">
        <v>2444</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4">
      <c r="A13" s="3462"/>
      <c r="B13" s="2014" t="s">
        <v>2445</v>
      </c>
      <c r="C13" s="2015" t="s">
        <v>2446</v>
      </c>
      <c r="D13" s="1390" t="s">
        <v>2447</v>
      </c>
      <c r="E13" s="1390" t="s">
        <v>2448</v>
      </c>
      <c r="F13" s="30" t="s">
        <v>2449</v>
      </c>
      <c r="G13" s="2016" t="s">
        <v>2450</v>
      </c>
      <c r="H13" s="2016" t="s">
        <v>2450</v>
      </c>
      <c r="I13" s="2016" t="s">
        <v>2450</v>
      </c>
      <c r="J13" s="2017" t="s">
        <v>2450</v>
      </c>
      <c r="K13" s="1165"/>
      <c r="L13" s="1165"/>
      <c r="M13" s="1165"/>
      <c r="N13" s="1165"/>
      <c r="O13" s="1165"/>
      <c r="P13" s="1165"/>
      <c r="Q13" s="1165"/>
      <c r="R13" s="1239">
        <v>12</v>
      </c>
      <c r="S13" s="1240"/>
      <c r="T13" s="1239" t="e">
        <f t="shared" si="0"/>
        <v>#DIV/0!</v>
      </c>
      <c r="U13" s="1240"/>
      <c r="V13" s="1239" t="e">
        <f t="shared" si="1"/>
        <v>#DIV/0!</v>
      </c>
      <c r="W13" s="3456"/>
      <c r="X13" s="1252"/>
      <c r="Y13" s="1250">
        <f>(-0.163*(Y12^2)-0.59*Y12+7617)*(10^(-4))/Y11</f>
        <v>0.29870588235294121</v>
      </c>
      <c r="Z13" s="1250">
        <f t="shared" ref="Z13:AJ13" si="5">(-0.163*(Z12^2)-0.59*Z12+7617)*(10^(-4))/Z11</f>
        <v>0.29870588235294121</v>
      </c>
      <c r="AA13" s="1250">
        <f t="shared" si="5"/>
        <v>0.29870588235294121</v>
      </c>
      <c r="AB13" s="1250">
        <f t="shared" si="5"/>
        <v>0.29870588235294121</v>
      </c>
      <c r="AC13" s="1250">
        <f t="shared" si="5"/>
        <v>0.29870588235294121</v>
      </c>
      <c r="AD13" s="1250">
        <f t="shared" si="5"/>
        <v>0.29870588235294121</v>
      </c>
      <c r="AE13" s="1250">
        <f t="shared" si="5"/>
        <v>0.29870588235294121</v>
      </c>
      <c r="AF13" s="1250">
        <f t="shared" si="5"/>
        <v>0.29870588235294121</v>
      </c>
      <c r="AG13" s="1250">
        <f t="shared" si="5"/>
        <v>0.29870588235294121</v>
      </c>
      <c r="AH13" s="1250">
        <f t="shared" si="5"/>
        <v>0.29870588235294121</v>
      </c>
      <c r="AI13" s="1250">
        <f t="shared" si="5"/>
        <v>0.29870588235294121</v>
      </c>
      <c r="AJ13" s="1250">
        <f t="shared" si="5"/>
        <v>0.29870588235294121</v>
      </c>
    </row>
    <row r="14" spans="1:36" ht="15">
      <c r="A14" s="3462"/>
      <c r="B14" s="2018"/>
      <c r="C14" s="2019"/>
      <c r="D14" s="2020"/>
      <c r="E14" s="2020"/>
      <c r="F14" s="2021"/>
      <c r="G14" s="2022" t="s">
        <v>2451</v>
      </c>
      <c r="H14" s="1972"/>
      <c r="I14" s="2023"/>
      <c r="J14" s="2024"/>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17"/>
      <c r="AE14" s="2717"/>
      <c r="AF14" s="2717"/>
      <c r="AG14" s="2717"/>
      <c r="AH14" s="2717"/>
      <c r="AI14" s="2717"/>
      <c r="AJ14" s="2718"/>
    </row>
    <row r="15" spans="1:36" ht="15.75" thickBot="1">
      <c r="A15" s="3463"/>
      <c r="B15" s="2025" t="s">
        <v>2452</v>
      </c>
      <c r="C15" s="185">
        <f>IF(C14="有",1.1,1)</f>
        <v>1</v>
      </c>
      <c r="D15" s="185">
        <f>IF(D14="有",1.1,1)</f>
        <v>1</v>
      </c>
      <c r="E15" s="185">
        <f>IF(E14="有",1.1,1)</f>
        <v>1</v>
      </c>
      <c r="F15" s="185">
        <f>IF(F14="500米范围内",1.2,IF(F14="500-1000米",1.1,1))</f>
        <v>1</v>
      </c>
      <c r="G15" s="813">
        <v>1</v>
      </c>
      <c r="H15" s="813">
        <v>1</v>
      </c>
      <c r="I15" s="813">
        <v>1</v>
      </c>
      <c r="J15" s="814">
        <v>1</v>
      </c>
      <c r="K15" s="1165"/>
      <c r="L15" s="1974"/>
      <c r="M15" s="1974"/>
      <c r="N15" s="1974"/>
      <c r="O15" s="1974"/>
      <c r="P15" s="1974"/>
      <c r="Q15" s="1165"/>
      <c r="R15" s="1239">
        <v>14</v>
      </c>
      <c r="S15" s="1240"/>
      <c r="T15" s="1239" t="e">
        <f t="shared" si="0"/>
        <v>#DIV/0!</v>
      </c>
      <c r="U15" s="1240"/>
      <c r="V15" s="1239" t="e">
        <f t="shared" si="1"/>
        <v>#DIV/0!</v>
      </c>
      <c r="W15" s="1243"/>
      <c r="X15" s="1243"/>
      <c r="Y15" s="1243"/>
      <c r="Z15" s="1243"/>
      <c r="AA15" s="1243"/>
      <c r="AB15" s="1243"/>
      <c r="AC15" s="1244"/>
      <c r="AD15" s="2717"/>
      <c r="AE15" s="2717"/>
      <c r="AF15" s="2717"/>
      <c r="AG15" s="2717"/>
      <c r="AH15" s="2717"/>
      <c r="AI15" s="2717"/>
      <c r="AJ15" s="2718"/>
    </row>
    <row r="16" spans="1:36" ht="24.6" customHeight="1">
      <c r="A16" s="3438" t="s">
        <v>2457</v>
      </c>
      <c r="B16" s="1997" t="s">
        <v>2458</v>
      </c>
      <c r="C16" s="2148" t="e">
        <f>ROUND(IF(F17="与级别开发程度一致",0,(G17-E17)/C17),0)</f>
        <v>#DIV/0!</v>
      </c>
      <c r="D16" s="3451" t="s">
        <v>2462</v>
      </c>
      <c r="E16" s="3452"/>
      <c r="F16" s="3451" t="s">
        <v>2459</v>
      </c>
      <c r="G16" s="3452"/>
      <c r="H16" s="2026"/>
      <c r="I16" s="2026"/>
      <c r="J16" s="2152"/>
      <c r="K16" s="2026"/>
      <c r="L16" s="2026"/>
      <c r="M16" s="2026"/>
      <c r="N16" s="2026"/>
      <c r="O16" s="2027"/>
      <c r="P16" s="1974"/>
      <c r="Q16" s="1165"/>
      <c r="R16" s="1239">
        <v>15</v>
      </c>
      <c r="S16" s="1240"/>
      <c r="T16" s="1239" t="e">
        <f t="shared" si="0"/>
        <v>#DIV/0!</v>
      </c>
      <c r="U16" s="1240"/>
      <c r="V16" s="1239" t="e">
        <f t="shared" si="1"/>
        <v>#DIV/0!</v>
      </c>
      <c r="W16" s="1243"/>
      <c r="X16" s="1243"/>
      <c r="Y16" s="1243"/>
      <c r="Z16" s="1243"/>
      <c r="AA16" s="1243"/>
      <c r="AB16" s="1243"/>
      <c r="AC16" s="1244"/>
      <c r="AD16" s="2717"/>
      <c r="AE16" s="2717"/>
      <c r="AF16" s="2717"/>
      <c r="AG16" s="2717"/>
      <c r="AH16" s="2717"/>
      <c r="AI16" s="2717"/>
      <c r="AJ16" s="2718"/>
    </row>
    <row r="17" spans="1:37" ht="13.5" thickBot="1">
      <c r="A17" s="3439"/>
      <c r="B17" s="2159" t="s">
        <v>2461</v>
      </c>
      <c r="C17" s="2160">
        <f>SUMPRODUCT((修正!A2:A7=E2)*(修正!B1:M1=G2)*(修正!B2:M7))</f>
        <v>0</v>
      </c>
      <c r="D17" s="185" t="str">
        <f>IF(OR(G2="八级",G2="九级",G2="十级",G2="十一级",G2="十二级"),"五通一平","七通一平")</f>
        <v>七通一平</v>
      </c>
      <c r="E17" s="2149">
        <f>SUMPRODUCT((修正!B1:M1=G2)*(修正!B17:M17))</f>
        <v>0</v>
      </c>
      <c r="F17" s="2150"/>
      <c r="G17" s="2151">
        <f>SUM(H17:O17)</f>
        <v>0</v>
      </c>
      <c r="H17" s="2160">
        <f>SUMPRODUCT((七通一平=H16)*(修正!B1:M1=G2)*(修正!B8:M16))</f>
        <v>0</v>
      </c>
      <c r="I17" s="2160">
        <f>SUMPRODUCT((七通一平=I16)*(修正!B1:M1=G2)*(修正!B8:M16))</f>
        <v>0</v>
      </c>
      <c r="J17" s="2161">
        <f>SUMPRODUCT((七通一平=J16)*(修正!B1:M1=G2)*(修正!B8:M16))</f>
        <v>0</v>
      </c>
      <c r="K17" s="2160">
        <f>SUMPRODUCT((七通一平=K16)*(修正!B1:M1=G2)*(修正!B8:M16))</f>
        <v>0</v>
      </c>
      <c r="L17" s="2160">
        <f>SUMPRODUCT((七通一平=L16)*(修正!B1:M1=G2)*(修正!B8:M16))</f>
        <v>0</v>
      </c>
      <c r="M17" s="2160">
        <f>SUMPRODUCT((七通一平=M16)*(修正!B1:M1=G2)*(修正!B8:M16))</f>
        <v>0</v>
      </c>
      <c r="N17" s="2160">
        <f>SUMPRODUCT((七通一平=N16)*(修正!B1:M1=G2)*(修正!B8:M16))</f>
        <v>0</v>
      </c>
      <c r="O17" s="2162">
        <f>SUMPRODUCT((七通一平=O16)*(修正!B1:M1=G2)*(修正!B8:M16))</f>
        <v>0</v>
      </c>
      <c r="P17" s="1974"/>
      <c r="Q17" s="1165"/>
      <c r="R17" s="1165"/>
      <c r="S17" s="1165"/>
      <c r="T17" s="1165"/>
      <c r="U17" s="1165"/>
      <c r="V17" s="1165"/>
      <c r="W17" s="1165"/>
      <c r="X17" s="1165"/>
      <c r="Y17" s="1165"/>
      <c r="Z17" s="1166"/>
      <c r="AA17" s="1166"/>
      <c r="AB17" s="1166"/>
      <c r="AC17" s="1166"/>
      <c r="AD17" s="1166"/>
      <c r="AE17" s="1165"/>
      <c r="AF17" s="1165"/>
      <c r="AG17" s="1974"/>
      <c r="AH17" s="1974"/>
      <c r="AI17" s="1974"/>
      <c r="AJ17" s="1974"/>
    </row>
    <row r="18" spans="1:37" s="1990" customFormat="1" ht="15.75" thickBot="1">
      <c r="A18" s="2153" t="s">
        <v>627</v>
      </c>
      <c r="B18" s="2154" t="s">
        <v>2464</v>
      </c>
      <c r="C18" s="2155">
        <f>SUMIF(修正!C20:C51,E3,修正!E20:E51)</f>
        <v>0</v>
      </c>
      <c r="D18" s="2156"/>
      <c r="E18" s="2157"/>
      <c r="F18" s="2157"/>
      <c r="G18" s="2157"/>
      <c r="H18" s="2157"/>
      <c r="I18" s="2157"/>
      <c r="J18" s="2158"/>
      <c r="K18" s="1171"/>
      <c r="L18" s="2716"/>
      <c r="M18" s="2716"/>
      <c r="N18" s="2716"/>
      <c r="O18" s="1169"/>
      <c r="P18" s="1169"/>
      <c r="Q18" s="1170"/>
      <c r="R18" s="1170"/>
      <c r="S18" s="1170"/>
      <c r="T18" s="1166"/>
      <c r="U18" s="1166"/>
      <c r="V18" s="1166"/>
      <c r="W18" s="1165"/>
      <c r="X18" s="1165"/>
      <c r="Y18" s="1165"/>
      <c r="Z18" s="1171"/>
      <c r="AA18" s="1171"/>
      <c r="AB18" s="1171"/>
      <c r="AC18" s="1171"/>
      <c r="AD18" s="1171"/>
      <c r="AE18" s="1166"/>
      <c r="AF18" s="1166"/>
      <c r="AG18" s="2119"/>
      <c r="AH18" s="2119"/>
      <c r="AI18" s="2119"/>
      <c r="AJ18" s="2716"/>
    </row>
    <row r="19" spans="1:37" s="1990" customFormat="1" ht="27.75" thickBot="1">
      <c r="A19" s="2030" t="s">
        <v>628</v>
      </c>
      <c r="B19" s="2031" t="s">
        <v>2465</v>
      </c>
      <c r="C19" s="797" t="e">
        <f>ROUND(IF(H19="按公示增长率计算",SUMPRODUCT((地价!A3:A37=YEAR(G19)&amp;"-"&amp;ROUNDUP(MONTH(G19)/3,0))*(地价!X2:AB2=E2)*(地价!X3:AB37)),IF(H19="地价指数",M20/M19,(1+I19)^O19)),4)</f>
        <v>#VALUE!</v>
      </c>
      <c r="D19" s="2035" t="s">
        <v>2466</v>
      </c>
      <c r="E19" s="798">
        <v>41640</v>
      </c>
      <c r="F19" s="2035" t="s">
        <v>2467</v>
      </c>
      <c r="G19" s="799">
        <f>'数据-取费表'!B2</f>
        <v>44890</v>
      </c>
      <c r="H19" s="2036"/>
      <c r="I19" s="800" t="str">
        <f>IF(H19="季度增幅（自定义）",SUMIF(N21:N24,E2,O21:O24),"")</f>
        <v/>
      </c>
      <c r="J19" s="2033"/>
      <c r="K19" s="1171"/>
      <c r="L19" s="2037" t="s">
        <v>2468</v>
      </c>
      <c r="M19" s="1356">
        <f>ROUND(SUMIF(地价!B2:F2,E2,地价!B37:F37),0)</f>
        <v>0</v>
      </c>
      <c r="N19" s="2038" t="s">
        <v>2469</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19"/>
      <c r="AH19" s="2119"/>
      <c r="AI19" s="569"/>
      <c r="AJ19" s="569"/>
      <c r="AK19" s="2039"/>
    </row>
    <row r="20" spans="1:37" s="1990" customFormat="1" ht="27.75" thickBot="1">
      <c r="A20" s="2040" t="s">
        <v>629</v>
      </c>
      <c r="B20" s="2041" t="s">
        <v>2470</v>
      </c>
      <c r="C20" s="802" t="e">
        <f>ROUND(POWER(1+G20,J20-I20)*(POWER(1+G20,I20)-1)/(POWER(1+G20,J20)-1),4)</f>
        <v>#DIV/0!</v>
      </c>
      <c r="D20" s="778" t="s">
        <v>2471</v>
      </c>
      <c r="E20" s="1363">
        <f>存贷款利率!E22/100</f>
        <v>4.3499999999999997E-2</v>
      </c>
      <c r="F20" s="778" t="s">
        <v>2463</v>
      </c>
      <c r="G20" s="806">
        <f>SUMIF(M26:P26,E2,M28:P28)</f>
        <v>0</v>
      </c>
      <c r="H20" s="778" t="s">
        <v>2472</v>
      </c>
      <c r="I20" s="807" t="e">
        <f>SUMIF('数据-取费表'!C6:C15,E2,'数据-取费表'!F6:F15)/COUNTIF('数据-取费表'!C6:C15,E2)</f>
        <v>#DIV/0!</v>
      </c>
      <c r="J20" s="808">
        <f>IF(E2="住宅",70,IF(E2="商业",40,50))</f>
        <v>50</v>
      </c>
      <c r="K20" s="1171"/>
      <c r="L20" s="2042" t="s">
        <v>2473</v>
      </c>
      <c r="M20" s="1357">
        <f>ROUND(SUMPRODUCT((地价!A4:A37=YEAR(G19)&amp;"-"&amp;ROUNDUP(MONTH(G19)/3,0))*(地价!B2:F2=E2)*(地价!B4:F37)),0)</f>
        <v>0</v>
      </c>
      <c r="N20" s="2043" t="s">
        <v>2474</v>
      </c>
      <c r="O20" s="2044" t="s">
        <v>2475</v>
      </c>
      <c r="P20" s="2045" t="s">
        <v>2476</v>
      </c>
      <c r="Q20" s="2716"/>
      <c r="R20" s="1170"/>
      <c r="S20" s="1170"/>
      <c r="T20" s="1166"/>
      <c r="U20" s="1166"/>
      <c r="V20" s="1166"/>
      <c r="W20" s="1165"/>
      <c r="X20" s="1165"/>
      <c r="Y20" s="1165"/>
      <c r="Z20" s="1171"/>
      <c r="AA20" s="1171"/>
      <c r="AB20" s="1171"/>
      <c r="AC20" s="1171"/>
      <c r="AD20" s="1171"/>
      <c r="AE20" s="1171"/>
      <c r="AF20" s="1171"/>
      <c r="AG20" s="2716"/>
      <c r="AH20" s="2716"/>
      <c r="AI20" s="2716"/>
      <c r="AJ20" s="2716"/>
    </row>
    <row r="21" spans="1:37" s="1990" customFormat="1" ht="15">
      <c r="A21" s="2046" t="s">
        <v>630</v>
      </c>
      <c r="B21" s="2047" t="s">
        <v>2477</v>
      </c>
      <c r="C21" s="469">
        <f>IF(B21="容积率修正",IF(G3&lt;=10,D22,J22),C23)</f>
        <v>0</v>
      </c>
      <c r="D21" s="2048"/>
      <c r="E21" s="2048"/>
      <c r="F21" s="2048"/>
      <c r="G21" s="2048"/>
      <c r="H21" s="2048"/>
      <c r="I21" s="2048"/>
      <c r="J21" s="2049"/>
      <c r="K21" s="1171"/>
      <c r="L21" s="2716"/>
      <c r="M21" s="2716"/>
      <c r="N21" s="2050" t="s">
        <v>2478</v>
      </c>
      <c r="O21" s="1203"/>
      <c r="P21" s="1204">
        <f>SUMPRODUCT((地价!A3:A37=YEAR(G19)&amp;"-"&amp;ROUNDUP(MONTH(G19)/3,0))*(地价!AD2:AH2=N21)*(地价!AD3:AH37))</f>
        <v>0</v>
      </c>
      <c r="Q21" s="2716"/>
      <c r="R21" s="1170"/>
      <c r="S21" s="1170"/>
      <c r="T21" s="1166"/>
      <c r="U21" s="1166"/>
      <c r="V21" s="1166"/>
      <c r="W21" s="1165"/>
      <c r="X21" s="1165"/>
      <c r="Y21" s="1165"/>
      <c r="Z21" s="1171"/>
      <c r="AA21" s="1171"/>
      <c r="AB21" s="1171"/>
      <c r="AC21" s="1171"/>
      <c r="AD21" s="1171"/>
      <c r="AE21" s="1171"/>
      <c r="AF21" s="1171"/>
      <c r="AG21" s="2716"/>
      <c r="AH21" s="2716"/>
      <c r="AI21" s="2716"/>
      <c r="AJ21" s="2716"/>
    </row>
    <row r="22" spans="1:37" s="1990" customFormat="1" ht="14.25">
      <c r="A22" s="1936" t="s">
        <v>2479</v>
      </c>
      <c r="B22" s="2051" t="s">
        <v>2480</v>
      </c>
      <c r="C22" s="1392" t="s">
        <v>2481</v>
      </c>
      <c r="D22" s="1392">
        <f>IF(E22=G22,F22,IF(G3&lt;=10,ROUND(F22+(H22-F22)*(G3-E22)/(G22-E22),4),"——"))</f>
        <v>0</v>
      </c>
      <c r="E22" s="789">
        <f>ROUNDDOWN(G3,1)</f>
        <v>2.5</v>
      </c>
      <c r="F22" s="13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2.6</v>
      </c>
      <c r="H22" s="13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2" t="s">
        <v>155</v>
      </c>
      <c r="J22" s="382" t="str">
        <f>IF(G3&gt;10,D113,"——")</f>
        <v>——</v>
      </c>
      <c r="K22" s="1171"/>
      <c r="L22" s="2716"/>
      <c r="M22" s="2716"/>
      <c r="N22" s="2050" t="s">
        <v>2482</v>
      </c>
      <c r="O22" s="1203"/>
      <c r="P22" s="1204">
        <f>SUMPRODUCT((地价!A3:A37=YEAR(G19)&amp;"-"&amp;ROUNDUP(MONTH(G19)/3,0))*(地价!AD2:AH2=N22)*(地价!AD3:AH37))</f>
        <v>0</v>
      </c>
      <c r="Q22" s="2716"/>
      <c r="R22" s="1170"/>
      <c r="S22" s="1170"/>
      <c r="T22" s="1166"/>
      <c r="U22" s="1166"/>
      <c r="V22" s="1166"/>
      <c r="W22" s="1165"/>
      <c r="X22" s="1165"/>
      <c r="Y22" s="1165"/>
      <c r="Z22" s="1171"/>
      <c r="AA22" s="1171"/>
      <c r="AB22" s="1171"/>
      <c r="AC22" s="1171"/>
      <c r="AD22" s="1171"/>
      <c r="AE22" s="1171"/>
      <c r="AF22" s="1171"/>
      <c r="AG22" s="2716"/>
      <c r="AH22" s="2716"/>
      <c r="AI22" s="2716"/>
      <c r="AJ22" s="2716"/>
    </row>
    <row r="23" spans="1:37" ht="27.75" thickBot="1">
      <c r="A23" s="1936" t="s">
        <v>2483</v>
      </c>
      <c r="B23" s="2052" t="s">
        <v>2484</v>
      </c>
      <c r="C23" s="876">
        <f>ROUND(IF(G3&gt;1,IF(I3&lt;7,SUMPRODUCT((B93:B98=I3)*(C92:N92=G2)*(C93:N98)),SUMIF(C92:N92,G2,C100:N100)),IF(I3&lt;7,SUMPRODUCT((B102:B107=I3)*(C92:N92=G2)*(C102:N107)),SUMIF(C92:N92,G2,C109:N109))),4)</f>
        <v>0</v>
      </c>
      <c r="D23" s="1972"/>
      <c r="E23" s="1972"/>
      <c r="F23" s="2053"/>
      <c r="G23" s="2054"/>
      <c r="H23" s="2055"/>
      <c r="I23" s="2056"/>
      <c r="J23" s="2057"/>
      <c r="K23" s="1165"/>
      <c r="L23" s="1974"/>
      <c r="M23" s="1974"/>
      <c r="N23" s="2050" t="s">
        <v>2485</v>
      </c>
      <c r="O23" s="1203"/>
      <c r="P23" s="1204">
        <f>SUMPRODUCT((地价!A3:A37=YEAR(G19)&amp;"-"&amp;ROUNDUP(MONTH(G19)/3,0))*(地价!AD2:AH2=N23)*(地价!AD3:AH37))</f>
        <v>0</v>
      </c>
      <c r="Q23" s="1974"/>
      <c r="R23" s="1170"/>
      <c r="S23" s="1170"/>
      <c r="T23" s="1166"/>
      <c r="U23" s="1166"/>
      <c r="V23" s="1166"/>
      <c r="W23" s="1165"/>
      <c r="X23" s="1165"/>
      <c r="Y23" s="1165"/>
      <c r="Z23" s="1171"/>
      <c r="AA23" s="1171"/>
      <c r="AB23" s="1171"/>
      <c r="AC23" s="1171"/>
      <c r="AD23" s="1171"/>
      <c r="AE23" s="1166"/>
      <c r="AF23" s="1166"/>
      <c r="AG23" s="2119"/>
      <c r="AH23" s="2119"/>
      <c r="AI23" s="2119"/>
      <c r="AJ23" s="2119"/>
      <c r="AK23" s="2034"/>
    </row>
    <row r="24" spans="1:37" s="1990" customFormat="1" ht="15.75" thickBot="1">
      <c r="A24" s="2040" t="s">
        <v>631</v>
      </c>
      <c r="B24" s="2031" t="s">
        <v>2486</v>
      </c>
      <c r="C24" s="797">
        <f>SUMIF(A45:A88,E2,B45:B88)</f>
        <v>0</v>
      </c>
      <c r="D24" s="2032"/>
      <c r="E24" s="2058"/>
      <c r="F24" s="2058"/>
      <c r="G24" s="2058"/>
      <c r="H24" s="2058"/>
      <c r="I24" s="2058"/>
      <c r="J24" s="2059"/>
      <c r="K24" s="1171"/>
      <c r="L24" s="2716"/>
      <c r="M24" s="2716"/>
      <c r="N24" s="2060" t="s">
        <v>2487</v>
      </c>
      <c r="O24" s="1205"/>
      <c r="P24" s="1206">
        <f>SUMPRODUCT((地价!A3:A37=YEAR(G19)&amp;"-"&amp;ROUNDUP(MONTH(G19)/3,0))*(地价!AD2:AH2=N24)*(地价!AD3:AH37))</f>
        <v>0</v>
      </c>
      <c r="Q24" s="2716"/>
      <c r="R24" s="1170"/>
      <c r="S24" s="1170"/>
      <c r="T24" s="1166"/>
      <c r="U24" s="1166"/>
      <c r="V24" s="1166"/>
      <c r="W24" s="1165"/>
      <c r="X24" s="1165"/>
      <c r="Y24" s="1165"/>
      <c r="Z24" s="1171"/>
      <c r="AA24" s="1171"/>
      <c r="AB24" s="1171"/>
      <c r="AC24" s="1171"/>
      <c r="AD24" s="1171"/>
      <c r="AE24" s="1171"/>
      <c r="AF24" s="1171"/>
      <c r="AG24" s="2716"/>
      <c r="AH24" s="2716"/>
      <c r="AI24" s="2716"/>
      <c r="AJ24" s="2716"/>
    </row>
    <row r="25" spans="1:37" ht="15.75" thickBot="1">
      <c r="A25" s="2040" t="s">
        <v>632</v>
      </c>
      <c r="B25" s="2061" t="s">
        <v>2488</v>
      </c>
      <c r="C25" s="803"/>
      <c r="D25" s="2000"/>
      <c r="E25" s="2000"/>
      <c r="F25" s="2062"/>
      <c r="G25" s="2000"/>
      <c r="H25" s="2000"/>
      <c r="I25" s="2000"/>
      <c r="J25" s="2001"/>
      <c r="K25" s="1165"/>
      <c r="L25" s="1974"/>
      <c r="M25" s="1974"/>
      <c r="N25" s="2711" t="s">
        <v>2489</v>
      </c>
      <c r="O25" s="2712"/>
      <c r="P25" s="2713">
        <f>SUMPRODUCT((地价!A3:A37=YEAR(G19)&amp;"-"&amp;ROUNDUP(MONTH(G19)/3,0))*(地价!AD2:AH2=N25)*(地价!AD3:AH37))</f>
        <v>0</v>
      </c>
      <c r="Q25" s="1974"/>
      <c r="R25" s="1170"/>
      <c r="S25" s="1170"/>
      <c r="T25" s="1166"/>
      <c r="U25" s="1166"/>
      <c r="V25" s="1166"/>
      <c r="W25" s="1165"/>
      <c r="X25" s="1165"/>
      <c r="Y25" s="1165"/>
      <c r="Z25" s="1171"/>
      <c r="AA25" s="1171"/>
      <c r="AB25" s="1171"/>
      <c r="AC25" s="1171"/>
      <c r="AD25" s="1171"/>
      <c r="AE25" s="1166"/>
      <c r="AF25" s="1166"/>
      <c r="AG25" s="2119"/>
      <c r="AH25" s="2119"/>
      <c r="AI25" s="2119"/>
      <c r="AJ25" s="2119"/>
    </row>
    <row r="26" spans="1:37" ht="15">
      <c r="A26" s="2063"/>
      <c r="B26" s="2051" t="s">
        <v>2490</v>
      </c>
      <c r="C26" s="2305" t="e">
        <f>IF(B21="容积率修正",E29+SUM(E33:E39),SUM(V2:V16)+SUM(E33:E39))</f>
        <v>#DIV/0!</v>
      </c>
      <c r="D26" s="2064"/>
      <c r="E26" s="1972"/>
      <c r="F26" s="2065"/>
      <c r="G26" s="1972"/>
      <c r="H26" s="1972"/>
      <c r="I26" s="1972"/>
      <c r="J26" s="2066"/>
      <c r="K26" s="1165"/>
      <c r="L26" s="2714" t="s">
        <v>2388</v>
      </c>
      <c r="M26" s="1998" t="s">
        <v>2453</v>
      </c>
      <c r="N26" s="1998" t="s">
        <v>2454</v>
      </c>
      <c r="O26" s="1998" t="s">
        <v>2455</v>
      </c>
      <c r="P26" s="2715" t="s">
        <v>2456</v>
      </c>
      <c r="Q26" s="1974"/>
      <c r="R26" s="1170"/>
      <c r="S26" s="1170"/>
      <c r="T26" s="1166"/>
      <c r="U26" s="1166"/>
      <c r="V26" s="1166"/>
      <c r="W26" s="1165"/>
      <c r="X26" s="1165"/>
      <c r="Y26" s="1165"/>
      <c r="Z26" s="1171"/>
      <c r="AA26" s="1171"/>
      <c r="AB26" s="1171"/>
      <c r="AC26" s="1171"/>
      <c r="AD26" s="1171"/>
      <c r="AE26" s="1166"/>
      <c r="AF26" s="1166"/>
      <c r="AG26" s="2119"/>
      <c r="AH26" s="2119"/>
      <c r="AI26" s="2119"/>
      <c r="AJ26" s="2119"/>
    </row>
    <row r="27" spans="1:37" ht="15.75" thickBot="1">
      <c r="A27" s="2063"/>
      <c r="B27" s="2067" t="s">
        <v>2491</v>
      </c>
      <c r="C27" s="804" t="e">
        <f>E30+SUM(I33:I39)</f>
        <v>#DIV/0!</v>
      </c>
      <c r="D27" s="2068"/>
      <c r="E27" s="2069"/>
      <c r="F27" s="2070"/>
      <c r="G27" s="2069"/>
      <c r="H27" s="2069"/>
      <c r="I27" s="2069"/>
      <c r="J27" s="2071"/>
      <c r="K27" s="1165"/>
      <c r="L27" s="782" t="s">
        <v>2460</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9"/>
      <c r="AH27" s="2119"/>
      <c r="AI27" s="2119"/>
      <c r="AJ27" s="2119"/>
    </row>
    <row r="28" spans="1:37" ht="15.75" thickBot="1">
      <c r="A28" s="2072"/>
      <c r="B28" s="2073" t="s">
        <v>2492</v>
      </c>
      <c r="C28" s="2074" t="s">
        <v>2493</v>
      </c>
      <c r="D28" s="2074" t="s">
        <v>2494</v>
      </c>
      <c r="E28" s="2075" t="s">
        <v>2495</v>
      </c>
      <c r="F28" s="2076"/>
      <c r="G28" s="2012"/>
      <c r="H28" s="2012"/>
      <c r="I28" s="2012"/>
      <c r="J28" s="2013"/>
      <c r="K28" s="1165"/>
      <c r="L28" s="2028" t="s">
        <v>2463</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9"/>
      <c r="AH28" s="2119"/>
      <c r="AI28" s="2119"/>
      <c r="AJ28" s="2119"/>
    </row>
    <row r="29" spans="1:37" ht="22.5" customHeight="1">
      <c r="A29" s="2077"/>
      <c r="B29" s="2078" t="s">
        <v>2496</v>
      </c>
      <c r="C29" s="172" t="e">
        <f>ROUND(C5*C18*C19*C20*C21*C24,0)</f>
        <v>#DIV/0!</v>
      </c>
      <c r="D29" s="2079"/>
      <c r="E29" s="809" t="e">
        <f>ROUND(C29*D29/10000,0)</f>
        <v>#DIV/0!</v>
      </c>
      <c r="F29" s="2080" t="s">
        <v>2497</v>
      </c>
      <c r="G29" s="2081"/>
      <c r="H29" s="2081"/>
      <c r="I29" s="2081"/>
      <c r="J29" s="2082"/>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4"/>
      <c r="AH29" s="1974"/>
      <c r="AI29" s="1974"/>
      <c r="AJ29" s="1974"/>
    </row>
    <row r="30" spans="1:37" ht="25.5" thickBot="1">
      <c r="A30" s="2083"/>
      <c r="B30" s="2084" t="s">
        <v>2498</v>
      </c>
      <c r="C30" s="185" t="e">
        <f>ROUND(IF(E2="工业",C29*M39,C29*M38),0)</f>
        <v>#DIV/0!</v>
      </c>
      <c r="D30" s="2085"/>
      <c r="E30" s="809" t="e">
        <f>ROUND(C30*D30/10000,0)</f>
        <v>#DIV/0!</v>
      </c>
      <c r="F30" s="2086" t="s">
        <v>2499</v>
      </c>
      <c r="G30" s="2087"/>
      <c r="H30" s="2087"/>
      <c r="I30" s="2087"/>
      <c r="J30" s="2088"/>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4"/>
      <c r="AH30" s="1974"/>
      <c r="AI30" s="1974"/>
      <c r="AJ30" s="1974"/>
    </row>
    <row r="31" spans="1:37" ht="14.25">
      <c r="A31" s="2089"/>
      <c r="B31" s="2090" t="s">
        <v>2500</v>
      </c>
      <c r="C31" s="2091" t="s">
        <v>2501</v>
      </c>
      <c r="D31" s="2012"/>
      <c r="E31" s="2091"/>
      <c r="F31" s="2091"/>
      <c r="G31" s="2010" t="s">
        <v>2502</v>
      </c>
      <c r="H31" s="2012"/>
      <c r="I31" s="2092"/>
      <c r="J31" s="2013"/>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4"/>
      <c r="AH31" s="1974"/>
      <c r="AI31" s="1974"/>
      <c r="AJ31" s="1974"/>
    </row>
    <row r="32" spans="1:37" ht="24">
      <c r="A32" s="2077"/>
      <c r="B32" s="2093"/>
      <c r="C32" s="444" t="s">
        <v>2493</v>
      </c>
      <c r="D32" s="441" t="s">
        <v>2494</v>
      </c>
      <c r="E32" s="441" t="s">
        <v>2495</v>
      </c>
      <c r="F32" s="339" t="s">
        <v>2503</v>
      </c>
      <c r="G32" s="2094" t="s">
        <v>2493</v>
      </c>
      <c r="H32" s="2094" t="s">
        <v>2494</v>
      </c>
      <c r="I32" s="2094" t="s">
        <v>2495</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4"/>
      <c r="AH32" s="1974"/>
      <c r="AI32" s="1974"/>
      <c r="AJ32" s="1974"/>
    </row>
    <row r="33" spans="1:37" ht="36" customHeight="1">
      <c r="A33" s="3448"/>
      <c r="B33" s="2095" t="s">
        <v>2504</v>
      </c>
      <c r="C33" s="172" t="e">
        <f>ROUND(D5*C19*C20*C24*F33,0)</f>
        <v>#DIV/0!</v>
      </c>
      <c r="D33" s="2079"/>
      <c r="E33" s="168" t="e">
        <f>ROUND(C33*D33/10000,0)</f>
        <v>#DIV/0!</v>
      </c>
      <c r="F33" s="168">
        <f>SUMIF(修正!A57:A68,G2,修正!B57:B68)</f>
        <v>0</v>
      </c>
      <c r="G33" s="168" t="e">
        <f t="shared" ref="G33" si="6">ROUND(IF(E2="工业",C33*$M$39,C33*$M$38),0)</f>
        <v>#DIV/0!</v>
      </c>
      <c r="H33" s="168">
        <f>D33</f>
        <v>0</v>
      </c>
      <c r="I33" s="168" t="e">
        <f>ROUND(G33*H33/10000,0)</f>
        <v>#DIV/0!</v>
      </c>
      <c r="J33" s="3453" t="s">
        <v>2804</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9"/>
      <c r="AH33" s="2119"/>
      <c r="AI33" s="2119"/>
      <c r="AJ33" s="2119"/>
    </row>
    <row r="34" spans="1:37" ht="14.25">
      <c r="A34" s="3449"/>
      <c r="B34" s="2015" t="s">
        <v>2505</v>
      </c>
      <c r="C34" s="172" t="e">
        <f>ROUND(D5*C19*C20*C24*F34,0)</f>
        <v>#DIV/0!</v>
      </c>
      <c r="D34" s="2079"/>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449"/>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9"/>
      <c r="AH34" s="2119"/>
      <c r="AI34" s="2119"/>
      <c r="AJ34" s="2119"/>
    </row>
    <row r="35" spans="1:37">
      <c r="A35" s="3449"/>
      <c r="B35" s="2015" t="s">
        <v>2506</v>
      </c>
      <c r="C35" s="172" t="e">
        <f>ROUND(D5*C19*C20*C24*F35,0)</f>
        <v>#DIV/0!</v>
      </c>
      <c r="D35" s="2079"/>
      <c r="E35" s="168" t="e">
        <f t="shared" si="7"/>
        <v>#DIV/0!</v>
      </c>
      <c r="F35" s="168">
        <f>SUMIF(修正!A57:A68,G2,修正!D57:D68)</f>
        <v>0</v>
      </c>
      <c r="G35" s="168" t="e">
        <f>ROUND(IF(E2="工业",C35*$M$39,C35*$M$38),0)</f>
        <v>#DIV/0!</v>
      </c>
      <c r="H35" s="168">
        <f t="shared" si="8"/>
        <v>0</v>
      </c>
      <c r="I35" s="168" t="e">
        <f t="shared" si="9"/>
        <v>#DIV/0!</v>
      </c>
      <c r="J35" s="3449"/>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9"/>
      <c r="AH35" s="2119"/>
      <c r="AI35" s="2119"/>
      <c r="AJ35" s="2119"/>
    </row>
    <row r="36" spans="1:37" ht="13.5" thickBot="1">
      <c r="A36" s="3450"/>
      <c r="B36" s="2015" t="s">
        <v>2507</v>
      </c>
      <c r="C36" s="172" t="e">
        <f>ROUND(D5*C19*C20*C24*F36,0)</f>
        <v>#DIV/0!</v>
      </c>
      <c r="D36" s="2079"/>
      <c r="E36" s="168" t="e">
        <f t="shared" si="7"/>
        <v>#DIV/0!</v>
      </c>
      <c r="F36" s="168" t="e">
        <f>SUMIF(修正!A57:A68,G2,修正!#REF!)</f>
        <v>#REF!</v>
      </c>
      <c r="G36" s="168" t="e">
        <f>ROUND(IF(E2="工业",C36*$M$39,C36*$M$38),0)</f>
        <v>#DIV/0!</v>
      </c>
      <c r="H36" s="168">
        <f t="shared" si="8"/>
        <v>0</v>
      </c>
      <c r="I36" s="168" t="e">
        <f t="shared" si="9"/>
        <v>#DIV/0!</v>
      </c>
      <c r="J36" s="3450"/>
      <c r="K36" s="1165"/>
      <c r="L36" s="1974"/>
      <c r="M36" s="1974"/>
      <c r="N36" s="1165"/>
      <c r="O36" s="1165"/>
      <c r="P36" s="1165"/>
      <c r="Q36" s="1165"/>
      <c r="R36" s="1165"/>
      <c r="S36" s="1165"/>
      <c r="T36" s="1165"/>
      <c r="U36" s="1165"/>
      <c r="V36" s="1165"/>
      <c r="W36" s="1165"/>
      <c r="X36" s="1165"/>
      <c r="Y36" s="1165"/>
      <c r="Z36" s="1166"/>
      <c r="AA36" s="1166"/>
      <c r="AB36" s="1166"/>
      <c r="AC36" s="1166"/>
      <c r="AD36" s="1166"/>
      <c r="AE36" s="1166"/>
      <c r="AF36" s="1166"/>
      <c r="AG36" s="2119"/>
      <c r="AH36" s="2119"/>
      <c r="AI36" s="2119"/>
      <c r="AJ36" s="2119"/>
    </row>
    <row r="37" spans="1:37">
      <c r="A37" s="2096"/>
      <c r="B37" s="2015" t="s">
        <v>2508</v>
      </c>
      <c r="C37" s="168" t="e">
        <f>ROUND(D5*C19*C20*C24*F37,0)</f>
        <v>#DIV/0!</v>
      </c>
      <c r="D37" s="2079"/>
      <c r="E37" s="168" t="e">
        <f t="shared" si="7"/>
        <v>#DIV/0!</v>
      </c>
      <c r="F37" s="172">
        <f>SUMIF(修正!A57:A68,G2,修正!E57:E68)</f>
        <v>0</v>
      </c>
      <c r="G37" s="168" t="e">
        <f>ROUND(IF(E2="工业",C37*$M$39,C37*$M$38),0)</f>
        <v>#DIV/0!</v>
      </c>
      <c r="H37" s="168">
        <f t="shared" si="8"/>
        <v>0</v>
      </c>
      <c r="I37" s="168" t="e">
        <f t="shared" si="9"/>
        <v>#DIV/0!</v>
      </c>
      <c r="J37" s="1046"/>
      <c r="K37" s="1165"/>
      <c r="L37" s="2097" t="s">
        <v>2509</v>
      </c>
      <c r="M37" s="2098"/>
      <c r="N37" s="1165"/>
      <c r="O37" s="1165"/>
      <c r="P37" s="1165"/>
      <c r="Q37" s="1165"/>
      <c r="R37" s="1165"/>
      <c r="S37" s="1165"/>
      <c r="T37" s="1165"/>
      <c r="U37" s="1165"/>
      <c r="V37" s="1165"/>
      <c r="W37" s="1165"/>
      <c r="X37" s="1165"/>
      <c r="Y37" s="1165"/>
      <c r="Z37" s="1166"/>
      <c r="AA37" s="1166"/>
      <c r="AB37" s="1166"/>
      <c r="AC37" s="1166"/>
      <c r="AD37" s="1166"/>
      <c r="AE37" s="1166"/>
      <c r="AF37" s="1166"/>
      <c r="AG37" s="2119"/>
      <c r="AH37" s="2119"/>
      <c r="AI37" s="2119"/>
      <c r="AJ37" s="2119"/>
    </row>
    <row r="38" spans="1:37">
      <c r="A38" s="2096"/>
      <c r="B38" s="2015" t="s">
        <v>2510</v>
      </c>
      <c r="C38" s="168" t="e">
        <f>ROUND(D5*C19*C41*C24*F38,0)</f>
        <v>#DIV/0!</v>
      </c>
      <c r="D38" s="2079"/>
      <c r="E38" s="168" t="e">
        <f t="shared" si="7"/>
        <v>#DIV/0!</v>
      </c>
      <c r="F38" s="172">
        <f>SUMIF(修正!A57:A68,G2,修正!F57:F68)</f>
        <v>0</v>
      </c>
      <c r="G38" s="168" t="e">
        <f>ROUND(IF(E2="工业",C38*$M$39,C38*$M$38),0)</f>
        <v>#DIV/0!</v>
      </c>
      <c r="H38" s="168">
        <f t="shared" si="8"/>
        <v>0</v>
      </c>
      <c r="I38" s="168" t="e">
        <f t="shared" si="9"/>
        <v>#DIV/0!</v>
      </c>
      <c r="J38" s="1046"/>
      <c r="K38" s="1165"/>
      <c r="L38" s="1457" t="s">
        <v>2511</v>
      </c>
      <c r="M38" s="2099">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83"/>
      <c r="B39" s="2100" t="s">
        <v>2512</v>
      </c>
      <c r="C39" s="185" t="e">
        <f>ROUND(D5*C19*C41*C24*F39,0)</f>
        <v>#DIV/0!</v>
      </c>
      <c r="D39" s="2085"/>
      <c r="E39" s="185" t="e">
        <f t="shared" si="7"/>
        <v>#DIV/0!</v>
      </c>
      <c r="F39" s="805">
        <f>SUMIF(修正!A57:A68,G2,修正!G57:G68)</f>
        <v>0</v>
      </c>
      <c r="G39" s="185" t="e">
        <f>ROUND(IF(E2="工业",C39*$M$39,C39*$M$38),0)</f>
        <v>#DIV/0!</v>
      </c>
      <c r="H39" s="185">
        <f t="shared" si="8"/>
        <v>0</v>
      </c>
      <c r="I39" s="185" t="e">
        <f t="shared" si="9"/>
        <v>#DIV/0!</v>
      </c>
      <c r="J39" s="2101"/>
      <c r="K39" s="1165"/>
      <c r="L39" s="2102" t="s">
        <v>2456</v>
      </c>
      <c r="M39" s="2103">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c r="A41" s="1166"/>
      <c r="B41" s="2147" t="s">
        <v>2617</v>
      </c>
      <c r="C41" s="339" t="e">
        <f>ROUND(POWER(1+E41,H41-G41)*(POWER(1+E41,G41)-1)/(POWER(1+E41,H41)-1),4)</f>
        <v>#DIV/0!</v>
      </c>
      <c r="D41" s="168" t="s">
        <v>2463</v>
      </c>
      <c r="E41" s="2146">
        <f>G20</f>
        <v>0</v>
      </c>
      <c r="F41" s="168" t="s">
        <v>2472</v>
      </c>
      <c r="G41" s="181"/>
      <c r="H41" s="168">
        <v>50</v>
      </c>
      <c r="Z41" s="1166"/>
      <c r="AA41" s="1166"/>
      <c r="AB41" s="1166"/>
      <c r="AC41" s="1166"/>
      <c r="AD41" s="1166"/>
      <c r="AE41" s="1166"/>
      <c r="AF41" s="1166"/>
      <c r="AG41" s="1166"/>
      <c r="AH41" s="1166"/>
      <c r="AI41" s="1166"/>
      <c r="AJ41" s="1166"/>
    </row>
    <row r="42" spans="1:37" s="1165" customFormat="1">
      <c r="A42" s="1166"/>
      <c r="B42" s="2104"/>
      <c r="Z42" s="1166"/>
      <c r="AA42" s="1166"/>
      <c r="AB42" s="1166"/>
      <c r="AC42" s="1166"/>
      <c r="AD42" s="1166"/>
      <c r="AE42" s="1166"/>
      <c r="AF42" s="1166"/>
      <c r="AG42" s="1166"/>
      <c r="AH42" s="1166"/>
      <c r="AI42" s="1166"/>
      <c r="AJ42" s="1166"/>
    </row>
    <row r="43" spans="1:37" s="1165" customFormat="1">
      <c r="A43" s="1166"/>
      <c r="B43" s="2104"/>
      <c r="Z43" s="1166"/>
      <c r="AA43" s="1166"/>
      <c r="AB43" s="1166"/>
      <c r="AC43" s="1166"/>
      <c r="AD43" s="1166"/>
      <c r="AE43" s="1166"/>
      <c r="AF43" s="1166"/>
      <c r="AG43" s="1166"/>
      <c r="AH43" s="1166"/>
      <c r="AI43" s="1166"/>
      <c r="AJ43" s="1166"/>
    </row>
    <row r="44" spans="1:37" s="1165" customFormat="1">
      <c r="A44" s="1166"/>
      <c r="B44" s="2104"/>
      <c r="Z44" s="1166"/>
      <c r="AA44" s="1166"/>
      <c r="AB44" s="1166"/>
      <c r="AC44" s="1166"/>
      <c r="AD44" s="1166"/>
      <c r="AE44" s="1166"/>
      <c r="AF44" s="1166"/>
      <c r="AG44" s="1166"/>
      <c r="AH44" s="1166"/>
      <c r="AI44" s="1166"/>
      <c r="AJ44" s="1166"/>
    </row>
    <row r="45" spans="1:37" s="1165" customFormat="1" ht="15.75" thickBot="1">
      <c r="A45" s="2105" t="s">
        <v>2513</v>
      </c>
      <c r="B45" s="2106"/>
      <c r="C45" s="7"/>
      <c r="D45" s="7"/>
      <c r="E45" s="7"/>
      <c r="F45" s="6"/>
      <c r="G45" s="6"/>
      <c r="H45" s="6"/>
      <c r="I45" s="1811"/>
      <c r="J45" s="1811"/>
      <c r="K45" s="1811"/>
      <c r="L45" s="1811"/>
      <c r="M45" s="1811"/>
      <c r="Z45" s="1166"/>
      <c r="AA45" s="1166"/>
      <c r="AB45" s="1166"/>
      <c r="AC45" s="1166"/>
      <c r="AD45" s="1166"/>
      <c r="AE45" s="1166"/>
      <c r="AF45" s="1166"/>
      <c r="AG45" s="1166"/>
      <c r="AH45" s="1166"/>
      <c r="AI45" s="1166"/>
      <c r="AJ45" s="1166"/>
    </row>
    <row r="46" spans="1:37" s="1165" customFormat="1" ht="15">
      <c r="A46" s="2107" t="s">
        <v>2514</v>
      </c>
      <c r="B46" s="2108">
        <f>1+E48</f>
        <v>1</v>
      </c>
      <c r="C46" s="1856"/>
      <c r="D46" s="710"/>
      <c r="E46" s="711"/>
      <c r="F46" s="2109"/>
      <c r="G46" s="6"/>
      <c r="H46" s="7"/>
      <c r="I46" s="1811"/>
      <c r="J46" s="1811"/>
      <c r="K46" s="1811"/>
      <c r="L46" s="1811"/>
      <c r="M46" s="1811"/>
      <c r="Z46" s="1166"/>
      <c r="AA46" s="1166"/>
      <c r="AB46" s="1166"/>
      <c r="AC46" s="1166"/>
      <c r="AD46" s="1166"/>
      <c r="AE46" s="1166"/>
      <c r="AF46" s="1166"/>
      <c r="AG46" s="1166"/>
      <c r="AH46" s="1166"/>
      <c r="AI46" s="1166"/>
      <c r="AJ46" s="1166"/>
    </row>
    <row r="47" spans="1:37" s="1165" customFormat="1" ht="24.75">
      <c r="A47" s="2110" t="s">
        <v>2515</v>
      </c>
      <c r="B47" s="1391" t="s">
        <v>2516</v>
      </c>
      <c r="C47" s="1391" t="s">
        <v>2517</v>
      </c>
      <c r="D47" s="1391" t="s">
        <v>2518</v>
      </c>
      <c r="E47" s="714" t="s">
        <v>2519</v>
      </c>
      <c r="F47" s="2111" t="s">
        <v>2520</v>
      </c>
      <c r="G47" s="1391" t="s">
        <v>574</v>
      </c>
      <c r="H47" s="783" t="s">
        <v>2521</v>
      </c>
      <c r="I47" s="1391" t="s">
        <v>2522</v>
      </c>
      <c r="J47" s="538" t="s">
        <v>2173</v>
      </c>
      <c r="K47" s="538" t="s">
        <v>2174</v>
      </c>
      <c r="L47" s="538" t="s">
        <v>2175</v>
      </c>
      <c r="M47" s="538" t="s">
        <v>2176</v>
      </c>
      <c r="N47" s="538" t="s">
        <v>2177</v>
      </c>
      <c r="AA47" s="1166"/>
      <c r="AB47" s="1166"/>
      <c r="AC47" s="1166"/>
      <c r="AD47" s="1166"/>
      <c r="AE47" s="1166"/>
      <c r="AF47" s="1166"/>
      <c r="AG47" s="1166"/>
      <c r="AH47" s="1166"/>
      <c r="AI47" s="1166"/>
      <c r="AJ47" s="1166"/>
      <c r="AK47" s="1166"/>
    </row>
    <row r="48" spans="1:37" s="1165" customFormat="1" ht="38.25">
      <c r="A48" s="2110" t="s">
        <v>2523</v>
      </c>
      <c r="B48" s="2112" t="str">
        <f>估价对象房地状况!C4</f>
        <v>估价对象位于XX商圈，周边商业氛围成熟，人流量大，商业繁华度好</v>
      </c>
      <c r="C48" s="2020"/>
      <c r="D48" s="1109">
        <f t="shared" ref="D48:D56" si="10">SUMIF($J$47:$N$47,C48,J48:N48)</f>
        <v>0</v>
      </c>
      <c r="E48" s="716">
        <f>ROUND(SUM(D48:D56),4)</f>
        <v>0</v>
      </c>
      <c r="F48" s="1805"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51">
      <c r="A49" s="2110" t="s">
        <v>2524</v>
      </c>
      <c r="B49" s="1391" t="str">
        <f>估价对象房地状况!C18</f>
        <v>估价对象周边道路状况、公共交通通达情况、停车便捷程度，综合评价交通便捷度较好</v>
      </c>
      <c r="C49" s="2020"/>
      <c r="D49" s="1109">
        <f t="shared" si="10"/>
        <v>0</v>
      </c>
      <c r="E49" s="717"/>
      <c r="F49" s="1805"/>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4">
      <c r="A50" s="2110" t="s">
        <v>2525</v>
      </c>
      <c r="B50" s="1391">
        <f>估价对象房地状况!C19</f>
        <v>0</v>
      </c>
      <c r="C50" s="2020"/>
      <c r="D50" s="1109">
        <f t="shared" si="10"/>
        <v>0</v>
      </c>
      <c r="E50" s="717"/>
      <c r="F50" s="1805"/>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36.75">
      <c r="A51" s="2110" t="s">
        <v>2526</v>
      </c>
      <c r="B51" s="2113" t="s">
        <v>2527</v>
      </c>
      <c r="C51" s="2020"/>
      <c r="D51" s="1109">
        <f t="shared" si="10"/>
        <v>0</v>
      </c>
      <c r="E51" s="717"/>
      <c r="F51" s="1805"/>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4">
      <c r="A52" s="2110" t="s">
        <v>2528</v>
      </c>
      <c r="B52" s="1391">
        <f>估价对象房地状况!C24</f>
        <v>0</v>
      </c>
      <c r="C52" s="2020"/>
      <c r="D52" s="1109">
        <f t="shared" si="10"/>
        <v>0</v>
      </c>
      <c r="E52" s="717"/>
      <c r="F52" s="1805"/>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24">
      <c r="A53" s="2110" t="s">
        <v>2529</v>
      </c>
      <c r="B53" s="2114" t="s">
        <v>2530</v>
      </c>
      <c r="C53" s="2020"/>
      <c r="D53" s="1109">
        <f t="shared" si="10"/>
        <v>0</v>
      </c>
      <c r="E53" s="717"/>
      <c r="F53" s="1805"/>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25.5">
      <c r="A54" s="2115" t="s">
        <v>2531</v>
      </c>
      <c r="B54" s="1355" t="str">
        <f>估价对象房地状况!C21</f>
        <v>估价对象所在区域公共配套设施齐备情况</v>
      </c>
      <c r="C54" s="2020"/>
      <c r="D54" s="1109">
        <f t="shared" si="10"/>
        <v>0</v>
      </c>
      <c r="E54" s="717"/>
      <c r="F54" s="1805"/>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5.5">
      <c r="A55" s="2115" t="s">
        <v>2532</v>
      </c>
      <c r="B55" s="1391" t="str">
        <f>估价对象房地状况!C22</f>
        <v>估价对象所在区域基础设施水平</v>
      </c>
      <c r="C55" s="2020"/>
      <c r="D55" s="1109">
        <f t="shared" si="10"/>
        <v>0</v>
      </c>
      <c r="E55" s="717"/>
      <c r="F55" s="1805"/>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39" thickBot="1">
      <c r="A56" s="2116" t="s">
        <v>2533</v>
      </c>
      <c r="B56" s="2117" t="str">
        <f>估价对象房地状况!C20</f>
        <v>区域自然环境：；人文环境；综合评价环境状况一般</v>
      </c>
      <c r="C56" s="2020"/>
      <c r="D56" s="1109">
        <f t="shared" si="10"/>
        <v>0</v>
      </c>
      <c r="E56" s="720"/>
      <c r="F56" s="1805"/>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5">
      <c r="A57" s="2107" t="s">
        <v>2534</v>
      </c>
      <c r="B57" s="2108">
        <f>1+E59</f>
        <v>1</v>
      </c>
      <c r="C57" s="710"/>
      <c r="D57" s="710"/>
      <c r="E57" s="711"/>
      <c r="F57" s="2109"/>
      <c r="G57" s="6"/>
      <c r="H57" s="6"/>
      <c r="I57" s="6"/>
      <c r="J57" s="7"/>
      <c r="K57" s="7"/>
      <c r="L57" s="7"/>
      <c r="M57" s="7"/>
      <c r="N57" s="7"/>
      <c r="AA57" s="1166"/>
      <c r="AB57" s="1166"/>
      <c r="AC57" s="1166"/>
      <c r="AD57" s="1166"/>
      <c r="AE57" s="1166"/>
      <c r="AF57" s="1166"/>
      <c r="AG57" s="1166"/>
      <c r="AH57" s="1166"/>
      <c r="AI57" s="1166"/>
      <c r="AJ57" s="1166"/>
      <c r="AK57" s="1166"/>
    </row>
    <row r="58" spans="1:37" s="1165" customFormat="1" ht="24.75">
      <c r="A58" s="2110" t="s">
        <v>2515</v>
      </c>
      <c r="B58" s="1391"/>
      <c r="C58" s="1391" t="s">
        <v>2517</v>
      </c>
      <c r="D58" s="1391" t="s">
        <v>2518</v>
      </c>
      <c r="E58" s="714" t="s">
        <v>2519</v>
      </c>
      <c r="F58" s="2111" t="s">
        <v>2535</v>
      </c>
      <c r="G58" s="1391" t="s">
        <v>574</v>
      </c>
      <c r="H58" s="783" t="s">
        <v>2521</v>
      </c>
      <c r="I58" s="1391" t="s">
        <v>2522</v>
      </c>
      <c r="J58" s="538" t="s">
        <v>2173</v>
      </c>
      <c r="K58" s="538" t="s">
        <v>2174</v>
      </c>
      <c r="L58" s="538" t="s">
        <v>2175</v>
      </c>
      <c r="M58" s="538" t="s">
        <v>2176</v>
      </c>
      <c r="N58" s="538" t="s">
        <v>2177</v>
      </c>
      <c r="AA58" s="1166"/>
      <c r="AB58" s="1166"/>
      <c r="AC58" s="1166"/>
      <c r="AD58" s="1166"/>
      <c r="AE58" s="1166"/>
      <c r="AF58" s="1166"/>
      <c r="AG58" s="1166"/>
      <c r="AH58" s="1166"/>
      <c r="AI58" s="1166"/>
      <c r="AJ58" s="1166"/>
      <c r="AK58" s="1166"/>
    </row>
    <row r="59" spans="1:37" s="1165" customFormat="1" ht="38.25">
      <c r="A59" s="2110" t="s">
        <v>2536</v>
      </c>
      <c r="B59" s="2112" t="str">
        <f>估价对象房地状况!C17</f>
        <v>估价对象位于XX商圈，周边办公楼项目较多，入驻率高，办公集聚程度较好</v>
      </c>
      <c r="C59" s="2020"/>
      <c r="D59" s="1109">
        <f t="shared" ref="D59:D67" si="15">SUMIF($J$58:$N$58,C59,J59:N59)</f>
        <v>0</v>
      </c>
      <c r="E59" s="716">
        <f>ROUND(SUM(D59:D67),4)</f>
        <v>0</v>
      </c>
      <c r="F59" s="1805"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51">
      <c r="A60" s="2110" t="s">
        <v>2524</v>
      </c>
      <c r="B60" s="1391" t="str">
        <f>估价对象房地状况!C18</f>
        <v>估价对象周边道路状况、公共交通通达情况、停车便捷程度，综合评价交通便捷度较好</v>
      </c>
      <c r="C60" s="2020"/>
      <c r="D60" s="1109">
        <f t="shared" si="15"/>
        <v>0</v>
      </c>
      <c r="E60" s="717"/>
      <c r="F60" s="1805"/>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4">
      <c r="A61" s="2110" t="s">
        <v>2525</v>
      </c>
      <c r="B61" s="1391">
        <f>估价对象房地状况!C19</f>
        <v>0</v>
      </c>
      <c r="C61" s="2020"/>
      <c r="D61" s="1109">
        <f t="shared" si="15"/>
        <v>0</v>
      </c>
      <c r="E61" s="717"/>
      <c r="F61" s="1805"/>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36.75">
      <c r="A62" s="2110" t="s">
        <v>2526</v>
      </c>
      <c r="B62" s="2113" t="s">
        <v>2527</v>
      </c>
      <c r="C62" s="2020"/>
      <c r="D62" s="1109">
        <f t="shared" si="15"/>
        <v>0</v>
      </c>
      <c r="E62" s="717"/>
      <c r="F62" s="1805"/>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4">
      <c r="A63" s="2110" t="s">
        <v>2528</v>
      </c>
      <c r="B63" s="1391">
        <f>估价对象房地状况!C24</f>
        <v>0</v>
      </c>
      <c r="C63" s="2020"/>
      <c r="D63" s="1109">
        <f t="shared" si="15"/>
        <v>0</v>
      </c>
      <c r="E63" s="717"/>
      <c r="F63" s="1805"/>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24">
      <c r="A64" s="2110" t="s">
        <v>2529</v>
      </c>
      <c r="B64" s="2114" t="s">
        <v>2530</v>
      </c>
      <c r="C64" s="2020"/>
      <c r="D64" s="1109">
        <f t="shared" si="15"/>
        <v>0</v>
      </c>
      <c r="E64" s="717"/>
      <c r="F64" s="1805"/>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25.5">
      <c r="A65" s="2110" t="s">
        <v>2531</v>
      </c>
      <c r="B65" s="1355" t="str">
        <f>估价对象房地状况!C21</f>
        <v>估价对象所在区域公共配套设施齐备情况</v>
      </c>
      <c r="C65" s="2020"/>
      <c r="D65" s="1109">
        <f t="shared" si="15"/>
        <v>0</v>
      </c>
      <c r="E65" s="717"/>
      <c r="F65" s="1805"/>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5.5">
      <c r="A66" s="2110" t="s">
        <v>2532</v>
      </c>
      <c r="B66" s="1355" t="str">
        <f>估价对象房地状况!C22</f>
        <v>估价对象所在区域基础设施水平</v>
      </c>
      <c r="C66" s="2020"/>
      <c r="D66" s="1109">
        <f t="shared" si="15"/>
        <v>0</v>
      </c>
      <c r="E66" s="717"/>
      <c r="F66" s="1805"/>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39" thickBot="1">
      <c r="A67" s="2116" t="s">
        <v>2533</v>
      </c>
      <c r="B67" s="2118" t="str">
        <f>估价对象房地状况!C20</f>
        <v>区域自然环境：；人文环境；综合评价环境状况一般</v>
      </c>
      <c r="C67" s="2020"/>
      <c r="D67" s="1109">
        <f t="shared" si="15"/>
        <v>0</v>
      </c>
      <c r="E67" s="720"/>
      <c r="F67" s="1805"/>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5">
      <c r="A68" s="2107" t="s">
        <v>2537</v>
      </c>
      <c r="B68" s="2108">
        <f>1+E70</f>
        <v>1</v>
      </c>
      <c r="C68" s="710"/>
      <c r="D68" s="710"/>
      <c r="E68" s="711"/>
      <c r="F68" s="2109"/>
      <c r="G68" s="6"/>
      <c r="H68" s="6"/>
      <c r="I68" s="6"/>
      <c r="J68" s="7"/>
      <c r="K68" s="7"/>
      <c r="L68" s="7"/>
      <c r="M68" s="7"/>
      <c r="N68" s="7"/>
      <c r="AA68" s="1166"/>
      <c r="AB68" s="1166"/>
      <c r="AC68" s="1166"/>
      <c r="AD68" s="1166"/>
      <c r="AE68" s="1166"/>
      <c r="AF68" s="1166"/>
      <c r="AG68" s="1166"/>
      <c r="AH68" s="1166"/>
      <c r="AI68" s="1166"/>
      <c r="AJ68" s="1166"/>
      <c r="AK68" s="1166"/>
    </row>
    <row r="69" spans="1:37" s="1165" customFormat="1" ht="24.75">
      <c r="A69" s="2110" t="s">
        <v>2515</v>
      </c>
      <c r="B69" s="1391"/>
      <c r="C69" s="1391" t="s">
        <v>2517</v>
      </c>
      <c r="D69" s="1391" t="s">
        <v>2518</v>
      </c>
      <c r="E69" s="714" t="s">
        <v>2519</v>
      </c>
      <c r="F69" s="2111" t="s">
        <v>2535</v>
      </c>
      <c r="G69" s="1391" t="s">
        <v>574</v>
      </c>
      <c r="H69" s="783" t="s">
        <v>2521</v>
      </c>
      <c r="I69" s="1391" t="s">
        <v>2522</v>
      </c>
      <c r="J69" s="538" t="s">
        <v>2173</v>
      </c>
      <c r="K69" s="538" t="s">
        <v>2174</v>
      </c>
      <c r="L69" s="538" t="s">
        <v>2175</v>
      </c>
      <c r="M69" s="538" t="s">
        <v>2176</v>
      </c>
      <c r="N69" s="538" t="s">
        <v>2177</v>
      </c>
      <c r="AA69" s="1166"/>
      <c r="AB69" s="1166"/>
      <c r="AC69" s="1166"/>
      <c r="AD69" s="1166"/>
      <c r="AE69" s="1166"/>
      <c r="AF69" s="1166"/>
      <c r="AG69" s="1166"/>
      <c r="AH69" s="1166"/>
      <c r="AI69" s="1166"/>
      <c r="AJ69" s="1166"/>
      <c r="AK69" s="1166"/>
    </row>
    <row r="70" spans="1:37" s="1165" customFormat="1" ht="51">
      <c r="A70" s="2110" t="s">
        <v>2538</v>
      </c>
      <c r="B70" s="2112" t="str">
        <f>估价对象房地状况!C15</f>
        <v>估价对象周边居住用地比例、居住小区规模和社区发展完善程度，综合评价居住社区成熟度一般</v>
      </c>
      <c r="C70" s="2020"/>
      <c r="D70" s="1109">
        <f t="shared" ref="D70:D78" si="20">SUMIF($J$69:$N$69,C70,J70:N70)</f>
        <v>0</v>
      </c>
      <c r="E70" s="716">
        <f>ROUND(SUM(D70:D78),4)</f>
        <v>0</v>
      </c>
      <c r="F70" s="1805"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51">
      <c r="A71" s="2110" t="s">
        <v>2524</v>
      </c>
      <c r="B71" s="1391" t="str">
        <f>估价对象房地状况!C18</f>
        <v>估价对象周边道路状况、公共交通通达情况、停车便捷程度，综合评价交通便捷度较好</v>
      </c>
      <c r="C71" s="2020"/>
      <c r="D71" s="1109">
        <f t="shared" si="20"/>
        <v>0</v>
      </c>
      <c r="E71" s="721"/>
      <c r="F71" s="1805"/>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4">
      <c r="A72" s="2110" t="s">
        <v>2525</v>
      </c>
      <c r="B72" s="1391">
        <f>估价对象房地状况!C19</f>
        <v>0</v>
      </c>
      <c r="C72" s="2020"/>
      <c r="D72" s="1109">
        <f t="shared" si="20"/>
        <v>0</v>
      </c>
      <c r="E72" s="721"/>
      <c r="F72" s="1805"/>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4.25">
      <c r="A73" s="2110" t="s">
        <v>2539</v>
      </c>
      <c r="B73" s="1391">
        <f>估价对象房地状况!C24</f>
        <v>0</v>
      </c>
      <c r="C73" s="2020"/>
      <c r="D73" s="1109">
        <f t="shared" si="20"/>
        <v>0</v>
      </c>
      <c r="E73" s="721"/>
      <c r="F73" s="1805"/>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25.5">
      <c r="A74" s="2110" t="s">
        <v>2531</v>
      </c>
      <c r="B74" s="1355" t="str">
        <f>估价对象房地状况!C21</f>
        <v>估价对象所在区域公共配套设施齐备情况</v>
      </c>
      <c r="C74" s="2020"/>
      <c r="D74" s="1109">
        <f t="shared" si="20"/>
        <v>0</v>
      </c>
      <c r="E74" s="721"/>
      <c r="F74" s="1805"/>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5.5">
      <c r="A75" s="2110" t="s">
        <v>2532</v>
      </c>
      <c r="B75" s="1355" t="str">
        <f>估价对象房地状况!C22</f>
        <v>估价对象所在区域基础设施水平</v>
      </c>
      <c r="C75" s="2020"/>
      <c r="D75" s="1109">
        <f t="shared" si="20"/>
        <v>0</v>
      </c>
      <c r="E75" s="721"/>
      <c r="F75" s="1805"/>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4" customFormat="1" ht="24">
      <c r="A76" s="2110" t="s">
        <v>2529</v>
      </c>
      <c r="B76" s="2114" t="s">
        <v>2530</v>
      </c>
      <c r="C76" s="2020"/>
      <c r="D76" s="1109">
        <f t="shared" si="20"/>
        <v>0</v>
      </c>
      <c r="E76" s="721"/>
      <c r="F76" s="1805"/>
      <c r="G76" s="1107"/>
      <c r="H76" s="1111" t="str">
        <f t="shared" si="21"/>
        <v>——</v>
      </c>
      <c r="I76" s="715">
        <v>0.05</v>
      </c>
      <c r="J76" s="1108">
        <f t="shared" si="22"/>
        <v>0</v>
      </c>
      <c r="K76" s="1108">
        <f t="shared" si="23"/>
        <v>0</v>
      </c>
      <c r="L76" s="1108">
        <v>0</v>
      </c>
      <c r="M76" s="1108">
        <f t="shared" si="24"/>
        <v>0</v>
      </c>
      <c r="N76" s="1108">
        <f t="shared" si="24"/>
        <v>0</v>
      </c>
      <c r="AA76" s="2119"/>
      <c r="AB76" s="1166"/>
      <c r="AC76" s="1166"/>
      <c r="AD76" s="1166"/>
      <c r="AE76" s="1166"/>
      <c r="AF76" s="1166"/>
      <c r="AG76" s="1166"/>
      <c r="AH76" s="2119"/>
      <c r="AI76" s="2119"/>
      <c r="AJ76" s="2119"/>
      <c r="AK76" s="2119"/>
    </row>
    <row r="77" spans="1:37" ht="38.25">
      <c r="A77" s="2110" t="s">
        <v>2533</v>
      </c>
      <c r="B77" s="2112" t="str">
        <f>估价对象房地状况!C20</f>
        <v>区域自然环境：；人文环境；综合评价环境状况一般</v>
      </c>
      <c r="C77" s="2020"/>
      <c r="D77" s="1109">
        <f t="shared" si="20"/>
        <v>0</v>
      </c>
      <c r="E77" s="721"/>
      <c r="F77" s="1805"/>
      <c r="G77" s="1107"/>
      <c r="H77" s="1111" t="str">
        <f t="shared" si="21"/>
        <v>——</v>
      </c>
      <c r="I77" s="715">
        <v>0.15</v>
      </c>
      <c r="J77" s="1108">
        <f t="shared" si="22"/>
        <v>0</v>
      </c>
      <c r="K77" s="1108">
        <f t="shared" si="23"/>
        <v>0</v>
      </c>
      <c r="L77" s="1108">
        <v>0</v>
      </c>
      <c r="M77" s="1108">
        <f t="shared" si="24"/>
        <v>0</v>
      </c>
      <c r="N77" s="1108">
        <f t="shared" si="24"/>
        <v>0</v>
      </c>
      <c r="Z77" s="1975"/>
      <c r="AA77" s="2034"/>
      <c r="AG77" s="1167"/>
      <c r="AK77" s="2034"/>
    </row>
    <row r="78" spans="1:37" ht="24.75" thickBot="1">
      <c r="A78" s="2116" t="s">
        <v>2540</v>
      </c>
      <c r="B78" s="2120"/>
      <c r="C78" s="2020"/>
      <c r="D78" s="1109">
        <f t="shared" si="20"/>
        <v>0</v>
      </c>
      <c r="E78" s="722"/>
      <c r="F78" s="1805"/>
      <c r="G78" s="1107"/>
      <c r="H78" s="1111" t="str">
        <f t="shared" si="21"/>
        <v>——</v>
      </c>
      <c r="I78" s="719">
        <v>0.04</v>
      </c>
      <c r="J78" s="1108">
        <f t="shared" si="22"/>
        <v>0</v>
      </c>
      <c r="K78" s="1108">
        <f t="shared" si="23"/>
        <v>0</v>
      </c>
      <c r="L78" s="1108">
        <v>0</v>
      </c>
      <c r="M78" s="1108">
        <f t="shared" si="24"/>
        <v>0</v>
      </c>
      <c r="N78" s="1108">
        <f t="shared" si="24"/>
        <v>0</v>
      </c>
      <c r="Z78" s="1975"/>
      <c r="AA78" s="2034"/>
      <c r="AG78" s="1167"/>
      <c r="AK78" s="2034"/>
    </row>
    <row r="79" spans="1:37" ht="15">
      <c r="A79" s="2107" t="s">
        <v>2541</v>
      </c>
      <c r="B79" s="2108">
        <f>1+E81</f>
        <v>1</v>
      </c>
      <c r="C79" s="710"/>
      <c r="D79" s="710"/>
      <c r="E79" s="711"/>
      <c r="F79" s="2109"/>
      <c r="G79" s="6"/>
      <c r="H79" s="6"/>
      <c r="I79" s="6"/>
      <c r="J79" s="7"/>
      <c r="K79" s="7"/>
      <c r="L79" s="7"/>
      <c r="M79" s="7"/>
      <c r="N79" s="7"/>
      <c r="Z79" s="1975"/>
      <c r="AA79" s="2034"/>
      <c r="AG79" s="1167"/>
      <c r="AK79" s="2034"/>
    </row>
    <row r="80" spans="1:37" ht="24.75">
      <c r="A80" s="2110" t="s">
        <v>2515</v>
      </c>
      <c r="B80" s="1391"/>
      <c r="C80" s="1391" t="s">
        <v>2517</v>
      </c>
      <c r="D80" s="1391" t="s">
        <v>2518</v>
      </c>
      <c r="E80" s="714" t="s">
        <v>2519</v>
      </c>
      <c r="F80" s="2111" t="s">
        <v>2535</v>
      </c>
      <c r="G80" s="1391" t="s">
        <v>574</v>
      </c>
      <c r="H80" s="783" t="s">
        <v>2521</v>
      </c>
      <c r="I80" s="1391" t="s">
        <v>2522</v>
      </c>
      <c r="J80" s="538" t="s">
        <v>2173</v>
      </c>
      <c r="K80" s="538" t="s">
        <v>2174</v>
      </c>
      <c r="L80" s="538" t="s">
        <v>2175</v>
      </c>
      <c r="M80" s="538" t="s">
        <v>2176</v>
      </c>
      <c r="N80" s="538" t="s">
        <v>2177</v>
      </c>
      <c r="Z80" s="1975"/>
      <c r="AA80" s="2034"/>
      <c r="AG80" s="1167"/>
      <c r="AK80" s="2034"/>
    </row>
    <row r="81" spans="1:37" ht="38.25">
      <c r="A81" s="2110" t="s">
        <v>2542</v>
      </c>
      <c r="B81" s="1391" t="str">
        <f>估价对象房地状况!G15</f>
        <v>估价对象位于XX开发区，园区建设成熟度XX，产业集聚程度XX</v>
      </c>
      <c r="C81" s="2020"/>
      <c r="D81" s="1109">
        <f t="shared" ref="D81:D88" si="25">SUMIF($J$80:$N$80,C81,J81:N81)</f>
        <v>0</v>
      </c>
      <c r="E81" s="716">
        <f>ROUND(SUM(D81:D88),4)</f>
        <v>0</v>
      </c>
      <c r="F81" s="1805"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5"/>
      <c r="AA81" s="2034"/>
      <c r="AG81" s="1167"/>
      <c r="AK81" s="2034"/>
    </row>
    <row r="82" spans="1:37" ht="51">
      <c r="A82" s="2110" t="s">
        <v>2524</v>
      </c>
      <c r="B82" s="1391" t="str">
        <f>估价对象房地状况!G16</f>
        <v>估价对象周边道路状况、公共交通通达情况、停车便捷程度，综合评价交通便捷度较好</v>
      </c>
      <c r="C82" s="2020"/>
      <c r="D82" s="1109">
        <f t="shared" si="25"/>
        <v>0</v>
      </c>
      <c r="E82" s="721"/>
      <c r="F82" s="1805"/>
      <c r="G82" s="1107"/>
      <c r="H82" s="1111" t="str">
        <f t="shared" si="26"/>
        <v>——</v>
      </c>
      <c r="I82" s="715">
        <v>0.33</v>
      </c>
      <c r="J82" s="1108">
        <f t="shared" si="27"/>
        <v>0</v>
      </c>
      <c r="K82" s="1108">
        <f t="shared" si="28"/>
        <v>0</v>
      </c>
      <c r="L82" s="1108">
        <v>0</v>
      </c>
      <c r="M82" s="1108">
        <f t="shared" si="29"/>
        <v>0</v>
      </c>
      <c r="N82" s="1108">
        <f t="shared" si="29"/>
        <v>0</v>
      </c>
      <c r="Z82" s="1975"/>
      <c r="AA82" s="2034"/>
      <c r="AG82" s="1167"/>
      <c r="AK82" s="2034"/>
    </row>
    <row r="83" spans="1:37" ht="24">
      <c r="A83" s="2110" t="s">
        <v>2525</v>
      </c>
      <c r="B83" s="1391">
        <f>估价对象房地状况!G17</f>
        <v>0</v>
      </c>
      <c r="C83" s="2020"/>
      <c r="D83" s="1109">
        <f t="shared" si="25"/>
        <v>0</v>
      </c>
      <c r="E83" s="721"/>
      <c r="F83" s="1805"/>
      <c r="G83" s="1107"/>
      <c r="H83" s="1111" t="str">
        <f t="shared" si="26"/>
        <v>——</v>
      </c>
      <c r="I83" s="715">
        <v>0.05</v>
      </c>
      <c r="J83" s="1108">
        <f t="shared" si="27"/>
        <v>0</v>
      </c>
      <c r="K83" s="1108">
        <f t="shared" si="28"/>
        <v>0</v>
      </c>
      <c r="L83" s="1108">
        <v>0</v>
      </c>
      <c r="M83" s="1108">
        <f t="shared" si="29"/>
        <v>0</v>
      </c>
      <c r="N83" s="1108">
        <f t="shared" si="29"/>
        <v>0</v>
      </c>
      <c r="Z83" s="1975"/>
      <c r="AA83" s="2034"/>
      <c r="AG83" s="1167"/>
      <c r="AK83" s="2034"/>
    </row>
    <row r="84" spans="1:37" ht="14.25">
      <c r="A84" s="2110" t="s">
        <v>2539</v>
      </c>
      <c r="B84" s="1391">
        <f>估价对象房地状况!G22</f>
        <v>0</v>
      </c>
      <c r="C84" s="2020"/>
      <c r="D84" s="1109">
        <f t="shared" si="25"/>
        <v>0</v>
      </c>
      <c r="E84" s="721"/>
      <c r="F84" s="1805"/>
      <c r="G84" s="1107"/>
      <c r="H84" s="1111" t="str">
        <f t="shared" si="26"/>
        <v>——</v>
      </c>
      <c r="I84" s="715">
        <v>0.04</v>
      </c>
      <c r="J84" s="1108">
        <f t="shared" si="27"/>
        <v>0</v>
      </c>
      <c r="K84" s="1108">
        <f t="shared" si="28"/>
        <v>0</v>
      </c>
      <c r="L84" s="1108">
        <v>0</v>
      </c>
      <c r="M84" s="1108">
        <f t="shared" si="29"/>
        <v>0</v>
      </c>
      <c r="N84" s="1108">
        <f t="shared" si="29"/>
        <v>0</v>
      </c>
      <c r="Z84" s="1975"/>
      <c r="AA84" s="2034"/>
      <c r="AG84" s="1167"/>
      <c r="AK84" s="2034"/>
    </row>
    <row r="85" spans="1:37" ht="25.5">
      <c r="A85" s="2110" t="s">
        <v>2531</v>
      </c>
      <c r="B85" s="1355" t="str">
        <f>估价对象房地状况!G19</f>
        <v>估价对象所在区域公共配套设施齐备情况</v>
      </c>
      <c r="C85" s="2020"/>
      <c r="D85" s="1109">
        <f t="shared" si="25"/>
        <v>0</v>
      </c>
      <c r="E85" s="721"/>
      <c r="F85" s="1805"/>
      <c r="G85" s="1107"/>
      <c r="H85" s="1111" t="str">
        <f t="shared" si="26"/>
        <v>——</v>
      </c>
      <c r="I85" s="715">
        <v>0.06</v>
      </c>
      <c r="J85" s="1108">
        <f t="shared" si="27"/>
        <v>0</v>
      </c>
      <c r="K85" s="1108">
        <f t="shared" si="28"/>
        <v>0</v>
      </c>
      <c r="L85" s="1108">
        <v>0</v>
      </c>
      <c r="M85" s="1108">
        <f t="shared" si="29"/>
        <v>0</v>
      </c>
      <c r="N85" s="1108">
        <f t="shared" si="29"/>
        <v>0</v>
      </c>
      <c r="Z85" s="1975"/>
      <c r="AA85" s="2034"/>
      <c r="AG85" s="1167"/>
      <c r="AK85" s="2034"/>
    </row>
    <row r="86" spans="1:37" ht="25.5">
      <c r="A86" s="2110" t="s">
        <v>2532</v>
      </c>
      <c r="B86" s="1355" t="str">
        <f>估价对象房地状况!G20</f>
        <v>估价对象所在区域基础设施水平</v>
      </c>
      <c r="C86" s="2020"/>
      <c r="D86" s="1109">
        <f t="shared" si="25"/>
        <v>0</v>
      </c>
      <c r="E86" s="721"/>
      <c r="F86" s="1805"/>
      <c r="G86" s="1107"/>
      <c r="H86" s="1111" t="str">
        <f t="shared" si="26"/>
        <v>——</v>
      </c>
      <c r="I86" s="715">
        <v>0.15</v>
      </c>
      <c r="J86" s="1108">
        <f t="shared" si="27"/>
        <v>0</v>
      </c>
      <c r="K86" s="1108">
        <f t="shared" si="28"/>
        <v>0</v>
      </c>
      <c r="L86" s="1108">
        <v>0</v>
      </c>
      <c r="M86" s="1108">
        <f t="shared" si="29"/>
        <v>0</v>
      </c>
      <c r="N86" s="1108">
        <f t="shared" si="29"/>
        <v>0</v>
      </c>
      <c r="Z86" s="1975"/>
      <c r="AA86" s="2034"/>
      <c r="AG86" s="1167"/>
      <c r="AK86" s="2034"/>
    </row>
    <row r="87" spans="1:37" ht="24">
      <c r="A87" s="2110" t="s">
        <v>2529</v>
      </c>
      <c r="B87" s="2114" t="s">
        <v>2543</v>
      </c>
      <c r="C87" s="2020"/>
      <c r="D87" s="1109">
        <f t="shared" si="25"/>
        <v>0</v>
      </c>
      <c r="E87" s="721"/>
      <c r="F87" s="1805"/>
      <c r="G87" s="1107"/>
      <c r="H87" s="1111" t="str">
        <f t="shared" si="26"/>
        <v>——</v>
      </c>
      <c r="I87" s="715">
        <v>0.05</v>
      </c>
      <c r="J87" s="1108">
        <f t="shared" si="27"/>
        <v>0</v>
      </c>
      <c r="K87" s="1108">
        <f t="shared" si="28"/>
        <v>0</v>
      </c>
      <c r="L87" s="1108">
        <v>0</v>
      </c>
      <c r="M87" s="1108">
        <f t="shared" si="29"/>
        <v>0</v>
      </c>
      <c r="N87" s="1108">
        <f t="shared" si="29"/>
        <v>0</v>
      </c>
      <c r="Z87" s="1975"/>
      <c r="AA87" s="2034"/>
      <c r="AG87" s="1167"/>
      <c r="AK87" s="2034"/>
    </row>
    <row r="88" spans="1:37" ht="39" thickBot="1">
      <c r="A88" s="2116" t="s">
        <v>2544</v>
      </c>
      <c r="B88" s="2121" t="str">
        <f>估价对象房地状况!G18</f>
        <v>该园区内是否有污染型企业，绿化情况，卫生条件，整体环境状况判断</v>
      </c>
      <c r="C88" s="2020"/>
      <c r="D88" s="1109">
        <f t="shared" si="25"/>
        <v>0</v>
      </c>
      <c r="E88" s="722"/>
      <c r="F88" s="1805"/>
      <c r="G88" s="1107"/>
      <c r="H88" s="1111" t="str">
        <f t="shared" si="26"/>
        <v>——</v>
      </c>
      <c r="I88" s="719">
        <v>0.06</v>
      </c>
      <c r="J88" s="1108">
        <f t="shared" si="27"/>
        <v>0</v>
      </c>
      <c r="K88" s="1108">
        <f t="shared" si="28"/>
        <v>0</v>
      </c>
      <c r="L88" s="1108">
        <v>0</v>
      </c>
      <c r="M88" s="1108">
        <f t="shared" si="29"/>
        <v>0</v>
      </c>
      <c r="N88" s="1108">
        <f t="shared" si="29"/>
        <v>0</v>
      </c>
      <c r="Z88" s="1975"/>
      <c r="AA88" s="2034"/>
      <c r="AG88" s="1167"/>
      <c r="AK88" s="2034"/>
    </row>
    <row r="90" spans="1:37">
      <c r="A90" s="3440" t="s">
        <v>2545</v>
      </c>
      <c r="B90" s="3440"/>
      <c r="C90" s="3440"/>
      <c r="D90" s="3440"/>
      <c r="E90" s="3440"/>
      <c r="F90" s="3440"/>
      <c r="G90" s="3440"/>
      <c r="H90" s="3440"/>
      <c r="I90" s="3440"/>
      <c r="J90" s="3440"/>
      <c r="K90" s="2122"/>
      <c r="L90" s="2122"/>
      <c r="M90" s="2122"/>
      <c r="N90" s="2122"/>
    </row>
    <row r="91" spans="1:37">
      <c r="A91" s="3442" t="s">
        <v>2546</v>
      </c>
      <c r="B91" s="3442" t="s">
        <v>2547</v>
      </c>
      <c r="C91" s="2080" t="s">
        <v>2548</v>
      </c>
      <c r="D91" s="2081"/>
      <c r="E91" s="2081"/>
      <c r="F91" s="2081"/>
      <c r="G91" s="2081"/>
      <c r="H91" s="2081"/>
      <c r="I91" s="2081"/>
      <c r="J91" s="2123"/>
      <c r="K91" s="2124"/>
      <c r="L91" s="2124"/>
      <c r="M91" s="2124"/>
      <c r="N91" s="2124"/>
    </row>
    <row r="92" spans="1:37">
      <c r="A92" s="3442"/>
      <c r="B92" s="3442"/>
      <c r="C92" s="809" t="s">
        <v>2415</v>
      </c>
      <c r="D92" s="809" t="s">
        <v>2416</v>
      </c>
      <c r="E92" s="809" t="s">
        <v>2417</v>
      </c>
      <c r="F92" s="809" t="s">
        <v>2418</v>
      </c>
      <c r="G92" s="809" t="s">
        <v>2419</v>
      </c>
      <c r="H92" s="809" t="s">
        <v>2420</v>
      </c>
      <c r="I92" s="809" t="s">
        <v>2421</v>
      </c>
      <c r="J92" s="809" t="s">
        <v>2422</v>
      </c>
      <c r="K92" s="809" t="s">
        <v>2423</v>
      </c>
      <c r="L92" s="809" t="s">
        <v>2424</v>
      </c>
      <c r="M92" s="809" t="s">
        <v>2425</v>
      </c>
      <c r="N92" s="809" t="s">
        <v>2426</v>
      </c>
    </row>
    <row r="93" spans="1:37">
      <c r="A93" s="3443" t="s">
        <v>2549</v>
      </c>
      <c r="B93" s="2125">
        <v>1</v>
      </c>
      <c r="C93" s="2126">
        <v>1.9361999999999999</v>
      </c>
      <c r="D93" s="2126">
        <v>1.9361999999999999</v>
      </c>
      <c r="E93" s="2126">
        <v>1.8629</v>
      </c>
      <c r="F93" s="2126">
        <v>1.8629</v>
      </c>
      <c r="G93" s="2126">
        <v>1.8629</v>
      </c>
      <c r="H93" s="2126">
        <v>1.8629</v>
      </c>
      <c r="I93" s="2126">
        <v>1.8629</v>
      </c>
      <c r="J93" s="2126">
        <v>1.9419999999999999</v>
      </c>
      <c r="K93" s="2126">
        <v>1.9419999999999999</v>
      </c>
      <c r="L93" s="2126">
        <v>1.9419999999999999</v>
      </c>
      <c r="M93" s="2126">
        <v>1.9419999999999999</v>
      </c>
      <c r="N93" s="2126">
        <v>1.9419999999999999</v>
      </c>
    </row>
    <row r="94" spans="1:37">
      <c r="A94" s="3444"/>
      <c r="B94" s="2125">
        <v>2</v>
      </c>
      <c r="C94" s="2126">
        <v>1.4198</v>
      </c>
      <c r="D94" s="2126">
        <v>1.4198</v>
      </c>
      <c r="E94" s="2126">
        <v>1.3371999999999999</v>
      </c>
      <c r="F94" s="2126">
        <v>1.3371999999999999</v>
      </c>
      <c r="G94" s="2126">
        <v>1.3371999999999999</v>
      </c>
      <c r="H94" s="2126">
        <v>1.3371999999999999</v>
      </c>
      <c r="I94" s="2126">
        <v>1.3371999999999999</v>
      </c>
      <c r="J94" s="2126">
        <v>1.2799</v>
      </c>
      <c r="K94" s="2126">
        <v>1.2799</v>
      </c>
      <c r="L94" s="2126">
        <v>1.2799</v>
      </c>
      <c r="M94" s="2126">
        <v>1.2799</v>
      </c>
      <c r="N94" s="2126">
        <v>1.2799</v>
      </c>
    </row>
    <row r="95" spans="1:37">
      <c r="A95" s="3444"/>
      <c r="B95" s="2125">
        <v>3</v>
      </c>
      <c r="C95" s="2126">
        <v>1.1594</v>
      </c>
      <c r="D95" s="2126">
        <v>1.1594</v>
      </c>
      <c r="E95" s="2126">
        <v>1.0788</v>
      </c>
      <c r="F95" s="2126">
        <v>1.0788</v>
      </c>
      <c r="G95" s="2126">
        <v>1.0788</v>
      </c>
      <c r="H95" s="2126">
        <v>1.0788</v>
      </c>
      <c r="I95" s="2126">
        <v>1.0788</v>
      </c>
      <c r="J95" s="2126">
        <v>1.0072000000000001</v>
      </c>
      <c r="K95" s="2126">
        <v>1.0072000000000001</v>
      </c>
      <c r="L95" s="2126">
        <v>1.0072000000000001</v>
      </c>
      <c r="M95" s="2126">
        <v>1.0072000000000001</v>
      </c>
      <c r="N95" s="2126">
        <v>1.0072000000000001</v>
      </c>
    </row>
    <row r="96" spans="1:37">
      <c r="A96" s="3444"/>
      <c r="B96" s="2125">
        <v>4</v>
      </c>
      <c r="C96" s="2126">
        <v>0.96220000000000006</v>
      </c>
      <c r="D96" s="2126">
        <v>0.96220000000000006</v>
      </c>
      <c r="E96" s="2126">
        <v>0.86560000000000004</v>
      </c>
      <c r="F96" s="2126">
        <v>0.86560000000000004</v>
      </c>
      <c r="G96" s="2126">
        <v>0.86560000000000004</v>
      </c>
      <c r="H96" s="2126">
        <v>0.86560000000000004</v>
      </c>
      <c r="I96" s="2126">
        <v>0.86560000000000004</v>
      </c>
      <c r="J96" s="2126">
        <v>0.75249999999999995</v>
      </c>
      <c r="K96" s="2126">
        <v>0.75249999999999995</v>
      </c>
      <c r="L96" s="2126">
        <v>0.75249999999999995</v>
      </c>
      <c r="M96" s="2126">
        <v>0.75249999999999995</v>
      </c>
      <c r="N96" s="2126">
        <v>0.75249999999999995</v>
      </c>
    </row>
    <row r="97" spans="1:14">
      <c r="A97" s="3444"/>
      <c r="B97" s="2125">
        <v>5</v>
      </c>
      <c r="C97" s="2126">
        <v>0.8417</v>
      </c>
      <c r="D97" s="2126">
        <v>0.8417</v>
      </c>
      <c r="E97" s="2126">
        <v>0.73709999999999998</v>
      </c>
      <c r="F97" s="2126">
        <v>0.73709999999999998</v>
      </c>
      <c r="G97" s="2126">
        <v>0.73709999999999998</v>
      </c>
      <c r="H97" s="2126">
        <v>0.73709999999999998</v>
      </c>
      <c r="I97" s="2126">
        <v>0.73709999999999998</v>
      </c>
      <c r="J97" s="2126">
        <v>0.56589999999999996</v>
      </c>
      <c r="K97" s="2126">
        <v>0.56589999999999996</v>
      </c>
      <c r="L97" s="2126">
        <v>0.56589999999999996</v>
      </c>
      <c r="M97" s="2126">
        <v>0.56589999999999996</v>
      </c>
      <c r="N97" s="2126">
        <v>0.56589999999999996</v>
      </c>
    </row>
    <row r="98" spans="1:14">
      <c r="A98" s="3444"/>
      <c r="B98" s="2125">
        <v>6</v>
      </c>
      <c r="C98" s="2126">
        <v>0.76080000000000003</v>
      </c>
      <c r="D98" s="2126">
        <v>0.76080000000000003</v>
      </c>
      <c r="E98" s="2126">
        <v>0.6482</v>
      </c>
      <c r="F98" s="2126">
        <v>0.6482</v>
      </c>
      <c r="G98" s="2126">
        <v>0.6482</v>
      </c>
      <c r="H98" s="2126">
        <v>0.6482</v>
      </c>
      <c r="I98" s="2126">
        <v>0.6482</v>
      </c>
      <c r="J98" s="2126">
        <v>0.45250000000000001</v>
      </c>
      <c r="K98" s="2126">
        <v>0.45250000000000001</v>
      </c>
      <c r="L98" s="2126">
        <v>0.45250000000000001</v>
      </c>
      <c r="M98" s="2126">
        <v>0.45250000000000001</v>
      </c>
      <c r="N98" s="2126">
        <v>0.45250000000000001</v>
      </c>
    </row>
    <row r="99" spans="1:14">
      <c r="A99" s="3444"/>
      <c r="B99" s="2125" t="s">
        <v>2431</v>
      </c>
      <c r="C99" s="2127">
        <f>$I$3</f>
        <v>0</v>
      </c>
      <c r="D99" s="2127">
        <f t="shared" ref="D99:M99" si="30">$I$3</f>
        <v>0</v>
      </c>
      <c r="E99" s="2127">
        <f t="shared" si="30"/>
        <v>0</v>
      </c>
      <c r="F99" s="2127">
        <f t="shared" si="30"/>
        <v>0</v>
      </c>
      <c r="G99" s="2127">
        <f t="shared" si="30"/>
        <v>0</v>
      </c>
      <c r="H99" s="2127">
        <f t="shared" si="30"/>
        <v>0</v>
      </c>
      <c r="I99" s="2127">
        <f t="shared" si="30"/>
        <v>0</v>
      </c>
      <c r="J99" s="2127">
        <f t="shared" si="30"/>
        <v>0</v>
      </c>
      <c r="K99" s="2127">
        <f t="shared" si="30"/>
        <v>0</v>
      </c>
      <c r="L99" s="2127">
        <f t="shared" si="30"/>
        <v>0</v>
      </c>
      <c r="M99" s="2127">
        <f t="shared" si="30"/>
        <v>0</v>
      </c>
      <c r="N99" s="2127">
        <f>$I$3</f>
        <v>0</v>
      </c>
    </row>
    <row r="100" spans="1:14">
      <c r="A100" s="3445"/>
      <c r="B100" s="2125">
        <v>7</v>
      </c>
      <c r="C100" s="2128">
        <f>(-0.163*(C99^2)-0.59*C99+7617)*(10^(-4))</f>
        <v>0.76170000000000004</v>
      </c>
      <c r="D100" s="2128">
        <f>(-0.163*(D99^2)-0.59*D99+7617)*(10^(-4))</f>
        <v>0.76170000000000004</v>
      </c>
      <c r="E100" s="2128">
        <f>(-0.161*(E99^2)-7.509*E99+6533)*(10^(-4))</f>
        <v>0.65329999999999999</v>
      </c>
      <c r="F100" s="2128">
        <f>(-0.161*(F99^2)-7.509*F99+6533)*(10^(-4))</f>
        <v>0.65329999999999999</v>
      </c>
      <c r="G100" s="2128">
        <f>(-0.161*(G99^2)-7.509*G99+6533)*(10^(-4))</f>
        <v>0.65329999999999999</v>
      </c>
      <c r="H100" s="2128">
        <f>(-0.161*(H99^2)-7.509*H99+6533)*(10^(-4))</f>
        <v>0.65329999999999999</v>
      </c>
      <c r="I100" s="2128">
        <f>(-0.161*(I99^2)-7.509*I99+6533)*(10^(-4))</f>
        <v>0.65329999999999999</v>
      </c>
      <c r="J100" s="2128">
        <f>(-0.214*(J99^2)-21.991*J99+4665)*(10^(-4))</f>
        <v>0.46650000000000003</v>
      </c>
      <c r="K100" s="2128">
        <f>(-0.214*(K99^2)-21.991*K99+4665)*(10^(-4))</f>
        <v>0.46650000000000003</v>
      </c>
      <c r="L100" s="2128">
        <f>(-0.214*(L99^2)-21.991*L99+4665)*(10^(-4))</f>
        <v>0.46650000000000003</v>
      </c>
      <c r="M100" s="2128">
        <f>(-0.214*(M99^2)-21.991*M99+4665)*(10^(-4))</f>
        <v>0.46650000000000003</v>
      </c>
      <c r="N100" s="2128">
        <f>(-0.214*(N99^2)-21.991*N99+4665)*(10^(-4))</f>
        <v>0.46650000000000003</v>
      </c>
    </row>
    <row r="101" spans="1:14">
      <c r="A101" s="3443" t="s">
        <v>2550</v>
      </c>
      <c r="B101" s="2129" t="s">
        <v>2551</v>
      </c>
      <c r="C101" s="2130">
        <f>$G$3</f>
        <v>2.5499999999999998</v>
      </c>
      <c r="D101" s="2130">
        <f t="shared" ref="D101:N101" si="31">$G$3</f>
        <v>2.5499999999999998</v>
      </c>
      <c r="E101" s="2130">
        <f t="shared" si="31"/>
        <v>2.5499999999999998</v>
      </c>
      <c r="F101" s="2130">
        <f t="shared" si="31"/>
        <v>2.5499999999999998</v>
      </c>
      <c r="G101" s="2130">
        <f t="shared" si="31"/>
        <v>2.5499999999999998</v>
      </c>
      <c r="H101" s="2130">
        <f t="shared" si="31"/>
        <v>2.5499999999999998</v>
      </c>
      <c r="I101" s="2130">
        <f t="shared" si="31"/>
        <v>2.5499999999999998</v>
      </c>
      <c r="J101" s="2130">
        <f t="shared" si="31"/>
        <v>2.5499999999999998</v>
      </c>
      <c r="K101" s="2130">
        <f t="shared" si="31"/>
        <v>2.5499999999999998</v>
      </c>
      <c r="L101" s="2130">
        <f t="shared" si="31"/>
        <v>2.5499999999999998</v>
      </c>
      <c r="M101" s="2130">
        <f t="shared" si="31"/>
        <v>2.5499999999999998</v>
      </c>
      <c r="N101" s="2130">
        <f t="shared" si="31"/>
        <v>2.5499999999999998</v>
      </c>
    </row>
    <row r="102" spans="1:14">
      <c r="A102" s="3444"/>
      <c r="B102" s="2125">
        <v>1</v>
      </c>
      <c r="C102" s="2126">
        <f>1.9362/C101</f>
        <v>0.7592941176470589</v>
      </c>
      <c r="D102" s="2126">
        <f>1.9362/D101</f>
        <v>0.7592941176470589</v>
      </c>
      <c r="E102" s="2126">
        <f>1.8629/E101</f>
        <v>0.73054901960784324</v>
      </c>
      <c r="F102" s="2126">
        <f>1.8629/F101</f>
        <v>0.73054901960784324</v>
      </c>
      <c r="G102" s="2126">
        <f>1.8629/G101</f>
        <v>0.73054901960784324</v>
      </c>
      <c r="H102" s="2126">
        <f>1.8629/H101</f>
        <v>0.73054901960784324</v>
      </c>
      <c r="I102" s="2126">
        <f>1.8629/I101</f>
        <v>0.73054901960784324</v>
      </c>
      <c r="J102" s="2126">
        <f>1.942/J101</f>
        <v>0.76156862745098042</v>
      </c>
      <c r="K102" s="2126">
        <f>1.942/K101</f>
        <v>0.76156862745098042</v>
      </c>
      <c r="L102" s="2126">
        <f>1.942/L101</f>
        <v>0.76156862745098042</v>
      </c>
      <c r="M102" s="2126">
        <f>1.942/M101</f>
        <v>0.76156862745098042</v>
      </c>
      <c r="N102" s="2126">
        <f>1.942/N101</f>
        <v>0.76156862745098042</v>
      </c>
    </row>
    <row r="103" spans="1:14">
      <c r="A103" s="3444"/>
      <c r="B103" s="2125">
        <v>2</v>
      </c>
      <c r="C103" s="2126">
        <f>1.4198/C101</f>
        <v>0.5567843137254902</v>
      </c>
      <c r="D103" s="2126">
        <f>1.4198/D101</f>
        <v>0.5567843137254902</v>
      </c>
      <c r="E103" s="2126">
        <f>1.3372/E101</f>
        <v>0.5243921568627451</v>
      </c>
      <c r="F103" s="2126">
        <f>1.3372/F101</f>
        <v>0.5243921568627451</v>
      </c>
      <c r="G103" s="2126">
        <f>1.3372/G101</f>
        <v>0.5243921568627451</v>
      </c>
      <c r="H103" s="2126">
        <f>1.3372/H101</f>
        <v>0.5243921568627451</v>
      </c>
      <c r="I103" s="2126">
        <f>1.3372/I101</f>
        <v>0.5243921568627451</v>
      </c>
      <c r="J103" s="2126">
        <f>1.2799/J101</f>
        <v>0.50192156862745108</v>
      </c>
      <c r="K103" s="2126">
        <f>1.2799/K101</f>
        <v>0.50192156862745108</v>
      </c>
      <c r="L103" s="2126">
        <f>1.2799/L101</f>
        <v>0.50192156862745108</v>
      </c>
      <c r="M103" s="2126">
        <f>1.2799/M101</f>
        <v>0.50192156862745108</v>
      </c>
      <c r="N103" s="2126">
        <f>1.2799/N101</f>
        <v>0.50192156862745108</v>
      </c>
    </row>
    <row r="104" spans="1:14">
      <c r="A104" s="3444"/>
      <c r="B104" s="2125">
        <v>3</v>
      </c>
      <c r="C104" s="2126">
        <f>1.1594/C101</f>
        <v>0.45466666666666672</v>
      </c>
      <c r="D104" s="2126">
        <f>1.1594/D101</f>
        <v>0.45466666666666672</v>
      </c>
      <c r="E104" s="2126">
        <f>1.0788/E101</f>
        <v>0.42305882352941176</v>
      </c>
      <c r="F104" s="2126">
        <f>1.0788/F101</f>
        <v>0.42305882352941176</v>
      </c>
      <c r="G104" s="2126">
        <f>1.0788/G101</f>
        <v>0.42305882352941176</v>
      </c>
      <c r="H104" s="2126">
        <f>1.0788/H101</f>
        <v>0.42305882352941176</v>
      </c>
      <c r="I104" s="2126">
        <f>1.0788/I101</f>
        <v>0.42305882352941176</v>
      </c>
      <c r="J104" s="2126">
        <f>1.0072/J101</f>
        <v>0.39498039215686281</v>
      </c>
      <c r="K104" s="2126">
        <f>1.0072/K101</f>
        <v>0.39498039215686281</v>
      </c>
      <c r="L104" s="2126">
        <f>1.0072/L101</f>
        <v>0.39498039215686281</v>
      </c>
      <c r="M104" s="2126">
        <f>1.0072/M101</f>
        <v>0.39498039215686281</v>
      </c>
      <c r="N104" s="2126">
        <f>1.0072/N101</f>
        <v>0.39498039215686281</v>
      </c>
    </row>
    <row r="105" spans="1:14">
      <c r="A105" s="3444"/>
      <c r="B105" s="2125">
        <v>4</v>
      </c>
      <c r="C105" s="2126">
        <f>0.9622/C101</f>
        <v>0.37733333333333335</v>
      </c>
      <c r="D105" s="2126">
        <f>0.9622/D101</f>
        <v>0.37733333333333335</v>
      </c>
      <c r="E105" s="2126">
        <f>0.8656/E101</f>
        <v>0.33945098039215688</v>
      </c>
      <c r="F105" s="2126">
        <f>0.8656/F101</f>
        <v>0.33945098039215688</v>
      </c>
      <c r="G105" s="2126">
        <f>0.8656/G101</f>
        <v>0.33945098039215688</v>
      </c>
      <c r="H105" s="2126">
        <f>0.8656/H101</f>
        <v>0.33945098039215688</v>
      </c>
      <c r="I105" s="2126">
        <f>0.8656/I101</f>
        <v>0.33945098039215688</v>
      </c>
      <c r="J105" s="2126">
        <f>0.7525/J101</f>
        <v>0.29509803921568628</v>
      </c>
      <c r="K105" s="2126">
        <f>0.7525/K101</f>
        <v>0.29509803921568628</v>
      </c>
      <c r="L105" s="2126">
        <f>0.7525/L101</f>
        <v>0.29509803921568628</v>
      </c>
      <c r="M105" s="2126">
        <f>0.7525/M101</f>
        <v>0.29509803921568628</v>
      </c>
      <c r="N105" s="2126">
        <f>0.7525/N101</f>
        <v>0.29509803921568628</v>
      </c>
    </row>
    <row r="106" spans="1:14">
      <c r="A106" s="3444"/>
      <c r="B106" s="2125">
        <v>5</v>
      </c>
      <c r="C106" s="2126">
        <f>0.8417/C101</f>
        <v>0.33007843137254905</v>
      </c>
      <c r="D106" s="2126">
        <f>0.8417/D101</f>
        <v>0.33007843137254905</v>
      </c>
      <c r="E106" s="2126">
        <f>0.7371/E101</f>
        <v>0.28905882352941176</v>
      </c>
      <c r="F106" s="2126">
        <f>0.7371/F101</f>
        <v>0.28905882352941176</v>
      </c>
      <c r="G106" s="2126">
        <f>0.7371/G101</f>
        <v>0.28905882352941176</v>
      </c>
      <c r="H106" s="2126">
        <f>0.7371/H101</f>
        <v>0.28905882352941176</v>
      </c>
      <c r="I106" s="2126">
        <f>0.7371/I101</f>
        <v>0.28905882352941176</v>
      </c>
      <c r="J106" s="2126">
        <f>0.5659/J101</f>
        <v>0.22192156862745097</v>
      </c>
      <c r="K106" s="2126">
        <f>0.5659/K101</f>
        <v>0.22192156862745097</v>
      </c>
      <c r="L106" s="2126">
        <f>0.5659/L101</f>
        <v>0.22192156862745097</v>
      </c>
      <c r="M106" s="2126">
        <f>0.5659/M101</f>
        <v>0.22192156862745097</v>
      </c>
      <c r="N106" s="2126">
        <f>0.5659/N101</f>
        <v>0.22192156862745097</v>
      </c>
    </row>
    <row r="107" spans="1:14">
      <c r="A107" s="3444"/>
      <c r="B107" s="2125">
        <v>6</v>
      </c>
      <c r="C107" s="2126">
        <f>0.7608/C101</f>
        <v>0.2983529411764706</v>
      </c>
      <c r="D107" s="2126">
        <f>0.7608/D101</f>
        <v>0.2983529411764706</v>
      </c>
      <c r="E107" s="2126">
        <f>0.6482/E101</f>
        <v>0.25419607843137254</v>
      </c>
      <c r="F107" s="2126">
        <f>0.6482/F101</f>
        <v>0.25419607843137254</v>
      </c>
      <c r="G107" s="2126">
        <f>0.6482/G101</f>
        <v>0.25419607843137254</v>
      </c>
      <c r="H107" s="2126">
        <f>0.6482/H101</f>
        <v>0.25419607843137254</v>
      </c>
      <c r="I107" s="2126">
        <f>0.6482/I101</f>
        <v>0.25419607843137254</v>
      </c>
      <c r="J107" s="2126">
        <f>0.4525/J101</f>
        <v>0.17745098039215687</v>
      </c>
      <c r="K107" s="2126">
        <f>0.4525/K101</f>
        <v>0.17745098039215687</v>
      </c>
      <c r="L107" s="2126">
        <f>0.4525/L101</f>
        <v>0.17745098039215687</v>
      </c>
      <c r="M107" s="2126">
        <f>0.4525/M101</f>
        <v>0.17745098039215687</v>
      </c>
      <c r="N107" s="2126">
        <f>0.4525/N101</f>
        <v>0.17745098039215687</v>
      </c>
    </row>
    <row r="108" spans="1:14">
      <c r="A108" s="3444"/>
      <c r="B108" s="3446" t="s">
        <v>2552</v>
      </c>
      <c r="C108" s="2127">
        <f>C99</f>
        <v>0</v>
      </c>
      <c r="D108" s="2127">
        <f t="shared" ref="D108:N108" si="32">D99</f>
        <v>0</v>
      </c>
      <c r="E108" s="2127">
        <f t="shared" si="32"/>
        <v>0</v>
      </c>
      <c r="F108" s="2127">
        <f t="shared" si="32"/>
        <v>0</v>
      </c>
      <c r="G108" s="2127">
        <f t="shared" si="32"/>
        <v>0</v>
      </c>
      <c r="H108" s="2127">
        <f t="shared" si="32"/>
        <v>0</v>
      </c>
      <c r="I108" s="2127">
        <f t="shared" si="32"/>
        <v>0</v>
      </c>
      <c r="J108" s="2127">
        <f t="shared" si="32"/>
        <v>0</v>
      </c>
      <c r="K108" s="2127">
        <f t="shared" si="32"/>
        <v>0</v>
      </c>
      <c r="L108" s="2127">
        <f t="shared" si="32"/>
        <v>0</v>
      </c>
      <c r="M108" s="2127">
        <f t="shared" si="32"/>
        <v>0</v>
      </c>
      <c r="N108" s="2127">
        <f t="shared" si="32"/>
        <v>0</v>
      </c>
    </row>
    <row r="109" spans="1:14">
      <c r="A109" s="3445"/>
      <c r="B109" s="3447"/>
      <c r="C109" s="2128">
        <f>(-0.163*(C108^2)-0.59*C108+7617)*(10^(-4))/C101</f>
        <v>0.29870588235294121</v>
      </c>
      <c r="D109" s="2128">
        <f>(-0.163*(D108^2)-0.59*D108+7617)*(10^(-4))/D101</f>
        <v>0.29870588235294121</v>
      </c>
      <c r="E109" s="2128">
        <f>(-0.161*(E108^2)-7.509*E108+6533)*(10^(-4))/E101</f>
        <v>0.25619607843137254</v>
      </c>
      <c r="F109" s="2128">
        <f>(-0.161*(F108^2)-7.509*F108+6533)*(10^(-4))/F101</f>
        <v>0.25619607843137254</v>
      </c>
      <c r="G109" s="2128">
        <f>(-0.161*(G108^2)-7.509*G108+6533)*(10^(-4))/G101</f>
        <v>0.25619607843137254</v>
      </c>
      <c r="H109" s="2128">
        <f>(-0.161*(H108^2)-7.509*H108+6533)*(10^(-4))/H101</f>
        <v>0.25619607843137254</v>
      </c>
      <c r="I109" s="2128">
        <f>(-0.161*(I108^2)-7.509*I108+6533)*(10^(-4))/I101</f>
        <v>0.25619607843137254</v>
      </c>
      <c r="J109" s="2128">
        <f>(-0.214*(J108^2)-21.991*J108+4665)*(10^(-4))/J101</f>
        <v>0.18294117647058825</v>
      </c>
      <c r="K109" s="2128">
        <f>(-0.214*(K108^2)-21.991*K108+4665)*(10^(-4))/K101</f>
        <v>0.18294117647058825</v>
      </c>
      <c r="L109" s="2128">
        <f>(-0.214*(L108^2)-21.991*L108+4665)*(10^(-4))/L101</f>
        <v>0.18294117647058825</v>
      </c>
      <c r="M109" s="2128">
        <f>(-0.214*(M108^2)-21.991*M108+4665)*(10^(-4))/M101</f>
        <v>0.18294117647058825</v>
      </c>
      <c r="N109" s="2128">
        <f>(-0.214*(N108^2)-21.991*N108+4665)*(10^(-4))/N101</f>
        <v>0.18294117647058825</v>
      </c>
    </row>
    <row r="110" spans="1:14">
      <c r="A110" s="3441" t="s">
        <v>2553</v>
      </c>
      <c r="B110" s="3441"/>
      <c r="C110" s="3441"/>
      <c r="D110" s="3441"/>
      <c r="E110" s="3441"/>
      <c r="F110" s="3441"/>
      <c r="G110" s="3441"/>
      <c r="H110" s="3441"/>
      <c r="I110" s="3441"/>
      <c r="J110" s="3441"/>
      <c r="K110" s="2131"/>
      <c r="L110" s="2131"/>
      <c r="M110" s="2131"/>
      <c r="N110" s="2131"/>
    </row>
    <row r="112" spans="1:14" ht="13.5" thickBot="1"/>
    <row r="113" spans="1:13" ht="25.5" thickBot="1">
      <c r="A113" s="777" t="s">
        <v>2554</v>
      </c>
      <c r="B113" s="1110">
        <f>G3</f>
        <v>2.5499999999999998</v>
      </c>
      <c r="C113" s="778" t="s">
        <v>2555</v>
      </c>
      <c r="D113" s="779">
        <f>SUMPRODUCT((A115:A118=F113)*(B114:M114=H113)*B115:M118)</f>
        <v>0</v>
      </c>
      <c r="E113" s="168" t="s">
        <v>2388</v>
      </c>
      <c r="F113" s="2133">
        <f>E2</f>
        <v>0</v>
      </c>
      <c r="G113" s="168" t="s">
        <v>2389</v>
      </c>
      <c r="H113" s="2133">
        <f>G2</f>
        <v>0</v>
      </c>
      <c r="I113" s="168"/>
      <c r="J113" s="651"/>
      <c r="K113" s="651"/>
      <c r="L113" s="651"/>
      <c r="M113" s="651"/>
    </row>
    <row r="114" spans="1:13">
      <c r="A114" s="781"/>
      <c r="B114" s="2134" t="s">
        <v>2556</v>
      </c>
      <c r="C114" s="2134" t="s">
        <v>2557</v>
      </c>
      <c r="D114" s="2134" t="s">
        <v>2558</v>
      </c>
      <c r="E114" s="2135" t="s">
        <v>2559</v>
      </c>
      <c r="F114" s="2135" t="s">
        <v>2560</v>
      </c>
      <c r="G114" s="2135" t="s">
        <v>2561</v>
      </c>
      <c r="H114" s="2136" t="s">
        <v>2562</v>
      </c>
      <c r="I114" s="2136" t="s">
        <v>2563</v>
      </c>
      <c r="J114" s="2137" t="s">
        <v>2564</v>
      </c>
      <c r="K114" s="2137" t="s">
        <v>2565</v>
      </c>
      <c r="L114" s="2137" t="s">
        <v>2566</v>
      </c>
      <c r="M114" s="2138" t="s">
        <v>2567</v>
      </c>
    </row>
    <row r="115" spans="1:13">
      <c r="A115" s="782" t="s">
        <v>2453</v>
      </c>
      <c r="B115" s="783">
        <f>ROUND(0.9335-0.0094*B113,4)</f>
        <v>0.90949999999999998</v>
      </c>
      <c r="C115" s="783">
        <f>B115</f>
        <v>0.90949999999999998</v>
      </c>
      <c r="D115" s="783">
        <f>ROUND(0.8331-0.0109*B113,4)</f>
        <v>0.80530000000000002</v>
      </c>
      <c r="E115" s="783">
        <f>D115</f>
        <v>0.80530000000000002</v>
      </c>
      <c r="F115" s="783">
        <f>E115</f>
        <v>0.80530000000000002</v>
      </c>
      <c r="G115" s="783">
        <f>F115</f>
        <v>0.80530000000000002</v>
      </c>
      <c r="H115" s="783">
        <f>G115</f>
        <v>0.80530000000000002</v>
      </c>
      <c r="I115" s="783">
        <f>ROUND(0.689-0.0155*B113,4)</f>
        <v>0.64949999999999997</v>
      </c>
      <c r="J115" s="783">
        <f t="shared" ref="J115:M118" si="33">I115</f>
        <v>0.64949999999999997</v>
      </c>
      <c r="K115" s="783">
        <f t="shared" si="33"/>
        <v>0.64949999999999997</v>
      </c>
      <c r="L115" s="783">
        <f t="shared" si="33"/>
        <v>0.64949999999999997</v>
      </c>
      <c r="M115" s="784">
        <f t="shared" si="33"/>
        <v>0.64949999999999997</v>
      </c>
    </row>
    <row r="116" spans="1:13">
      <c r="A116" s="782" t="s">
        <v>2454</v>
      </c>
      <c r="B116" s="783">
        <f>ROUND(0.949-0.012*B113,4)</f>
        <v>0.91839999999999999</v>
      </c>
      <c r="C116" s="783">
        <f>B116</f>
        <v>0.91839999999999999</v>
      </c>
      <c r="D116" s="783">
        <f>ROUND(0.8567-0.013*B113,4)</f>
        <v>0.8236</v>
      </c>
      <c r="E116" s="783">
        <f t="shared" ref="E116:H117" si="34">D116</f>
        <v>0.8236</v>
      </c>
      <c r="F116" s="783">
        <f t="shared" si="34"/>
        <v>0.8236</v>
      </c>
      <c r="G116" s="783">
        <f t="shared" si="34"/>
        <v>0.8236</v>
      </c>
      <c r="H116" s="783">
        <f t="shared" si="34"/>
        <v>0.8236</v>
      </c>
      <c r="I116" s="783">
        <f>ROUND(0.7694-0.014*B113,4)</f>
        <v>0.73370000000000002</v>
      </c>
      <c r="J116" s="783">
        <f t="shared" si="33"/>
        <v>0.73370000000000002</v>
      </c>
      <c r="K116" s="783">
        <f t="shared" si="33"/>
        <v>0.73370000000000002</v>
      </c>
      <c r="L116" s="783">
        <f t="shared" si="33"/>
        <v>0.73370000000000002</v>
      </c>
      <c r="M116" s="784">
        <f t="shared" si="33"/>
        <v>0.73370000000000002</v>
      </c>
    </row>
    <row r="117" spans="1:13">
      <c r="A117" s="782" t="s">
        <v>2455</v>
      </c>
      <c r="B117" s="783">
        <f>ROUND(0.8808-0.006*B113,4)</f>
        <v>0.86550000000000005</v>
      </c>
      <c r="C117" s="783">
        <f>B117</f>
        <v>0.86550000000000005</v>
      </c>
      <c r="D117" s="783">
        <f>ROUND(0.8748-0.008*B113,4)</f>
        <v>0.85440000000000005</v>
      </c>
      <c r="E117" s="783">
        <f t="shared" si="34"/>
        <v>0.85440000000000005</v>
      </c>
      <c r="F117" s="783">
        <f t="shared" si="34"/>
        <v>0.85440000000000005</v>
      </c>
      <c r="G117" s="783">
        <f t="shared" si="34"/>
        <v>0.85440000000000005</v>
      </c>
      <c r="H117" s="783">
        <f t="shared" si="34"/>
        <v>0.85440000000000005</v>
      </c>
      <c r="I117" s="783">
        <f>ROUND(0.7412-0.0095*B113,4)</f>
        <v>0.71699999999999997</v>
      </c>
      <c r="J117" s="783">
        <f t="shared" si="33"/>
        <v>0.71699999999999997</v>
      </c>
      <c r="K117" s="783">
        <f t="shared" si="33"/>
        <v>0.71699999999999997</v>
      </c>
      <c r="L117" s="783">
        <f t="shared" si="33"/>
        <v>0.71699999999999997</v>
      </c>
      <c r="M117" s="784">
        <f t="shared" si="33"/>
        <v>0.71699999999999997</v>
      </c>
    </row>
    <row r="118" spans="1:13" ht="13.5" thickBot="1">
      <c r="A118" s="640" t="s">
        <v>2456</v>
      </c>
      <c r="B118" s="785">
        <f>ROUND(0.7275-0.01*B113,4)</f>
        <v>0.70199999999999996</v>
      </c>
      <c r="C118" s="785">
        <f>B118</f>
        <v>0.70199999999999996</v>
      </c>
      <c r="D118" s="785">
        <f>ROUND(0.7043-0.012*B113,4)</f>
        <v>0.67369999999999997</v>
      </c>
      <c r="E118" s="785">
        <f>D118</f>
        <v>0.67369999999999997</v>
      </c>
      <c r="F118" s="785">
        <f>E118</f>
        <v>0.67369999999999997</v>
      </c>
      <c r="G118" s="785">
        <f>ROUND(0.6299-0.0122*B113,4)</f>
        <v>0.5988</v>
      </c>
      <c r="H118" s="785">
        <f>G118</f>
        <v>0.5988</v>
      </c>
      <c r="I118" s="785">
        <f>ROUND(0.5667-0.0136*B113,4)</f>
        <v>0.53200000000000003</v>
      </c>
      <c r="J118" s="785">
        <f t="shared" si="33"/>
        <v>0.53200000000000003</v>
      </c>
      <c r="K118" s="785">
        <f t="shared" si="33"/>
        <v>0.53200000000000003</v>
      </c>
      <c r="L118" s="785">
        <f t="shared" si="33"/>
        <v>0.53200000000000003</v>
      </c>
      <c r="M118" s="786">
        <f t="shared" si="33"/>
        <v>0.53200000000000003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4" t="s">
        <v>2938</v>
      </c>
      <c r="B2" s="2915">
        <v>3.5</v>
      </c>
      <c r="C2" s="2915">
        <v>3.5</v>
      </c>
      <c r="D2" s="2916">
        <v>2.5</v>
      </c>
      <c r="E2" s="2916">
        <v>2.5</v>
      </c>
      <c r="F2" s="2916">
        <v>2.5</v>
      </c>
      <c r="G2" s="2916">
        <v>2.5</v>
      </c>
      <c r="H2" s="2916">
        <v>2.5</v>
      </c>
      <c r="I2" s="2915">
        <v>2</v>
      </c>
      <c r="J2" s="2915">
        <v>2</v>
      </c>
      <c r="K2" s="2915">
        <v>2</v>
      </c>
      <c r="L2" s="2915">
        <v>2</v>
      </c>
      <c r="M2" s="2917">
        <v>2</v>
      </c>
    </row>
    <row r="3" spans="1:13" ht="19.5" customHeight="1">
      <c r="A3" s="2918" t="s">
        <v>2939</v>
      </c>
      <c r="B3" s="2919">
        <v>3.5</v>
      </c>
      <c r="C3" s="2919">
        <v>3.5</v>
      </c>
      <c r="D3" s="2920">
        <v>2.5</v>
      </c>
      <c r="E3" s="2920">
        <v>2.5</v>
      </c>
      <c r="F3" s="2920">
        <v>2.5</v>
      </c>
      <c r="G3" s="2920">
        <v>2.5</v>
      </c>
      <c r="H3" s="2920">
        <v>2.5</v>
      </c>
      <c r="I3" s="2919">
        <v>2</v>
      </c>
      <c r="J3" s="2919">
        <v>2</v>
      </c>
      <c r="K3" s="2919">
        <v>2</v>
      </c>
      <c r="L3" s="2919">
        <v>2</v>
      </c>
      <c r="M3" s="2921">
        <v>2</v>
      </c>
    </row>
    <row r="4" spans="1:13" ht="19.5" customHeight="1">
      <c r="A4" s="2918" t="s">
        <v>2940</v>
      </c>
      <c r="B4" s="2920">
        <v>2.5</v>
      </c>
      <c r="C4" s="2920">
        <v>2.5</v>
      </c>
      <c r="D4" s="2920">
        <v>2.5</v>
      </c>
      <c r="E4" s="2920">
        <v>2.5</v>
      </c>
      <c r="F4" s="2920">
        <v>2.5</v>
      </c>
      <c r="G4" s="2920">
        <v>2.5</v>
      </c>
      <c r="H4" s="2920">
        <v>2.5</v>
      </c>
      <c r="I4" s="2919">
        <v>1.5</v>
      </c>
      <c r="J4" s="2919">
        <v>1.5</v>
      </c>
      <c r="K4" s="2919">
        <v>1.5</v>
      </c>
      <c r="L4" s="2919">
        <v>1.5</v>
      </c>
      <c r="M4" s="2921">
        <v>1.5</v>
      </c>
    </row>
    <row r="5" spans="1:13" ht="19.5" customHeight="1">
      <c r="A5" s="2922" t="s">
        <v>2941</v>
      </c>
      <c r="B5" s="2919">
        <v>1.5</v>
      </c>
      <c r="C5" s="2919">
        <v>1.5</v>
      </c>
      <c r="D5" s="2919">
        <v>1.5</v>
      </c>
      <c r="E5" s="2919">
        <v>1.5</v>
      </c>
      <c r="F5" s="2919">
        <v>1.5</v>
      </c>
      <c r="G5" s="2919">
        <v>1.2</v>
      </c>
      <c r="H5" s="2919">
        <v>1.2</v>
      </c>
      <c r="I5" s="2919">
        <v>1</v>
      </c>
      <c r="J5" s="2919">
        <v>1</v>
      </c>
      <c r="K5" s="2919">
        <v>1</v>
      </c>
      <c r="L5" s="2919">
        <v>1</v>
      </c>
      <c r="M5" s="2921">
        <v>1</v>
      </c>
    </row>
    <row r="6" spans="1:13" ht="19.5" customHeight="1">
      <c r="A6" s="2923" t="s">
        <v>2942</v>
      </c>
      <c r="B6" s="2924">
        <v>2.5</v>
      </c>
      <c r="C6" s="2924">
        <v>2.5</v>
      </c>
      <c r="D6" s="2924">
        <v>2</v>
      </c>
      <c r="E6" s="2924">
        <v>2</v>
      </c>
      <c r="F6" s="2924">
        <v>2</v>
      </c>
      <c r="G6" s="2924">
        <v>2</v>
      </c>
      <c r="H6" s="2924">
        <v>2</v>
      </c>
      <c r="I6" s="2925">
        <v>1.5</v>
      </c>
      <c r="J6" s="2925">
        <v>1.5</v>
      </c>
      <c r="K6" s="2925">
        <v>1.5</v>
      </c>
      <c r="L6" s="2925">
        <v>1.5</v>
      </c>
      <c r="M6" s="2926">
        <v>1.5</v>
      </c>
    </row>
    <row r="7" spans="1:13" ht="19.5" customHeight="1" thickBot="1">
      <c r="A7" s="2927" t="s">
        <v>2943</v>
      </c>
      <c r="B7" s="2928">
        <v>2.5</v>
      </c>
      <c r="C7" s="2928">
        <v>2.5</v>
      </c>
      <c r="D7" s="2928">
        <v>2</v>
      </c>
      <c r="E7" s="2928">
        <v>2</v>
      </c>
      <c r="F7" s="2928">
        <v>2</v>
      </c>
      <c r="G7" s="2928">
        <v>2</v>
      </c>
      <c r="H7" s="2928">
        <v>2</v>
      </c>
      <c r="I7" s="2929">
        <v>1.5</v>
      </c>
      <c r="J7" s="2929">
        <v>1.5</v>
      </c>
      <c r="K7" s="2929">
        <v>1.5</v>
      </c>
      <c r="L7" s="2929">
        <v>1.5</v>
      </c>
      <c r="M7" s="2930">
        <v>1.5</v>
      </c>
    </row>
    <row r="8" spans="1:13" ht="19.5" customHeight="1">
      <c r="A8" s="752" t="s">
        <v>546</v>
      </c>
      <c r="B8" s="2931">
        <v>80</v>
      </c>
      <c r="C8" s="2931">
        <v>80</v>
      </c>
      <c r="D8" s="2931">
        <v>70</v>
      </c>
      <c r="E8" s="2931">
        <v>70</v>
      </c>
      <c r="F8" s="2931">
        <v>70</v>
      </c>
      <c r="G8" s="2931">
        <v>70</v>
      </c>
      <c r="H8" s="2931">
        <v>70</v>
      </c>
      <c r="I8" s="2931">
        <v>60</v>
      </c>
      <c r="J8" s="2931">
        <v>60</v>
      </c>
      <c r="K8" s="2931">
        <v>60</v>
      </c>
      <c r="L8" s="2931">
        <v>60</v>
      </c>
      <c r="M8" s="2932">
        <v>60</v>
      </c>
    </row>
    <row r="9" spans="1:13" ht="19.5" customHeight="1">
      <c r="A9" s="712" t="s">
        <v>547</v>
      </c>
      <c r="B9" s="2933">
        <v>70</v>
      </c>
      <c r="C9" s="2933">
        <v>70</v>
      </c>
      <c r="D9" s="2933">
        <v>60</v>
      </c>
      <c r="E9" s="2933">
        <v>60</v>
      </c>
      <c r="F9" s="2933">
        <v>60</v>
      </c>
      <c r="G9" s="2933">
        <v>60</v>
      </c>
      <c r="H9" s="2933">
        <v>60</v>
      </c>
      <c r="I9" s="2933">
        <v>50</v>
      </c>
      <c r="J9" s="2933">
        <v>50</v>
      </c>
      <c r="K9" s="2933">
        <v>50</v>
      </c>
      <c r="L9" s="2933">
        <v>50</v>
      </c>
      <c r="M9" s="2934">
        <v>50</v>
      </c>
    </row>
    <row r="10" spans="1:13" ht="19.5" customHeight="1">
      <c r="A10" s="712" t="s">
        <v>548</v>
      </c>
      <c r="B10" s="2933">
        <v>20</v>
      </c>
      <c r="C10" s="2933">
        <v>20</v>
      </c>
      <c r="D10" s="2933">
        <v>15</v>
      </c>
      <c r="E10" s="2933">
        <v>15</v>
      </c>
      <c r="F10" s="2933">
        <v>15</v>
      </c>
      <c r="G10" s="2933">
        <v>15</v>
      </c>
      <c r="H10" s="2933">
        <v>15</v>
      </c>
      <c r="I10" s="2933">
        <v>10</v>
      </c>
      <c r="J10" s="2933">
        <v>10</v>
      </c>
      <c r="K10" s="2933">
        <v>10</v>
      </c>
      <c r="L10" s="2933">
        <v>10</v>
      </c>
      <c r="M10" s="2934">
        <v>10</v>
      </c>
    </row>
    <row r="11" spans="1:13" ht="19.5" customHeight="1">
      <c r="A11" s="712" t="s">
        <v>549</v>
      </c>
      <c r="B11" s="2933">
        <v>30</v>
      </c>
      <c r="C11" s="2933">
        <v>30</v>
      </c>
      <c r="D11" s="2933">
        <v>25</v>
      </c>
      <c r="E11" s="2933">
        <v>25</v>
      </c>
      <c r="F11" s="2933">
        <v>25</v>
      </c>
      <c r="G11" s="2933">
        <v>25</v>
      </c>
      <c r="H11" s="2933">
        <v>25</v>
      </c>
      <c r="I11" s="2933">
        <v>20</v>
      </c>
      <c r="J11" s="2933">
        <v>20</v>
      </c>
      <c r="K11" s="2933">
        <v>20</v>
      </c>
      <c r="L11" s="2933">
        <v>20</v>
      </c>
      <c r="M11" s="2934">
        <v>20</v>
      </c>
    </row>
    <row r="12" spans="1:13" ht="19.5" customHeight="1">
      <c r="A12" s="712" t="s">
        <v>550</v>
      </c>
      <c r="B12" s="2933">
        <v>45</v>
      </c>
      <c r="C12" s="2933">
        <v>45</v>
      </c>
      <c r="D12" s="2933">
        <v>40</v>
      </c>
      <c r="E12" s="2933">
        <v>40</v>
      </c>
      <c r="F12" s="2933">
        <v>40</v>
      </c>
      <c r="G12" s="2933">
        <v>40</v>
      </c>
      <c r="H12" s="2933">
        <v>40</v>
      </c>
      <c r="I12" s="2933">
        <v>35</v>
      </c>
      <c r="J12" s="2933">
        <v>35</v>
      </c>
      <c r="K12" s="2933">
        <v>35</v>
      </c>
      <c r="L12" s="2933">
        <v>35</v>
      </c>
      <c r="M12" s="2934">
        <v>35</v>
      </c>
    </row>
    <row r="13" spans="1:13" ht="19.5" customHeight="1">
      <c r="A13" s="712" t="s">
        <v>551</v>
      </c>
      <c r="B13" s="2933">
        <v>60</v>
      </c>
      <c r="C13" s="2933">
        <v>60</v>
      </c>
      <c r="D13" s="2933">
        <v>50</v>
      </c>
      <c r="E13" s="2933">
        <v>50</v>
      </c>
      <c r="F13" s="2933">
        <v>50</v>
      </c>
      <c r="G13" s="2933">
        <v>50</v>
      </c>
      <c r="H13" s="2933">
        <v>50</v>
      </c>
      <c r="I13" s="2933">
        <v>40</v>
      </c>
      <c r="J13" s="2933">
        <v>40</v>
      </c>
      <c r="K13" s="2933">
        <v>40</v>
      </c>
      <c r="L13" s="2933">
        <v>40</v>
      </c>
      <c r="M13" s="2934">
        <v>40</v>
      </c>
    </row>
    <row r="14" spans="1:13" ht="19.5" customHeight="1">
      <c r="A14" s="712" t="s">
        <v>552</v>
      </c>
      <c r="B14" s="2933">
        <v>50</v>
      </c>
      <c r="C14" s="2933">
        <v>50</v>
      </c>
      <c r="D14" s="2933">
        <v>40</v>
      </c>
      <c r="E14" s="2933">
        <v>40</v>
      </c>
      <c r="F14" s="2933">
        <v>40</v>
      </c>
      <c r="G14" s="2933">
        <v>40</v>
      </c>
      <c r="H14" s="2933">
        <v>40</v>
      </c>
      <c r="I14" s="2933">
        <v>30</v>
      </c>
      <c r="J14" s="2933">
        <v>30</v>
      </c>
      <c r="K14" s="2933">
        <v>30</v>
      </c>
      <c r="L14" s="2933">
        <v>30</v>
      </c>
      <c r="M14" s="2934">
        <v>30</v>
      </c>
    </row>
    <row r="15" spans="1:13" ht="19.5" customHeight="1">
      <c r="A15" s="753" t="s">
        <v>553</v>
      </c>
      <c r="B15" s="2935">
        <v>20</v>
      </c>
      <c r="C15" s="2935">
        <v>20</v>
      </c>
      <c r="D15" s="2935">
        <v>15</v>
      </c>
      <c r="E15" s="2935">
        <v>15</v>
      </c>
      <c r="F15" s="2935">
        <v>15</v>
      </c>
      <c r="G15" s="2935">
        <v>15</v>
      </c>
      <c r="H15" s="2935">
        <v>15</v>
      </c>
      <c r="I15" s="2935">
        <v>10</v>
      </c>
      <c r="J15" s="2935">
        <v>10</v>
      </c>
      <c r="K15" s="2935">
        <v>10</v>
      </c>
      <c r="L15" s="2935">
        <v>10</v>
      </c>
      <c r="M15" s="2936">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2619</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35" t="s">
        <v>2944</v>
      </c>
      <c r="B19" s="2937" t="s">
        <v>2945</v>
      </c>
      <c r="C19" s="2938" t="s">
        <v>2946</v>
      </c>
      <c r="D19" s="2939"/>
      <c r="E19" s="2933" t="s">
        <v>2947</v>
      </c>
      <c r="F19" s="759"/>
      <c r="G19" s="759"/>
    </row>
    <row r="20" spans="1:13" ht="19.5" customHeight="1">
      <c r="A20" s="3471" t="s">
        <v>2948</v>
      </c>
      <c r="B20" s="3464" t="s">
        <v>2949</v>
      </c>
      <c r="C20" s="2940" t="s">
        <v>2950</v>
      </c>
      <c r="D20" s="2941"/>
      <c r="E20" s="2942">
        <v>1</v>
      </c>
      <c r="F20" s="2943" t="s">
        <v>2951</v>
      </c>
      <c r="G20" s="763"/>
    </row>
    <row r="21" spans="1:13" ht="19.5" customHeight="1">
      <c r="A21" s="3472"/>
      <c r="B21" s="3465"/>
      <c r="C21" s="761" t="s">
        <v>2952</v>
      </c>
      <c r="D21" s="762"/>
      <c r="E21" s="2944">
        <v>1</v>
      </c>
      <c r="F21" s="2943" t="s">
        <v>2953</v>
      </c>
      <c r="G21" s="763"/>
    </row>
    <row r="22" spans="1:13" ht="19.5" customHeight="1">
      <c r="A22" s="3472"/>
      <c r="B22" s="3465"/>
      <c r="C22" s="761" t="s">
        <v>2954</v>
      </c>
      <c r="D22" s="762"/>
      <c r="E22" s="2944">
        <v>0.9</v>
      </c>
      <c r="F22" s="2943" t="s">
        <v>2955</v>
      </c>
      <c r="G22" s="763"/>
    </row>
    <row r="23" spans="1:13" ht="19.5" customHeight="1">
      <c r="A23" s="3472"/>
      <c r="B23" s="3465"/>
      <c r="C23" s="761" t="s">
        <v>2956</v>
      </c>
      <c r="D23" s="762"/>
      <c r="E23" s="2944">
        <v>0.9</v>
      </c>
      <c r="F23" s="2943" t="s">
        <v>2957</v>
      </c>
      <c r="G23" s="763"/>
    </row>
    <row r="24" spans="1:13" ht="19.5" customHeight="1">
      <c r="A24" s="3472"/>
      <c r="B24" s="3465"/>
      <c r="C24" s="761" t="s">
        <v>2958</v>
      </c>
      <c r="D24" s="762"/>
      <c r="E24" s="2944">
        <v>0.8</v>
      </c>
      <c r="F24" s="2943" t="s">
        <v>2959</v>
      </c>
      <c r="G24" s="763"/>
    </row>
    <row r="25" spans="1:13" ht="19.5" customHeight="1" thickBot="1">
      <c r="A25" s="3473"/>
      <c r="B25" s="3466"/>
      <c r="C25" s="2945" t="s">
        <v>2960</v>
      </c>
      <c r="D25" s="2946"/>
      <c r="E25" s="2947">
        <v>0.8</v>
      </c>
      <c r="F25" s="2943" t="s">
        <v>2961</v>
      </c>
      <c r="G25" s="763"/>
    </row>
    <row r="26" spans="1:13" ht="19.5" customHeight="1" thickBot="1">
      <c r="A26" s="2948" t="s">
        <v>2962</v>
      </c>
      <c r="B26" s="2949" t="s">
        <v>2949</v>
      </c>
      <c r="C26" s="2950" t="s">
        <v>2963</v>
      </c>
      <c r="D26" s="2951"/>
      <c r="E26" s="2952">
        <v>1</v>
      </c>
      <c r="F26" s="2943" t="s">
        <v>2964</v>
      </c>
      <c r="G26" s="763"/>
    </row>
    <row r="27" spans="1:13" ht="19.5" customHeight="1">
      <c r="A27" s="3467" t="s">
        <v>2965</v>
      </c>
      <c r="B27" s="3464" t="s">
        <v>2965</v>
      </c>
      <c r="C27" s="2940" t="s">
        <v>2966</v>
      </c>
      <c r="D27" s="2941"/>
      <c r="E27" s="2942">
        <v>1</v>
      </c>
      <c r="F27" s="2943" t="s">
        <v>2967</v>
      </c>
      <c r="G27" s="763"/>
    </row>
    <row r="28" spans="1:13" ht="19.5" customHeight="1">
      <c r="A28" s="3468"/>
      <c r="B28" s="3465"/>
      <c r="C28" s="761" t="s">
        <v>2968</v>
      </c>
      <c r="D28" s="762"/>
      <c r="E28" s="2944">
        <v>1</v>
      </c>
      <c r="F28" s="2943" t="s">
        <v>2969</v>
      </c>
      <c r="G28" s="763"/>
    </row>
    <row r="29" spans="1:13" ht="19.5" customHeight="1">
      <c r="A29" s="3468"/>
      <c r="B29" s="3465"/>
      <c r="C29" s="761" t="s">
        <v>2970</v>
      </c>
      <c r="D29" s="762"/>
      <c r="E29" s="2944">
        <v>0.8</v>
      </c>
      <c r="F29" s="2943" t="s">
        <v>2971</v>
      </c>
      <c r="G29" s="763"/>
    </row>
    <row r="30" spans="1:13" ht="19.5" customHeight="1">
      <c r="A30" s="3468"/>
      <c r="B30" s="3465"/>
      <c r="C30" s="761" t="s">
        <v>2972</v>
      </c>
      <c r="D30" s="762"/>
      <c r="E30" s="2944">
        <v>0.8</v>
      </c>
      <c r="F30" s="2943" t="s">
        <v>2973</v>
      </c>
      <c r="G30" s="763"/>
    </row>
    <row r="31" spans="1:13" ht="19.5" customHeight="1">
      <c r="A31" s="3468"/>
      <c r="B31" s="3465"/>
      <c r="C31" s="761" t="s">
        <v>2974</v>
      </c>
      <c r="D31" s="762"/>
      <c r="E31" s="2944">
        <v>0.8</v>
      </c>
      <c r="F31" s="2943" t="s">
        <v>2975</v>
      </c>
      <c r="G31" s="763"/>
    </row>
    <row r="32" spans="1:13" ht="19.5" customHeight="1">
      <c r="A32" s="3468"/>
      <c r="B32" s="3465"/>
      <c r="C32" s="761" t="s">
        <v>2976</v>
      </c>
      <c r="D32" s="762"/>
      <c r="E32" s="2944">
        <v>0.7</v>
      </c>
      <c r="F32" s="2943" t="s">
        <v>2977</v>
      </c>
      <c r="G32" s="763"/>
    </row>
    <row r="33" spans="1:7" ht="19.5" customHeight="1">
      <c r="A33" s="3468"/>
      <c r="B33" s="3465"/>
      <c r="C33" s="761" t="s">
        <v>2978</v>
      </c>
      <c r="D33" s="762"/>
      <c r="E33" s="2944">
        <v>0.8</v>
      </c>
      <c r="F33" s="2943" t="s">
        <v>2979</v>
      </c>
      <c r="G33" s="763"/>
    </row>
    <row r="34" spans="1:7" ht="19.5" customHeight="1">
      <c r="A34" s="3468"/>
      <c r="B34" s="3465"/>
      <c r="C34" s="761" t="s">
        <v>2980</v>
      </c>
      <c r="D34" s="762"/>
      <c r="E34" s="2944">
        <v>0.6</v>
      </c>
      <c r="F34" s="2943" t="s">
        <v>2981</v>
      </c>
      <c r="G34" s="763"/>
    </row>
    <row r="35" spans="1:7" ht="19.5" customHeight="1">
      <c r="A35" s="3468"/>
      <c r="B35" s="3465"/>
      <c r="C35" s="761" t="s">
        <v>2982</v>
      </c>
      <c r="D35" s="762"/>
      <c r="E35" s="2944">
        <v>0.2</v>
      </c>
      <c r="F35" s="2943" t="s">
        <v>2983</v>
      </c>
      <c r="G35" s="763"/>
    </row>
    <row r="36" spans="1:7" ht="19.5" customHeight="1">
      <c r="A36" s="3468"/>
      <c r="B36" s="3465"/>
      <c r="C36" s="761" t="s">
        <v>2984</v>
      </c>
      <c r="D36" s="762"/>
      <c r="E36" s="2944">
        <v>0.2</v>
      </c>
      <c r="F36" s="2943" t="s">
        <v>2985</v>
      </c>
      <c r="G36" s="763"/>
    </row>
    <row r="37" spans="1:7" ht="19.5" customHeight="1">
      <c r="A37" s="3468"/>
      <c r="B37" s="3470" t="s">
        <v>2986</v>
      </c>
      <c r="C37" s="761" t="s">
        <v>2987</v>
      </c>
      <c r="D37" s="762"/>
      <c r="E37" s="2944">
        <v>0.6</v>
      </c>
      <c r="F37" s="2943" t="s">
        <v>2988</v>
      </c>
      <c r="G37" s="763"/>
    </row>
    <row r="38" spans="1:7" ht="19.5" customHeight="1">
      <c r="A38" s="3468"/>
      <c r="B38" s="3465"/>
      <c r="C38" s="761" t="s">
        <v>2989</v>
      </c>
      <c r="D38" s="762"/>
      <c r="E38" s="2944">
        <v>0.6</v>
      </c>
      <c r="F38" s="2943" t="s">
        <v>2990</v>
      </c>
      <c r="G38" s="763"/>
    </row>
    <row r="39" spans="1:7" ht="19.5" customHeight="1" thickBot="1">
      <c r="A39" s="3469"/>
      <c r="B39" s="3466"/>
      <c r="C39" s="2945" t="s">
        <v>2991</v>
      </c>
      <c r="D39" s="2946"/>
      <c r="E39" s="2947">
        <v>0.6</v>
      </c>
      <c r="F39" s="2943" t="s">
        <v>2992</v>
      </c>
      <c r="G39" s="763"/>
    </row>
    <row r="40" spans="1:7" ht="19.5" customHeight="1" thickBot="1">
      <c r="A40" s="2948" t="s">
        <v>2993</v>
      </c>
      <c r="B40" s="2949" t="s">
        <v>2993</v>
      </c>
      <c r="C40" s="2950" t="s">
        <v>2994</v>
      </c>
      <c r="D40" s="2951"/>
      <c r="E40" s="2952">
        <v>1</v>
      </c>
      <c r="F40" s="2943" t="s">
        <v>2995</v>
      </c>
      <c r="G40" s="763"/>
    </row>
    <row r="41" spans="1:7" ht="19.5" customHeight="1">
      <c r="A41" s="3471" t="s">
        <v>2996</v>
      </c>
      <c r="B41" s="3464" t="s">
        <v>2997</v>
      </c>
      <c r="C41" s="2940" t="s">
        <v>2998</v>
      </c>
      <c r="D41" s="2941"/>
      <c r="E41" s="2942">
        <v>1</v>
      </c>
      <c r="F41" s="2943" t="s">
        <v>2999</v>
      </c>
      <c r="G41" s="763"/>
    </row>
    <row r="42" spans="1:7" ht="19.5" customHeight="1">
      <c r="A42" s="3472"/>
      <c r="B42" s="3465"/>
      <c r="C42" s="761" t="s">
        <v>3000</v>
      </c>
      <c r="D42" s="762"/>
      <c r="E42" s="2944">
        <v>1</v>
      </c>
      <c r="F42" s="2943" t="s">
        <v>3001</v>
      </c>
      <c r="G42" s="763"/>
    </row>
    <row r="43" spans="1:7" ht="19.5" customHeight="1">
      <c r="A43" s="3472"/>
      <c r="B43" s="3474"/>
      <c r="C43" s="761" t="s">
        <v>3002</v>
      </c>
      <c r="D43" s="762"/>
      <c r="E43" s="2944">
        <v>1.5</v>
      </c>
      <c r="F43" s="2943" t="s">
        <v>3003</v>
      </c>
      <c r="G43" s="763"/>
    </row>
    <row r="44" spans="1:7" ht="19.5" customHeight="1">
      <c r="A44" s="3472"/>
      <c r="B44" s="2953" t="s">
        <v>2965</v>
      </c>
      <c r="C44" s="761" t="s">
        <v>3004</v>
      </c>
      <c r="D44" s="762"/>
      <c r="E44" s="2944">
        <v>2</v>
      </c>
      <c r="F44" s="2943" t="s">
        <v>3005</v>
      </c>
      <c r="G44" s="763"/>
    </row>
    <row r="45" spans="1:7" ht="19.5" customHeight="1">
      <c r="A45" s="3472"/>
      <c r="B45" s="3470" t="s">
        <v>3006</v>
      </c>
      <c r="C45" s="761" t="s">
        <v>3007</v>
      </c>
      <c r="D45" s="762"/>
      <c r="E45" s="2944">
        <v>1</v>
      </c>
      <c r="F45" s="2943" t="s">
        <v>3008</v>
      </c>
      <c r="G45" s="763"/>
    </row>
    <row r="46" spans="1:7" ht="19.5" customHeight="1">
      <c r="A46" s="3472"/>
      <c r="B46" s="3465"/>
      <c r="C46" s="761" t="s">
        <v>3009</v>
      </c>
      <c r="D46" s="762"/>
      <c r="E46" s="2944">
        <v>1</v>
      </c>
      <c r="F46" s="2943" t="s">
        <v>3010</v>
      </c>
      <c r="G46" s="763"/>
    </row>
    <row r="47" spans="1:7" ht="19.5" customHeight="1">
      <c r="A47" s="3472"/>
      <c r="B47" s="3465"/>
      <c r="C47" s="761" t="s">
        <v>3011</v>
      </c>
      <c r="D47" s="762"/>
      <c r="E47" s="2944">
        <v>1</v>
      </c>
      <c r="F47" s="2943" t="s">
        <v>3012</v>
      </c>
      <c r="G47" s="763"/>
    </row>
    <row r="48" spans="1:7" ht="19.5" customHeight="1">
      <c r="A48" s="3472"/>
      <c r="B48" s="3465"/>
      <c r="C48" s="761" t="s">
        <v>3013</v>
      </c>
      <c r="D48" s="762"/>
      <c r="E48" s="2944">
        <v>1</v>
      </c>
      <c r="F48" s="2943" t="s">
        <v>3014</v>
      </c>
      <c r="G48" s="763"/>
    </row>
    <row r="49" spans="1:9" ht="19.5" customHeight="1">
      <c r="A49" s="3472"/>
      <c r="B49" s="3465"/>
      <c r="C49" s="761" t="s">
        <v>3015</v>
      </c>
      <c r="D49" s="762"/>
      <c r="E49" s="2944">
        <v>1</v>
      </c>
      <c r="F49" s="2943" t="s">
        <v>3016</v>
      </c>
      <c r="G49" s="763"/>
    </row>
    <row r="50" spans="1:9" ht="19.5" customHeight="1">
      <c r="A50" s="3472"/>
      <c r="B50" s="3465"/>
      <c r="C50" s="761" t="s">
        <v>3017</v>
      </c>
      <c r="D50" s="762"/>
      <c r="E50" s="2944">
        <v>1</v>
      </c>
      <c r="F50" s="2943" t="s">
        <v>3018</v>
      </c>
      <c r="G50" s="763"/>
    </row>
    <row r="51" spans="1:9" ht="19.5" customHeight="1" thickBot="1">
      <c r="A51" s="3473"/>
      <c r="B51" s="3466"/>
      <c r="C51" s="2945" t="s">
        <v>3019</v>
      </c>
      <c r="D51" s="2946"/>
      <c r="E51" s="2947">
        <v>1</v>
      </c>
      <c r="F51" s="2943" t="s">
        <v>3020</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3">
        <v>0.7</v>
      </c>
      <c r="C57" s="2933">
        <v>0.4</v>
      </c>
      <c r="D57" s="2933">
        <v>0.3</v>
      </c>
      <c r="E57" s="2939">
        <v>0.3</v>
      </c>
      <c r="F57" s="2933">
        <v>0.3</v>
      </c>
      <c r="G57" s="2933">
        <v>0.2</v>
      </c>
      <c r="I57"/>
    </row>
    <row r="58" spans="1:9" ht="19.5" customHeight="1">
      <c r="A58" s="769" t="s">
        <v>158</v>
      </c>
      <c r="B58" s="2933">
        <v>0.7</v>
      </c>
      <c r="C58" s="2933">
        <v>0.4</v>
      </c>
      <c r="D58" s="2933">
        <v>0.3</v>
      </c>
      <c r="E58" s="2933">
        <v>0.3</v>
      </c>
      <c r="F58" s="2933">
        <v>0.3</v>
      </c>
      <c r="G58" s="2933">
        <v>0.2</v>
      </c>
      <c r="I58"/>
    </row>
    <row r="59" spans="1:9" ht="19.5" customHeight="1">
      <c r="A59" s="769" t="s">
        <v>159</v>
      </c>
      <c r="B59" s="2933">
        <v>0.6</v>
      </c>
      <c r="C59" s="2933">
        <v>0.3</v>
      </c>
      <c r="D59" s="2933">
        <v>0.25</v>
      </c>
      <c r="E59" s="2933">
        <v>0.25</v>
      </c>
      <c r="F59" s="2933">
        <v>0.25</v>
      </c>
      <c r="G59" s="2933">
        <v>0.15</v>
      </c>
      <c r="I59"/>
    </row>
    <row r="60" spans="1:9" ht="19.5" customHeight="1">
      <c r="A60" s="769" t="s">
        <v>160</v>
      </c>
      <c r="B60" s="2933">
        <v>0.6</v>
      </c>
      <c r="C60" s="2933">
        <v>0.3</v>
      </c>
      <c r="D60" s="2933">
        <v>0.25</v>
      </c>
      <c r="E60" s="2933">
        <v>0.25</v>
      </c>
      <c r="F60" s="2933">
        <v>0.25</v>
      </c>
      <c r="G60" s="2933">
        <v>0.15</v>
      </c>
      <c r="I60"/>
    </row>
    <row r="61" spans="1:9" s="757" customFormat="1" ht="19.5" customHeight="1">
      <c r="A61" s="769" t="s">
        <v>161</v>
      </c>
      <c r="B61" s="2933">
        <v>0.6</v>
      </c>
      <c r="C61" s="2933">
        <v>0.3</v>
      </c>
      <c r="D61" s="2933">
        <v>0.25</v>
      </c>
      <c r="E61" s="2933">
        <v>0.25</v>
      </c>
      <c r="F61" s="2933">
        <v>0.25</v>
      </c>
      <c r="G61" s="2933">
        <v>0.15</v>
      </c>
    </row>
    <row r="62" spans="1:9" s="757" customFormat="1" ht="19.5" customHeight="1">
      <c r="A62" s="769" t="s">
        <v>162</v>
      </c>
      <c r="B62" s="2933">
        <v>0.6</v>
      </c>
      <c r="C62" s="2933">
        <v>0.3</v>
      </c>
      <c r="D62" s="2933">
        <v>0.25</v>
      </c>
      <c r="E62" s="2933">
        <v>0.25</v>
      </c>
      <c r="F62" s="2933">
        <v>0.25</v>
      </c>
      <c r="G62" s="2933">
        <v>0.15</v>
      </c>
    </row>
    <row r="63" spans="1:9" s="757" customFormat="1" ht="19.5" customHeight="1">
      <c r="A63" s="769" t="s">
        <v>163</v>
      </c>
      <c r="B63" s="2933">
        <v>0.6</v>
      </c>
      <c r="C63" s="2933">
        <v>0.3</v>
      </c>
      <c r="D63" s="2933">
        <v>0.25</v>
      </c>
      <c r="E63" s="2933">
        <v>0.25</v>
      </c>
      <c r="F63" s="2933">
        <v>0.25</v>
      </c>
      <c r="G63" s="2933">
        <v>0.15</v>
      </c>
    </row>
    <row r="64" spans="1:9" s="757" customFormat="1" ht="19.5" customHeight="1">
      <c r="A64" s="769" t="s">
        <v>164</v>
      </c>
      <c r="B64" s="2933">
        <v>0.5</v>
      </c>
      <c r="C64" s="2933">
        <v>0.2</v>
      </c>
      <c r="D64" s="2933">
        <v>0.2</v>
      </c>
      <c r="E64" s="2933">
        <v>0.2</v>
      </c>
      <c r="F64" s="2933">
        <v>0.2</v>
      </c>
      <c r="G64" s="2933">
        <v>0.1</v>
      </c>
    </row>
    <row r="65" spans="1:7" s="757" customFormat="1" ht="19.5" customHeight="1">
      <c r="A65" s="769" t="s">
        <v>165</v>
      </c>
      <c r="B65" s="2933">
        <v>0.5</v>
      </c>
      <c r="C65" s="2933">
        <v>0.2</v>
      </c>
      <c r="D65" s="2933">
        <v>0.2</v>
      </c>
      <c r="E65" s="2933">
        <v>0.2</v>
      </c>
      <c r="F65" s="2933">
        <v>0.2</v>
      </c>
      <c r="G65" s="2933">
        <v>0.1</v>
      </c>
    </row>
    <row r="66" spans="1:7" s="757" customFormat="1" ht="19.5" customHeight="1">
      <c r="A66" s="769" t="s">
        <v>166</v>
      </c>
      <c r="B66" s="2933">
        <v>0.5</v>
      </c>
      <c r="C66" s="2933">
        <v>0.2</v>
      </c>
      <c r="D66" s="2933">
        <v>0.2</v>
      </c>
      <c r="E66" s="2933">
        <v>0.2</v>
      </c>
      <c r="F66" s="2933">
        <v>0.2</v>
      </c>
      <c r="G66" s="2933">
        <v>0.1</v>
      </c>
    </row>
    <row r="67" spans="1:7" s="757" customFormat="1" ht="19.5" customHeight="1">
      <c r="A67" s="769" t="s">
        <v>167</v>
      </c>
      <c r="B67" s="2933">
        <v>0.5</v>
      </c>
      <c r="C67" s="2933">
        <v>0.2</v>
      </c>
      <c r="D67" s="2933">
        <v>0.2</v>
      </c>
      <c r="E67" s="2933">
        <v>0.2</v>
      </c>
      <c r="F67" s="2933">
        <v>0.2</v>
      </c>
      <c r="G67" s="2933">
        <v>0.1</v>
      </c>
    </row>
    <row r="68" spans="1:7" s="757" customFormat="1" ht="19.5" customHeight="1">
      <c r="A68" s="769" t="s">
        <v>168</v>
      </c>
      <c r="B68" s="2933">
        <v>0.5</v>
      </c>
      <c r="C68" s="2933">
        <v>0.2</v>
      </c>
      <c r="D68" s="2933">
        <v>0.2</v>
      </c>
      <c r="E68" s="2933">
        <v>0.2</v>
      </c>
      <c r="F68" s="2933">
        <v>0.2</v>
      </c>
      <c r="G68" s="2933">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3.5">
      <c r="A72" s="760"/>
      <c r="B72" s="760"/>
      <c r="C72" s="760" t="s">
        <v>3021</v>
      </c>
      <c r="D72" s="760"/>
      <c r="E72" s="770" t="s">
        <v>1</v>
      </c>
      <c r="F72" s="760" t="s">
        <v>1</v>
      </c>
    </row>
    <row r="73" spans="1:7" s="757" customFormat="1" ht="13.5">
      <c r="A73" s="2953">
        <v>1</v>
      </c>
      <c r="B73" s="3470" t="s">
        <v>3022</v>
      </c>
      <c r="C73" s="2933" t="s">
        <v>3023</v>
      </c>
      <c r="D73" s="2933" t="s">
        <v>3024</v>
      </c>
      <c r="E73" s="2954">
        <v>0.2</v>
      </c>
      <c r="F73" s="2953">
        <v>25</v>
      </c>
    </row>
    <row r="74" spans="1:7" s="757" customFormat="1" ht="24">
      <c r="A74" s="2953">
        <v>2</v>
      </c>
      <c r="B74" s="3465"/>
      <c r="C74" s="2933" t="s">
        <v>3025</v>
      </c>
      <c r="D74" s="2933" t="s">
        <v>3026</v>
      </c>
      <c r="E74" s="2954">
        <v>0.2</v>
      </c>
      <c r="F74" s="2953">
        <v>25</v>
      </c>
    </row>
    <row r="75" spans="1:7" s="757" customFormat="1" ht="24">
      <c r="A75" s="2953">
        <v>3</v>
      </c>
      <c r="B75" s="3465"/>
      <c r="C75" s="2933" t="s">
        <v>3027</v>
      </c>
      <c r="D75" s="2933" t="s">
        <v>3028</v>
      </c>
      <c r="E75" s="2954">
        <v>0.2</v>
      </c>
      <c r="F75" s="2953">
        <v>25</v>
      </c>
    </row>
    <row r="76" spans="1:7" s="757" customFormat="1" ht="13.5">
      <c r="A76" s="2953">
        <v>4</v>
      </c>
      <c r="B76" s="3465"/>
      <c r="C76" s="2933" t="s">
        <v>3029</v>
      </c>
      <c r="D76" s="2933" t="s">
        <v>3030</v>
      </c>
      <c r="E76" s="2954">
        <v>0.15</v>
      </c>
      <c r="F76" s="2953">
        <v>20</v>
      </c>
    </row>
    <row r="77" spans="1:7" s="757" customFormat="1" ht="24">
      <c r="A77" s="2953">
        <v>5</v>
      </c>
      <c r="B77" s="3465"/>
      <c r="C77" s="2933" t="s">
        <v>3031</v>
      </c>
      <c r="D77" s="2933" t="s">
        <v>3032</v>
      </c>
      <c r="E77" s="2954">
        <v>0.15</v>
      </c>
      <c r="F77" s="2953">
        <v>20</v>
      </c>
    </row>
    <row r="78" spans="1:7" s="757" customFormat="1" ht="24">
      <c r="A78" s="2953">
        <v>6</v>
      </c>
      <c r="B78" s="3465"/>
      <c r="C78" s="2933" t="s">
        <v>3033</v>
      </c>
      <c r="D78" s="2933" t="s">
        <v>3034</v>
      </c>
      <c r="E78" s="2954">
        <v>0.15</v>
      </c>
      <c r="F78" s="2953">
        <v>20</v>
      </c>
    </row>
    <row r="79" spans="1:7" s="757" customFormat="1" ht="24">
      <c r="A79" s="2953">
        <v>7</v>
      </c>
      <c r="B79" s="3465"/>
      <c r="C79" s="2933" t="s">
        <v>3035</v>
      </c>
      <c r="D79" s="2933" t="s">
        <v>3036</v>
      </c>
      <c r="E79" s="2954">
        <v>0.15</v>
      </c>
      <c r="F79" s="2953">
        <v>20</v>
      </c>
    </row>
    <row r="80" spans="1:7" s="757" customFormat="1" ht="24">
      <c r="A80" s="2953">
        <v>8</v>
      </c>
      <c r="B80" s="3465"/>
      <c r="C80" s="2933" t="s">
        <v>3037</v>
      </c>
      <c r="D80" s="2933" t="s">
        <v>3038</v>
      </c>
      <c r="E80" s="2954">
        <v>0.1</v>
      </c>
      <c r="F80" s="2953">
        <v>15</v>
      </c>
    </row>
    <row r="81" spans="1:6" s="757" customFormat="1" ht="24">
      <c r="A81" s="2953">
        <v>9</v>
      </c>
      <c r="B81" s="3465"/>
      <c r="C81" s="2933" t="s">
        <v>3039</v>
      </c>
      <c r="D81" s="2933" t="s">
        <v>3040</v>
      </c>
      <c r="E81" s="2954">
        <v>0.1</v>
      </c>
      <c r="F81" s="2953">
        <v>15</v>
      </c>
    </row>
    <row r="82" spans="1:6" s="757" customFormat="1" ht="24">
      <c r="A82" s="2953">
        <v>10</v>
      </c>
      <c r="B82" s="3465"/>
      <c r="C82" s="2933" t="s">
        <v>3041</v>
      </c>
      <c r="D82" s="2933" t="s">
        <v>3042</v>
      </c>
      <c r="E82" s="2954">
        <v>0.1</v>
      </c>
      <c r="F82" s="2953">
        <v>15</v>
      </c>
    </row>
    <row r="83" spans="1:6" s="757" customFormat="1" ht="24">
      <c r="A83" s="2953">
        <v>11</v>
      </c>
      <c r="B83" s="3465"/>
      <c r="C83" s="2933" t="s">
        <v>3043</v>
      </c>
      <c r="D83" s="2933" t="s">
        <v>3044</v>
      </c>
      <c r="E83" s="2954">
        <v>0.1</v>
      </c>
      <c r="F83" s="2953">
        <v>15</v>
      </c>
    </row>
    <row r="84" spans="1:6" s="757" customFormat="1" ht="24">
      <c r="A84" s="2953">
        <v>12</v>
      </c>
      <c r="B84" s="3465"/>
      <c r="C84" s="2933" t="s">
        <v>3045</v>
      </c>
      <c r="D84" s="2933" t="s">
        <v>3046</v>
      </c>
      <c r="E84" s="2954">
        <v>0.1</v>
      </c>
      <c r="F84" s="2953">
        <v>15</v>
      </c>
    </row>
    <row r="85" spans="1:6" s="757" customFormat="1" ht="13.5">
      <c r="A85" s="2953">
        <v>13</v>
      </c>
      <c r="B85" s="3465"/>
      <c r="C85" s="2933" t="s">
        <v>3047</v>
      </c>
      <c r="D85" s="2933" t="s">
        <v>3048</v>
      </c>
      <c r="E85" s="2954">
        <v>0.1</v>
      </c>
      <c r="F85" s="2953">
        <v>15</v>
      </c>
    </row>
    <row r="86" spans="1:6" s="757" customFormat="1" ht="13.5">
      <c r="A86" s="2953">
        <v>14</v>
      </c>
      <c r="B86" s="3465"/>
      <c r="C86" s="2933" t="s">
        <v>3049</v>
      </c>
      <c r="D86" s="2933" t="s">
        <v>3050</v>
      </c>
      <c r="E86" s="2954">
        <v>0.1</v>
      </c>
      <c r="F86" s="2953">
        <v>15</v>
      </c>
    </row>
    <row r="87" spans="1:6" s="757" customFormat="1" ht="13.5">
      <c r="A87" s="2953">
        <v>15</v>
      </c>
      <c r="B87" s="3465"/>
      <c r="C87" s="2933" t="s">
        <v>3051</v>
      </c>
      <c r="D87" s="2933" t="s">
        <v>3052</v>
      </c>
      <c r="E87" s="2954">
        <v>0.1</v>
      </c>
      <c r="F87" s="2953">
        <v>15</v>
      </c>
    </row>
    <row r="88" spans="1:6" s="757" customFormat="1" ht="24">
      <c r="A88" s="2953">
        <v>16</v>
      </c>
      <c r="B88" s="3465"/>
      <c r="C88" s="2933" t="s">
        <v>3053</v>
      </c>
      <c r="D88" s="2933" t="s">
        <v>3054</v>
      </c>
      <c r="E88" s="2954">
        <v>0.1</v>
      </c>
      <c r="F88" s="2953">
        <v>15</v>
      </c>
    </row>
    <row r="89" spans="1:6" s="757" customFormat="1" ht="24">
      <c r="A89" s="2953">
        <v>17</v>
      </c>
      <c r="B89" s="3474"/>
      <c r="C89" s="2933" t="s">
        <v>3055</v>
      </c>
      <c r="D89" s="2933" t="s">
        <v>3056</v>
      </c>
      <c r="E89" s="2954">
        <v>0.1</v>
      </c>
      <c r="F89" s="2953">
        <v>15</v>
      </c>
    </row>
    <row r="90" spans="1:6" s="757" customFormat="1" ht="13.5">
      <c r="A90" s="2953">
        <v>18</v>
      </c>
      <c r="B90" s="3470" t="s">
        <v>3057</v>
      </c>
      <c r="C90" s="2933" t="s">
        <v>3058</v>
      </c>
      <c r="D90" s="2933" t="s">
        <v>3059</v>
      </c>
      <c r="E90" s="2954">
        <v>0.2</v>
      </c>
      <c r="F90" s="2953">
        <v>25</v>
      </c>
    </row>
    <row r="91" spans="1:6" s="757" customFormat="1" ht="24">
      <c r="A91" s="2953">
        <v>19</v>
      </c>
      <c r="B91" s="3465"/>
      <c r="C91" s="2933" t="s">
        <v>3060</v>
      </c>
      <c r="D91" s="2933" t="s">
        <v>3061</v>
      </c>
      <c r="E91" s="2954">
        <v>0.2</v>
      </c>
      <c r="F91" s="2953">
        <v>25</v>
      </c>
    </row>
    <row r="92" spans="1:6" s="757" customFormat="1" ht="13.5">
      <c r="A92" s="2953">
        <v>20</v>
      </c>
      <c r="B92" s="3465"/>
      <c r="C92" s="2933" t="s">
        <v>3062</v>
      </c>
      <c r="D92" s="2933" t="s">
        <v>3063</v>
      </c>
      <c r="E92" s="2954">
        <v>0.15</v>
      </c>
      <c r="F92" s="2953">
        <v>20</v>
      </c>
    </row>
    <row r="93" spans="1:6" s="757" customFormat="1" ht="24">
      <c r="A93" s="2953">
        <v>21</v>
      </c>
      <c r="B93" s="3465"/>
      <c r="C93" s="2933" t="s">
        <v>3064</v>
      </c>
      <c r="D93" s="2933" t="s">
        <v>3065</v>
      </c>
      <c r="E93" s="2954">
        <v>0.15</v>
      </c>
      <c r="F93" s="2953">
        <v>20</v>
      </c>
    </row>
    <row r="94" spans="1:6" s="757" customFormat="1" ht="24">
      <c r="A94" s="2953">
        <v>22</v>
      </c>
      <c r="B94" s="3465"/>
      <c r="C94" s="2933" t="s">
        <v>3066</v>
      </c>
      <c r="D94" s="2933" t="s">
        <v>3067</v>
      </c>
      <c r="E94" s="2954">
        <v>0.15</v>
      </c>
      <c r="F94" s="2953">
        <v>20</v>
      </c>
    </row>
    <row r="95" spans="1:6" s="757" customFormat="1" ht="36">
      <c r="A95" s="2953">
        <v>23</v>
      </c>
      <c r="B95" s="3465"/>
      <c r="C95" s="2933" t="s">
        <v>3068</v>
      </c>
      <c r="D95" s="2933" t="s">
        <v>3069</v>
      </c>
      <c r="E95" s="2954">
        <v>0.15</v>
      </c>
      <c r="F95" s="2953">
        <v>20</v>
      </c>
    </row>
    <row r="96" spans="1:6" s="757" customFormat="1" ht="13.5">
      <c r="A96" s="2953">
        <v>24</v>
      </c>
      <c r="B96" s="3465"/>
      <c r="C96" s="2933" t="s">
        <v>3070</v>
      </c>
      <c r="D96" s="2933" t="s">
        <v>3071</v>
      </c>
      <c r="E96" s="2954">
        <v>0.1</v>
      </c>
      <c r="F96" s="2953">
        <v>15</v>
      </c>
    </row>
    <row r="97" spans="1:6" s="757" customFormat="1" ht="24">
      <c r="A97" s="2953">
        <v>25</v>
      </c>
      <c r="B97" s="3465"/>
      <c r="C97" s="2933" t="s">
        <v>3072</v>
      </c>
      <c r="D97" s="2933" t="s">
        <v>3073</v>
      </c>
      <c r="E97" s="2954">
        <v>0.1</v>
      </c>
      <c r="F97" s="2953">
        <v>15</v>
      </c>
    </row>
    <row r="98" spans="1:6" s="757" customFormat="1" ht="24">
      <c r="A98" s="2953">
        <v>26</v>
      </c>
      <c r="B98" s="3465"/>
      <c r="C98" s="2933" t="s">
        <v>3074</v>
      </c>
      <c r="D98" s="2933" t="s">
        <v>3075</v>
      </c>
      <c r="E98" s="2954">
        <v>0.1</v>
      </c>
      <c r="F98" s="2953">
        <v>15</v>
      </c>
    </row>
    <row r="99" spans="1:6" s="757" customFormat="1" ht="24">
      <c r="A99" s="2953">
        <v>27</v>
      </c>
      <c r="B99" s="3465"/>
      <c r="C99" s="2933" t="s">
        <v>3076</v>
      </c>
      <c r="D99" s="2933" t="s">
        <v>3077</v>
      </c>
      <c r="E99" s="2954">
        <v>0.1</v>
      </c>
      <c r="F99" s="2953">
        <v>15</v>
      </c>
    </row>
    <row r="100" spans="1:6" s="757" customFormat="1" ht="24">
      <c r="A100" s="2953">
        <v>28</v>
      </c>
      <c r="B100" s="3465"/>
      <c r="C100" s="2933" t="s">
        <v>3078</v>
      </c>
      <c r="D100" s="2933" t="s">
        <v>3079</v>
      </c>
      <c r="E100" s="2954">
        <v>0.1</v>
      </c>
      <c r="F100" s="2953">
        <v>15</v>
      </c>
    </row>
    <row r="101" spans="1:6" s="757" customFormat="1" ht="24">
      <c r="A101" s="2953">
        <v>29</v>
      </c>
      <c r="B101" s="3465"/>
      <c r="C101" s="2933" t="s">
        <v>3080</v>
      </c>
      <c r="D101" s="2933" t="s">
        <v>3081</v>
      </c>
      <c r="E101" s="2954">
        <v>0.1</v>
      </c>
      <c r="F101" s="2953">
        <v>15</v>
      </c>
    </row>
    <row r="102" spans="1:6" s="757" customFormat="1" ht="24">
      <c r="A102" s="2953">
        <v>30</v>
      </c>
      <c r="B102" s="3465"/>
      <c r="C102" s="2933" t="s">
        <v>3082</v>
      </c>
      <c r="D102" s="2933" t="s">
        <v>3083</v>
      </c>
      <c r="E102" s="2954">
        <v>0.1</v>
      </c>
      <c r="F102" s="2953">
        <v>15</v>
      </c>
    </row>
    <row r="103" spans="1:6" s="757" customFormat="1" ht="24">
      <c r="A103" s="2953">
        <v>31</v>
      </c>
      <c r="B103" s="3465"/>
      <c r="C103" s="2933" t="s">
        <v>3084</v>
      </c>
      <c r="D103" s="2933" t="s">
        <v>3085</v>
      </c>
      <c r="E103" s="2954">
        <v>0.1</v>
      </c>
      <c r="F103" s="2953">
        <v>15</v>
      </c>
    </row>
    <row r="104" spans="1:6" s="757" customFormat="1" ht="24">
      <c r="A104" s="2953">
        <v>32</v>
      </c>
      <c r="B104" s="3465"/>
      <c r="C104" s="2933" t="s">
        <v>3086</v>
      </c>
      <c r="D104" s="2933" t="s">
        <v>3087</v>
      </c>
      <c r="E104" s="2954">
        <v>0.1</v>
      </c>
      <c r="F104" s="2953">
        <v>15</v>
      </c>
    </row>
    <row r="105" spans="1:6" s="757" customFormat="1" ht="24">
      <c r="A105" s="2953">
        <v>33</v>
      </c>
      <c r="B105" s="3465"/>
      <c r="C105" s="2933" t="s">
        <v>3088</v>
      </c>
      <c r="D105" s="2933" t="s">
        <v>3089</v>
      </c>
      <c r="E105" s="2954">
        <v>0.1</v>
      </c>
      <c r="F105" s="2953">
        <v>15</v>
      </c>
    </row>
    <row r="106" spans="1:6" s="757" customFormat="1" ht="24">
      <c r="A106" s="2953">
        <v>34</v>
      </c>
      <c r="B106" s="3474"/>
      <c r="C106" s="2933" t="s">
        <v>3090</v>
      </c>
      <c r="D106" s="2933" t="s">
        <v>3091</v>
      </c>
      <c r="E106" s="2954">
        <v>0.1</v>
      </c>
      <c r="F106" s="2953">
        <v>15</v>
      </c>
    </row>
    <row r="107" spans="1:6" s="757" customFormat="1" ht="24">
      <c r="A107" s="2953">
        <v>35</v>
      </c>
      <c r="B107" s="3470" t="s">
        <v>3092</v>
      </c>
      <c r="C107" s="2953" t="s">
        <v>3093</v>
      </c>
      <c r="D107" s="2933" t="s">
        <v>3094</v>
      </c>
      <c r="E107" s="2954">
        <v>0.15</v>
      </c>
      <c r="F107" s="2953">
        <v>20</v>
      </c>
    </row>
    <row r="108" spans="1:6" s="757" customFormat="1" ht="24">
      <c r="A108" s="2953">
        <v>36</v>
      </c>
      <c r="B108" s="3465"/>
      <c r="C108" s="2953" t="s">
        <v>3095</v>
      </c>
      <c r="D108" s="2933" t="s">
        <v>3096</v>
      </c>
      <c r="E108" s="2954">
        <v>0.15</v>
      </c>
      <c r="F108" s="2953">
        <v>20</v>
      </c>
    </row>
    <row r="109" spans="1:6" s="757" customFormat="1" ht="24">
      <c r="A109" s="2953">
        <v>37</v>
      </c>
      <c r="B109" s="3465"/>
      <c r="C109" s="2953" t="s">
        <v>3097</v>
      </c>
      <c r="D109" s="2933" t="s">
        <v>3098</v>
      </c>
      <c r="E109" s="2954">
        <v>0.15</v>
      </c>
      <c r="F109" s="2953">
        <v>20</v>
      </c>
    </row>
    <row r="110" spans="1:6" s="757" customFormat="1" ht="13.5">
      <c r="A110" s="2953">
        <v>38</v>
      </c>
      <c r="B110" s="3465"/>
      <c r="C110" s="2953" t="s">
        <v>3099</v>
      </c>
      <c r="D110" s="2933" t="s">
        <v>3100</v>
      </c>
      <c r="E110" s="2954">
        <v>0.1</v>
      </c>
      <c r="F110" s="2953">
        <v>15</v>
      </c>
    </row>
    <row r="111" spans="1:6" s="757" customFormat="1" ht="24">
      <c r="A111" s="2953">
        <v>39</v>
      </c>
      <c r="B111" s="3465"/>
      <c r="C111" s="2953" t="s">
        <v>3101</v>
      </c>
      <c r="D111" s="2933" t="s">
        <v>3102</v>
      </c>
      <c r="E111" s="2954">
        <v>0.1</v>
      </c>
      <c r="F111" s="2953">
        <v>15</v>
      </c>
    </row>
    <row r="112" spans="1:6" s="757" customFormat="1" ht="24">
      <c r="A112" s="2953">
        <v>40</v>
      </c>
      <c r="B112" s="3474"/>
      <c r="C112" s="2953" t="s">
        <v>3103</v>
      </c>
      <c r="D112" s="2933" t="s">
        <v>3104</v>
      </c>
      <c r="E112" s="2954">
        <v>0.1</v>
      </c>
      <c r="F112" s="2953">
        <v>15</v>
      </c>
    </row>
    <row r="113" spans="1:6" s="757" customFormat="1" ht="24">
      <c r="A113" s="2953">
        <v>41</v>
      </c>
      <c r="B113" s="3475" t="s">
        <v>3105</v>
      </c>
      <c r="C113" s="2953" t="s">
        <v>3106</v>
      </c>
      <c r="D113" s="2933" t="s">
        <v>3107</v>
      </c>
      <c r="E113" s="2954">
        <v>0.1</v>
      </c>
      <c r="F113" s="2953">
        <v>15</v>
      </c>
    </row>
    <row r="114" spans="1:6" s="757" customFormat="1" ht="13.5">
      <c r="A114" s="2953">
        <v>42</v>
      </c>
      <c r="B114" s="3475"/>
      <c r="C114" s="2953" t="s">
        <v>3108</v>
      </c>
      <c r="D114" s="2933" t="s">
        <v>3109</v>
      </c>
      <c r="E114" s="2954">
        <v>0.1</v>
      </c>
      <c r="F114" s="2953">
        <v>15</v>
      </c>
    </row>
    <row r="115" spans="1:6" s="757" customFormat="1" ht="24">
      <c r="A115" s="2953">
        <v>43</v>
      </c>
      <c r="B115" s="3475"/>
      <c r="C115" s="2953" t="s">
        <v>3110</v>
      </c>
      <c r="D115" s="2933" t="s">
        <v>3111</v>
      </c>
      <c r="E115" s="2954">
        <v>0.1</v>
      </c>
      <c r="F115" s="2953">
        <v>15</v>
      </c>
    </row>
    <row r="116" spans="1:6" s="757" customFormat="1" ht="24">
      <c r="A116" s="2953">
        <v>44</v>
      </c>
      <c r="B116" s="3470" t="s">
        <v>3112</v>
      </c>
      <c r="C116" s="2953" t="s">
        <v>3113</v>
      </c>
      <c r="D116" s="2933" t="s">
        <v>3114</v>
      </c>
      <c r="E116" s="2954">
        <v>0.1</v>
      </c>
      <c r="F116" s="2953">
        <v>15</v>
      </c>
    </row>
    <row r="117" spans="1:6" s="757" customFormat="1" ht="24">
      <c r="A117" s="2953">
        <v>45</v>
      </c>
      <c r="B117" s="3474"/>
      <c r="C117" s="2933" t="s">
        <v>3115</v>
      </c>
      <c r="D117" s="2933" t="s">
        <v>3116</v>
      </c>
      <c r="E117" s="2954">
        <v>0.1</v>
      </c>
      <c r="F117" s="2953">
        <v>15</v>
      </c>
    </row>
    <row r="118" spans="1:6" s="757" customFormat="1" ht="24">
      <c r="A118" s="2953">
        <v>46</v>
      </c>
      <c r="B118" s="3470" t="s">
        <v>3117</v>
      </c>
      <c r="C118" s="2953" t="s">
        <v>3118</v>
      </c>
      <c r="D118" s="2933" t="s">
        <v>3119</v>
      </c>
      <c r="E118" s="2954">
        <v>0.1</v>
      </c>
      <c r="F118" s="2953">
        <v>15</v>
      </c>
    </row>
    <row r="119" spans="1:6" s="757" customFormat="1" ht="24">
      <c r="A119" s="2953">
        <v>47</v>
      </c>
      <c r="B119" s="3474"/>
      <c r="C119" s="2953" t="s">
        <v>3120</v>
      </c>
      <c r="D119" s="2933" t="s">
        <v>3121</v>
      </c>
      <c r="E119" s="2954">
        <v>0.1</v>
      </c>
      <c r="F119" s="2953">
        <v>15</v>
      </c>
    </row>
    <row r="120" spans="1:6" s="757" customFormat="1" ht="24">
      <c r="A120" s="2953">
        <v>48</v>
      </c>
      <c r="B120" s="3470" t="s">
        <v>3122</v>
      </c>
      <c r="C120" s="2953" t="s">
        <v>3123</v>
      </c>
      <c r="D120" s="2933" t="s">
        <v>3124</v>
      </c>
      <c r="E120" s="2954">
        <v>0.1</v>
      </c>
      <c r="F120" s="2953">
        <v>15</v>
      </c>
    </row>
    <row r="121" spans="1:6" s="757" customFormat="1" ht="13.5">
      <c r="A121" s="2953">
        <v>49</v>
      </c>
      <c r="B121" s="3474"/>
      <c r="C121" s="2953" t="s">
        <v>3125</v>
      </c>
      <c r="D121" s="2933" t="s">
        <v>3126</v>
      </c>
      <c r="E121" s="2954">
        <v>0.1</v>
      </c>
      <c r="F121" s="2953">
        <v>15</v>
      </c>
    </row>
    <row r="122" spans="1:6" s="757" customFormat="1" ht="24">
      <c r="A122" s="2953">
        <v>50</v>
      </c>
      <c r="B122" s="3475" t="s">
        <v>3127</v>
      </c>
      <c r="C122" s="2953" t="s">
        <v>3128</v>
      </c>
      <c r="D122" s="2933" t="s">
        <v>3129</v>
      </c>
      <c r="E122" s="2954">
        <v>0.1</v>
      </c>
      <c r="F122" s="2953">
        <v>15</v>
      </c>
    </row>
    <row r="123" spans="1:6" s="757" customFormat="1" ht="24">
      <c r="A123" s="2953">
        <v>51</v>
      </c>
      <c r="B123" s="3475"/>
      <c r="C123" s="2953" t="s">
        <v>3130</v>
      </c>
      <c r="D123" s="2933" t="s">
        <v>3131</v>
      </c>
      <c r="E123" s="2954">
        <v>0.1</v>
      </c>
      <c r="F123" s="2953">
        <v>15</v>
      </c>
    </row>
    <row r="124" spans="1:6" s="757" customFormat="1" ht="24">
      <c r="A124" s="2953">
        <v>52</v>
      </c>
      <c r="B124" s="3475" t="s">
        <v>3132</v>
      </c>
      <c r="C124" s="2953" t="s">
        <v>3133</v>
      </c>
      <c r="D124" s="2933" t="s">
        <v>3134</v>
      </c>
      <c r="E124" s="2954">
        <v>0.1</v>
      </c>
      <c r="F124" s="2953">
        <v>15</v>
      </c>
    </row>
    <row r="125" spans="1:6" s="757" customFormat="1" ht="24">
      <c r="A125" s="2953">
        <v>53</v>
      </c>
      <c r="B125" s="3475"/>
      <c r="C125" s="2953" t="s">
        <v>3135</v>
      </c>
      <c r="D125" s="2933" t="s">
        <v>3136</v>
      </c>
      <c r="E125" s="2954">
        <v>0.1</v>
      </c>
      <c r="F125" s="2953">
        <v>15</v>
      </c>
    </row>
    <row r="126" spans="1:6" ht="24">
      <c r="A126" s="2953">
        <v>54</v>
      </c>
      <c r="B126" s="2953" t="s">
        <v>3137</v>
      </c>
      <c r="C126" s="2953" t="s">
        <v>3138</v>
      </c>
      <c r="D126" s="2933" t="s">
        <v>3139</v>
      </c>
      <c r="E126" s="2954">
        <v>0.1</v>
      </c>
      <c r="F126" s="2953">
        <v>15</v>
      </c>
    </row>
    <row r="127" spans="1:6" ht="13.5">
      <c r="A127" s="2953">
        <v>55</v>
      </c>
      <c r="B127" s="3475" t="s">
        <v>3140</v>
      </c>
      <c r="C127" s="2953" t="s">
        <v>3141</v>
      </c>
      <c r="D127" s="2933" t="s">
        <v>3142</v>
      </c>
      <c r="E127" s="2954">
        <v>0.1</v>
      </c>
      <c r="F127" s="2953">
        <v>15</v>
      </c>
    </row>
    <row r="128" spans="1:6" ht="13.5">
      <c r="A128" s="2953">
        <v>56</v>
      </c>
      <c r="B128" s="3475"/>
      <c r="C128" s="2953" t="s">
        <v>3143</v>
      </c>
      <c r="D128" s="2933" t="s">
        <v>3144</v>
      </c>
      <c r="E128" s="2954">
        <v>0.1</v>
      </c>
      <c r="F128" s="2953">
        <v>15</v>
      </c>
    </row>
    <row r="129" spans="1:6" ht="24">
      <c r="A129" s="2953">
        <v>57</v>
      </c>
      <c r="B129" s="3475"/>
      <c r="C129" s="2953" t="s">
        <v>3145</v>
      </c>
      <c r="D129" s="2933" t="s">
        <v>3146</v>
      </c>
      <c r="E129" s="2954">
        <v>0.1</v>
      </c>
      <c r="F129" s="2953">
        <v>15</v>
      </c>
    </row>
    <row r="130" spans="1:6" ht="24">
      <c r="A130" s="2953">
        <v>58</v>
      </c>
      <c r="B130" s="3475" t="s">
        <v>3147</v>
      </c>
      <c r="C130" s="2953" t="s">
        <v>3148</v>
      </c>
      <c r="D130" s="2933" t="s">
        <v>3149</v>
      </c>
      <c r="E130" s="2954">
        <v>0.1</v>
      </c>
      <c r="F130" s="2953">
        <v>15</v>
      </c>
    </row>
    <row r="131" spans="1:6" ht="24">
      <c r="A131" s="2953">
        <v>59</v>
      </c>
      <c r="B131" s="3475"/>
      <c r="C131" s="2953" t="s">
        <v>3150</v>
      </c>
      <c r="D131" s="2933" t="s">
        <v>3151</v>
      </c>
      <c r="E131" s="2954">
        <v>0.1</v>
      </c>
      <c r="F131" s="2953">
        <v>15</v>
      </c>
    </row>
    <row r="132" spans="1:6" ht="24">
      <c r="A132" s="2953">
        <v>60</v>
      </c>
      <c r="B132" s="3470" t="s">
        <v>3152</v>
      </c>
      <c r="C132" s="2953" t="s">
        <v>3153</v>
      </c>
      <c r="D132" s="2933" t="s">
        <v>3154</v>
      </c>
      <c r="E132" s="2954">
        <v>0.1</v>
      </c>
      <c r="F132" s="2953">
        <v>15</v>
      </c>
    </row>
    <row r="133" spans="1:6" ht="24">
      <c r="A133" s="2953">
        <v>61</v>
      </c>
      <c r="B133" s="3474"/>
      <c r="C133" s="2953" t="s">
        <v>3155</v>
      </c>
      <c r="D133" s="2933" t="s">
        <v>3156</v>
      </c>
      <c r="E133" s="2954">
        <v>0.1</v>
      </c>
      <c r="F133" s="2953">
        <v>15</v>
      </c>
    </row>
    <row r="134" spans="1:6" ht="24">
      <c r="A134" s="2953">
        <v>62</v>
      </c>
      <c r="B134" s="2953" t="s">
        <v>3157</v>
      </c>
      <c r="C134" s="2953" t="s">
        <v>3158</v>
      </c>
      <c r="D134" s="2933" t="s">
        <v>3159</v>
      </c>
      <c r="E134" s="2954">
        <v>0.1</v>
      </c>
      <c r="F134" s="2953">
        <v>15</v>
      </c>
    </row>
    <row r="135" spans="1:6" ht="24">
      <c r="A135" s="2953">
        <v>63</v>
      </c>
      <c r="B135" s="3475" t="s">
        <v>3160</v>
      </c>
      <c r="C135" s="2953" t="s">
        <v>3161</v>
      </c>
      <c r="D135" s="2933" t="s">
        <v>3162</v>
      </c>
      <c r="E135" s="2954">
        <v>0.1</v>
      </c>
      <c r="F135" s="2953">
        <v>15</v>
      </c>
    </row>
    <row r="136" spans="1:6" ht="13.5">
      <c r="A136" s="2953">
        <v>64</v>
      </c>
      <c r="B136" s="3475"/>
      <c r="C136" s="2953" t="s">
        <v>3163</v>
      </c>
      <c r="D136" s="2933" t="s">
        <v>3164</v>
      </c>
      <c r="E136" s="2954">
        <v>0.1</v>
      </c>
      <c r="F136" s="2953">
        <v>15</v>
      </c>
    </row>
    <row r="137" spans="1:6" ht="24">
      <c r="A137" s="2953">
        <v>65</v>
      </c>
      <c r="B137" s="2953" t="s">
        <v>3165</v>
      </c>
      <c r="C137" s="2953" t="s">
        <v>3166</v>
      </c>
      <c r="D137" s="2933" t="s">
        <v>3167</v>
      </c>
      <c r="E137" s="2954">
        <v>0.1</v>
      </c>
      <c r="F137" s="2953">
        <v>15</v>
      </c>
    </row>
    <row r="138" spans="1:6" ht="13.5">
      <c r="A138" s="760"/>
      <c r="B138" s="760"/>
      <c r="C138" s="760"/>
      <c r="D138" s="760"/>
      <c r="E138" s="770"/>
      <c r="F138" s="76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8"/>
  </cols>
  <sheetData>
    <row r="1" spans="1:14" ht="14.2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1" t="s">
        <v>569</v>
      </c>
      <c r="B103" s="772"/>
      <c r="C103" s="772"/>
      <c r="D103" s="772"/>
      <c r="E103" s="772"/>
      <c r="F103" s="772"/>
      <c r="G103" s="772"/>
      <c r="H103" s="772"/>
      <c r="I103" s="772"/>
      <c r="J103" s="772"/>
      <c r="K103" s="772"/>
      <c r="L103" s="772"/>
      <c r="M103" s="772"/>
      <c r="N103" s="772"/>
    </row>
    <row r="104" spans="1:14" ht="14.2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51" customWidth="1"/>
    <col min="2" max="2" width="12.5" style="651" customWidth="1"/>
    <col min="3" max="3" width="12.125" style="651" customWidth="1"/>
    <col min="4" max="4" width="14.125" style="651" customWidth="1"/>
    <col min="5" max="5" width="12.5" style="651" customWidth="1"/>
    <col min="6" max="16384" width="9" style="651"/>
  </cols>
  <sheetData>
    <row r="1" spans="1:16" ht="21">
      <c r="A1" s="1855" t="s">
        <v>2576</v>
      </c>
      <c r="B1" s="7"/>
      <c r="C1" s="7"/>
      <c r="D1" s="7"/>
      <c r="E1" s="7"/>
      <c r="F1" s="2706"/>
      <c r="G1" s="2706"/>
      <c r="H1" s="2706"/>
      <c r="I1" s="2706"/>
      <c r="J1" s="2706"/>
      <c r="K1" s="2706"/>
      <c r="L1" s="2706"/>
      <c r="M1" s="2706"/>
      <c r="N1" s="2706"/>
      <c r="O1" s="2706"/>
      <c r="P1" s="2706"/>
    </row>
    <row r="2" spans="1:16" ht="15.75">
      <c r="A2" s="2139" t="s">
        <v>2568</v>
      </c>
      <c r="B2" s="2550" t="e">
        <f ca="1">SUMIF(B6:B13,"&lt;&gt;#ref!",B6:B13)</f>
        <v>#DIV/0!</v>
      </c>
      <c r="C2" s="2139" t="s">
        <v>2569</v>
      </c>
      <c r="D2" s="2139" t="s">
        <v>2570</v>
      </c>
      <c r="E2" s="2560">
        <f ca="1">SUMIF(E6:E13,"&lt;&gt;#ref!",E6:E13)</f>
        <v>0</v>
      </c>
      <c r="F2" s="2706"/>
      <c r="G2" s="2706"/>
      <c r="H2" s="2706"/>
      <c r="I2" s="2706"/>
      <c r="J2" s="2706"/>
      <c r="K2" s="2706"/>
      <c r="L2" s="2706"/>
      <c r="M2" s="2706"/>
      <c r="N2" s="2706"/>
      <c r="O2" s="2706"/>
      <c r="P2" s="2706"/>
    </row>
    <row r="3" spans="1:16" ht="15.75">
      <c r="A3" s="2139" t="s">
        <v>2571</v>
      </c>
      <c r="B3" s="2550" t="e">
        <f ca="1">ROUND(B2*10000/E2,0)</f>
        <v>#DIV/0!</v>
      </c>
      <c r="C3" s="2139" t="s">
        <v>2577</v>
      </c>
      <c r="D3" s="2706"/>
      <c r="E3" s="2706"/>
      <c r="F3" s="2706"/>
      <c r="G3" s="2706"/>
      <c r="H3" s="2706"/>
      <c r="I3" s="2706"/>
      <c r="J3" s="2706"/>
      <c r="K3" s="2706"/>
      <c r="L3" s="2706"/>
      <c r="M3" s="2706"/>
      <c r="N3" s="2706"/>
      <c r="O3" s="2706"/>
      <c r="P3" s="2706"/>
    </row>
    <row r="4" spans="1:16" ht="15.75">
      <c r="A4" s="2720"/>
      <c r="B4" s="2706"/>
      <c r="C4" s="2706"/>
      <c r="D4" s="2706"/>
      <c r="E4" s="2706"/>
      <c r="F4" s="2706"/>
      <c r="G4" s="2706"/>
      <c r="H4" s="2706"/>
      <c r="I4" s="2706"/>
      <c r="J4" s="2706"/>
      <c r="K4" s="2706"/>
      <c r="L4" s="2706"/>
      <c r="M4" s="2706"/>
      <c r="N4" s="2706"/>
      <c r="O4" s="2706"/>
      <c r="P4" s="2706"/>
    </row>
    <row r="5" spans="1:16" ht="28.5">
      <c r="A5" s="2556" t="s">
        <v>2572</v>
      </c>
      <c r="B5" s="2558" t="s">
        <v>2573</v>
      </c>
      <c r="C5" s="2140"/>
      <c r="D5" s="2706"/>
      <c r="E5" s="2559" t="s">
        <v>2574</v>
      </c>
      <c r="F5" s="2706"/>
      <c r="G5" s="2706"/>
      <c r="H5" s="2706"/>
      <c r="I5" s="2706"/>
      <c r="J5" s="2706"/>
      <c r="K5" s="2706"/>
      <c r="L5" s="2706"/>
      <c r="M5" s="2706"/>
      <c r="N5" s="2706"/>
      <c r="O5" s="2706"/>
      <c r="P5" s="2706"/>
    </row>
    <row r="6" spans="1:16" ht="15.75">
      <c r="A6" s="2557" t="s">
        <v>2575</v>
      </c>
      <c r="B6" s="2550" t="e">
        <f ca="1">SUMIF(INDIRECT("'"&amp;A6&amp;"'"&amp;"!A:A"),"总价",INDIRECT("'"&amp;A6&amp;"'"&amp;"!B:B"))</f>
        <v>#DIV/0!</v>
      </c>
      <c r="C6" s="2139" t="s">
        <v>2569</v>
      </c>
      <c r="D6" s="2706"/>
      <c r="E6" s="2560">
        <f ca="1">SUMIF(INDIRECT("'"&amp;A6&amp;"'"&amp;"!C:C"),"建筑面积",INDIRECT("'"&amp;A6&amp;"'"&amp;"!D:D"))</f>
        <v>0</v>
      </c>
      <c r="F6" s="2706"/>
      <c r="G6" s="2706"/>
      <c r="H6" s="2706"/>
      <c r="I6" s="2706"/>
      <c r="J6" s="2706"/>
      <c r="K6" s="2706"/>
      <c r="L6" s="2706"/>
      <c r="M6" s="2706"/>
      <c r="N6" s="2706"/>
      <c r="O6" s="2706"/>
      <c r="P6" s="2706"/>
    </row>
    <row r="7" spans="1:16" ht="15.75">
      <c r="A7" s="2557"/>
      <c r="B7" s="2550" t="e">
        <f ca="1">SUMIF(INDIRECT("'"&amp;A7&amp;"'"&amp;"!A:A"),"总价",INDIRECT("'"&amp;A7&amp;"'"&amp;"!B:B"))</f>
        <v>#REF!</v>
      </c>
      <c r="C7" s="2139" t="s">
        <v>2569</v>
      </c>
      <c r="D7" s="2706"/>
      <c r="E7" s="2560" t="e">
        <f t="shared" ref="E7:E13" ca="1" si="0">SUMIF(INDIRECT("'"&amp;A7&amp;"'"&amp;"!C:C"),"建筑面积",INDIRECT("'"&amp;A7&amp;"'"&amp;"!D:D"))</f>
        <v>#REF!</v>
      </c>
      <c r="F7" s="2706"/>
      <c r="G7" s="2706"/>
      <c r="H7" s="2706"/>
      <c r="I7" s="2706"/>
      <c r="J7" s="2706"/>
      <c r="K7" s="2706"/>
      <c r="L7" s="2706"/>
      <c r="M7" s="2706"/>
      <c r="N7" s="2706"/>
      <c r="O7" s="2706"/>
      <c r="P7" s="2706"/>
    </row>
    <row r="8" spans="1:16" ht="15.75">
      <c r="A8" s="2557"/>
      <c r="B8" s="2550" t="e">
        <f t="shared" ref="B8:B13" ca="1" si="1">SUMIF(INDIRECT("'"&amp;A8&amp;"'"&amp;"!A:A"),"总价",INDIRECT("'"&amp;A8&amp;"'"&amp;"!B:B"))</f>
        <v>#REF!</v>
      </c>
      <c r="C8" s="2139" t="s">
        <v>2569</v>
      </c>
      <c r="D8" s="2706"/>
      <c r="E8" s="2560" t="e">
        <f t="shared" ca="1" si="0"/>
        <v>#REF!</v>
      </c>
      <c r="F8" s="2706"/>
      <c r="G8" s="2706"/>
      <c r="H8" s="2706"/>
      <c r="I8" s="2706"/>
      <c r="J8" s="2706"/>
      <c r="K8" s="2706"/>
      <c r="L8" s="2706"/>
      <c r="M8" s="2706"/>
      <c r="N8" s="2706"/>
      <c r="O8" s="2706"/>
      <c r="P8" s="2706"/>
    </row>
    <row r="9" spans="1:16" ht="15.75">
      <c r="A9" s="2557"/>
      <c r="B9" s="2550" t="e">
        <f t="shared" ca="1" si="1"/>
        <v>#REF!</v>
      </c>
      <c r="C9" s="2139" t="s">
        <v>2569</v>
      </c>
      <c r="D9" s="2706"/>
      <c r="E9" s="2560" t="e">
        <f t="shared" ca="1" si="0"/>
        <v>#REF!</v>
      </c>
      <c r="F9" s="2706"/>
      <c r="G9" s="2706"/>
      <c r="H9" s="2706"/>
      <c r="I9" s="2706"/>
      <c r="J9" s="2706"/>
      <c r="K9" s="2706"/>
      <c r="L9" s="2706"/>
      <c r="M9" s="2706"/>
      <c r="N9" s="2706"/>
      <c r="O9" s="2706"/>
      <c r="P9" s="2706"/>
    </row>
    <row r="10" spans="1:16" ht="15.75">
      <c r="A10" s="2557"/>
      <c r="B10" s="2550" t="e">
        <f t="shared" ca="1" si="1"/>
        <v>#REF!</v>
      </c>
      <c r="C10" s="2139" t="s">
        <v>2569</v>
      </c>
      <c r="D10" s="2706"/>
      <c r="E10" s="2560" t="e">
        <f t="shared" ca="1" si="0"/>
        <v>#REF!</v>
      </c>
      <c r="F10" s="2706"/>
      <c r="G10" s="2706"/>
      <c r="H10" s="2706"/>
      <c r="I10" s="2706"/>
      <c r="J10" s="2706"/>
      <c r="K10" s="2706"/>
      <c r="L10" s="2706"/>
      <c r="M10" s="2706"/>
      <c r="N10" s="2706"/>
      <c r="O10" s="2706"/>
      <c r="P10" s="2706"/>
    </row>
    <row r="11" spans="1:16" ht="15.75">
      <c r="A11" s="2557"/>
      <c r="B11" s="2550" t="e">
        <f t="shared" ca="1" si="1"/>
        <v>#REF!</v>
      </c>
      <c r="C11" s="2139" t="s">
        <v>2569</v>
      </c>
      <c r="D11" s="2706"/>
      <c r="E11" s="2560" t="e">
        <f t="shared" ca="1" si="0"/>
        <v>#REF!</v>
      </c>
      <c r="F11" s="2706"/>
      <c r="G11" s="2706"/>
      <c r="H11" s="2706"/>
      <c r="I11" s="2706"/>
      <c r="J11" s="2706"/>
      <c r="K11" s="2706"/>
      <c r="L11" s="2706"/>
      <c r="M11" s="2706"/>
      <c r="N11" s="2706"/>
      <c r="O11" s="2706"/>
      <c r="P11" s="2706"/>
    </row>
    <row r="12" spans="1:16" ht="15.75">
      <c r="A12" s="2557"/>
      <c r="B12" s="2550" t="e">
        <f t="shared" ca="1" si="1"/>
        <v>#REF!</v>
      </c>
      <c r="C12" s="2139" t="s">
        <v>2569</v>
      </c>
      <c r="D12" s="2706"/>
      <c r="E12" s="2560" t="e">
        <f t="shared" ca="1" si="0"/>
        <v>#REF!</v>
      </c>
      <c r="F12" s="2706"/>
      <c r="G12" s="2706"/>
      <c r="H12" s="2706"/>
      <c r="I12" s="2706"/>
      <c r="J12" s="2706"/>
      <c r="K12" s="2706"/>
      <c r="L12" s="2706"/>
      <c r="M12" s="2706"/>
      <c r="N12" s="2706"/>
      <c r="O12" s="2706"/>
      <c r="P12" s="2706"/>
    </row>
    <row r="13" spans="1:16" ht="15.75">
      <c r="A13" s="2557"/>
      <c r="B13" s="2550" t="e">
        <f t="shared" ca="1" si="1"/>
        <v>#REF!</v>
      </c>
      <c r="C13" s="2139" t="s">
        <v>2569</v>
      </c>
      <c r="D13" s="2706"/>
      <c r="E13" s="2560" t="e">
        <f t="shared" ca="1" si="0"/>
        <v>#REF!</v>
      </c>
      <c r="F13" s="2706"/>
      <c r="G13" s="2706"/>
      <c r="H13" s="2706"/>
      <c r="I13" s="2706"/>
      <c r="J13" s="2706"/>
      <c r="K13" s="2706"/>
      <c r="L13" s="2706"/>
      <c r="M13" s="2706"/>
      <c r="N13" s="2706"/>
      <c r="O13" s="2706"/>
      <c r="P13" s="2706"/>
    </row>
    <row r="14" spans="1:16">
      <c r="A14" s="2706"/>
      <c r="B14" s="2706"/>
      <c r="C14" s="2706"/>
      <c r="D14" s="2706"/>
      <c r="E14" s="2706"/>
      <c r="F14" s="2706"/>
      <c r="G14" s="2706"/>
      <c r="H14" s="2706"/>
      <c r="I14" s="2706"/>
      <c r="J14" s="2706"/>
      <c r="K14" s="2706"/>
      <c r="L14" s="2706"/>
      <c r="M14" s="2706"/>
      <c r="N14" s="2706"/>
      <c r="O14" s="2706"/>
      <c r="P14" s="2706"/>
    </row>
    <row r="15" spans="1:16">
      <c r="A15" s="2706"/>
      <c r="B15" s="2706"/>
      <c r="C15" s="2706"/>
      <c r="D15" s="2706"/>
      <c r="E15" s="2706"/>
      <c r="F15" s="2706"/>
      <c r="G15" s="2706"/>
      <c r="H15" s="2706"/>
      <c r="I15" s="2706"/>
      <c r="J15" s="2706"/>
      <c r="K15" s="2706"/>
      <c r="L15" s="2706"/>
      <c r="M15" s="2706"/>
      <c r="N15" s="2706"/>
      <c r="O15" s="2706"/>
      <c r="P15" s="2706"/>
    </row>
    <row r="16" spans="1:16">
      <c r="A16" s="2706"/>
      <c r="B16" s="2706"/>
      <c r="C16" s="2706"/>
      <c r="D16" s="2706"/>
      <c r="E16" s="2706"/>
      <c r="F16" s="2706"/>
      <c r="G16" s="2706"/>
      <c r="H16" s="2706"/>
      <c r="I16" s="2706"/>
      <c r="J16" s="2706"/>
      <c r="K16" s="2706"/>
      <c r="L16" s="2706"/>
      <c r="M16" s="2706"/>
      <c r="N16" s="2706"/>
      <c r="O16" s="2706"/>
      <c r="P16" s="2706"/>
    </row>
    <row r="17" spans="1:16">
      <c r="A17" s="2706"/>
      <c r="B17" s="2706"/>
      <c r="C17" s="2706"/>
      <c r="D17" s="2706"/>
      <c r="E17" s="2706"/>
      <c r="F17" s="2706"/>
      <c r="G17" s="2706"/>
      <c r="H17" s="2706"/>
      <c r="I17" s="2706"/>
      <c r="J17" s="2706"/>
      <c r="K17" s="2706"/>
      <c r="L17" s="2706"/>
      <c r="M17" s="2706"/>
      <c r="N17" s="2706"/>
      <c r="O17" s="2706"/>
      <c r="P17" s="2706"/>
    </row>
    <row r="18" spans="1:16">
      <c r="A18" s="2706"/>
      <c r="B18" s="2706"/>
      <c r="C18" s="2706"/>
      <c r="D18" s="2706"/>
      <c r="E18" s="2706"/>
      <c r="F18" s="2706"/>
      <c r="G18" s="2706"/>
      <c r="H18" s="2706"/>
      <c r="I18" s="2706"/>
      <c r="J18" s="2706"/>
      <c r="K18" s="2706"/>
      <c r="L18" s="2706"/>
      <c r="M18" s="2706"/>
      <c r="N18" s="2706"/>
      <c r="O18" s="2706"/>
      <c r="P18" s="2706"/>
    </row>
    <row r="19" spans="1:16">
      <c r="A19" s="2706"/>
      <c r="B19" s="2706"/>
      <c r="C19" s="2706"/>
      <c r="D19" s="2706"/>
      <c r="E19" s="2706"/>
      <c r="F19" s="2706"/>
      <c r="G19" s="2706"/>
      <c r="H19" s="2706"/>
      <c r="I19" s="2706"/>
      <c r="J19" s="2706"/>
      <c r="K19" s="2706"/>
      <c r="L19" s="2706"/>
      <c r="M19" s="2706"/>
      <c r="N19" s="2706"/>
      <c r="O19" s="2706"/>
      <c r="P19" s="2706"/>
    </row>
    <row r="20" spans="1:16">
      <c r="A20" s="2706"/>
      <c r="B20" s="2706"/>
      <c r="C20" s="2706"/>
      <c r="D20" s="2706"/>
      <c r="E20" s="2706"/>
      <c r="F20" s="2706"/>
      <c r="G20" s="2706"/>
      <c r="H20" s="2706"/>
      <c r="I20" s="2706"/>
      <c r="J20" s="2706"/>
      <c r="K20" s="2706"/>
      <c r="L20" s="2706"/>
      <c r="M20" s="2706"/>
      <c r="N20" s="2706"/>
      <c r="O20" s="2706"/>
      <c r="P20" s="2706"/>
    </row>
    <row r="21" spans="1:16">
      <c r="A21" s="2706"/>
      <c r="B21" s="2706"/>
      <c r="C21" s="2706"/>
      <c r="D21" s="2706"/>
      <c r="E21" s="2706"/>
      <c r="F21" s="2706"/>
      <c r="G21" s="2706"/>
      <c r="H21" s="2706"/>
      <c r="I21" s="2706"/>
      <c r="J21" s="2706"/>
      <c r="K21" s="2706"/>
      <c r="L21" s="2706"/>
      <c r="M21" s="2706"/>
      <c r="N21" s="2706"/>
      <c r="O21" s="2706"/>
      <c r="P21" s="270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84"/>
    <col min="2" max="6" width="9" style="2184" customWidth="1"/>
    <col min="7" max="7" width="9" style="2218"/>
    <col min="8" max="8" width="9" style="2184"/>
    <col min="9" max="12" width="9" style="2184" customWidth="1"/>
    <col min="13" max="13" width="2.25" style="2184" customWidth="1"/>
    <col min="14" max="14" width="9" style="2218" customWidth="1"/>
    <col min="15" max="17" width="9" style="2184" customWidth="1"/>
    <col min="18" max="18" width="2.375" style="2184" customWidth="1"/>
    <col min="19" max="19" width="7.125" style="2218"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6" customFormat="1">
      <c r="B1" s="3481" t="s">
        <v>877</v>
      </c>
      <c r="C1" s="3481"/>
      <c r="D1" s="3481"/>
      <c r="E1" s="3481"/>
      <c r="F1" s="3481"/>
      <c r="G1" s="3477" t="s">
        <v>878</v>
      </c>
      <c r="H1" s="3477"/>
      <c r="I1" s="3477"/>
      <c r="J1" s="3477"/>
      <c r="K1" s="3477"/>
      <c r="L1" s="3477"/>
      <c r="N1" s="3477" t="s">
        <v>879</v>
      </c>
      <c r="O1" s="3477"/>
      <c r="P1" s="3477"/>
      <c r="Q1" s="3477"/>
      <c r="S1" s="3477" t="s">
        <v>880</v>
      </c>
      <c r="T1" s="3477"/>
      <c r="U1" s="3477"/>
      <c r="V1" s="3477"/>
      <c r="X1" s="3476" t="s">
        <v>881</v>
      </c>
      <c r="Y1" s="3477"/>
      <c r="Z1" s="3477"/>
      <c r="AA1" s="3477"/>
      <c r="AB1" s="3477"/>
      <c r="AD1" s="3476" t="s">
        <v>882</v>
      </c>
      <c r="AE1" s="3477"/>
      <c r="AF1" s="3477"/>
      <c r="AG1" s="3477"/>
      <c r="AH1" s="3477"/>
    </row>
    <row r="2" spans="1:34" s="2167" customFormat="1" ht="14.25" thickBot="1">
      <c r="B2" s="2168" t="s">
        <v>883</v>
      </c>
      <c r="C2" s="2168" t="s">
        <v>884</v>
      </c>
      <c r="D2" s="2169" t="s">
        <v>885</v>
      </c>
      <c r="E2" s="2169" t="s">
        <v>886</v>
      </c>
      <c r="F2" s="2168" t="s">
        <v>887</v>
      </c>
      <c r="G2" s="2170"/>
      <c r="I2" s="2168" t="s">
        <v>883</v>
      </c>
      <c r="J2" s="2169" t="s">
        <v>1109</v>
      </c>
      <c r="K2" s="2169" t="s">
        <v>572</v>
      </c>
      <c r="L2" s="2168" t="s">
        <v>887</v>
      </c>
      <c r="N2" s="2168" t="s">
        <v>883</v>
      </c>
      <c r="O2" s="2169" t="s">
        <v>1109</v>
      </c>
      <c r="P2" s="2169" t="s">
        <v>572</v>
      </c>
      <c r="Q2" s="2168" t="s">
        <v>887</v>
      </c>
      <c r="S2" s="2168" t="s">
        <v>883</v>
      </c>
      <c r="T2" s="2169" t="s">
        <v>1109</v>
      </c>
      <c r="U2" s="2169" t="s">
        <v>572</v>
      </c>
      <c r="V2" s="2168" t="s">
        <v>887</v>
      </c>
      <c r="X2" s="2168" t="s">
        <v>883</v>
      </c>
      <c r="Y2" s="2168" t="s">
        <v>884</v>
      </c>
      <c r="Z2" s="2169" t="s">
        <v>885</v>
      </c>
      <c r="AA2" s="2169" t="s">
        <v>886</v>
      </c>
      <c r="AB2" s="2168" t="s">
        <v>887</v>
      </c>
      <c r="AD2" s="2168" t="s">
        <v>883</v>
      </c>
      <c r="AE2" s="2168" t="s">
        <v>884</v>
      </c>
      <c r="AF2" s="2169" t="s">
        <v>885</v>
      </c>
      <c r="AG2" s="2169" t="s">
        <v>886</v>
      </c>
      <c r="AH2" s="2168" t="s">
        <v>887</v>
      </c>
    </row>
    <row r="3" spans="1:34" s="2175" customFormat="1" ht="14.25">
      <c r="A3" s="2171" t="s">
        <v>2609</v>
      </c>
      <c r="B3" s="2172"/>
      <c r="C3" s="2172"/>
      <c r="D3" s="2173"/>
      <c r="E3" s="2173"/>
      <c r="F3" s="2172"/>
      <c r="G3" s="2174"/>
      <c r="I3" s="2176">
        <f>ROUND(AVERAGE($I4:$I37),2)</f>
        <v>1.64</v>
      </c>
      <c r="J3" s="2176">
        <f>ROUND(AVERAGE($J4:$J37),2)</f>
        <v>1.03</v>
      </c>
      <c r="K3" s="2176">
        <f>ROUND(AVERAGE($K4:$K37),2)</f>
        <v>1.81</v>
      </c>
      <c r="L3" s="2176">
        <f>ROUND(AVERAGE($L4:$L37),2)</f>
        <v>1.2</v>
      </c>
      <c r="N3" s="2174"/>
      <c r="S3" s="2174"/>
      <c r="W3" s="2177"/>
      <c r="X3" s="2178">
        <f>ROUND(SUMPRODUCT(PRODUCT(1+N3:N$36)),4)</f>
        <v>1.6585000000000001</v>
      </c>
      <c r="Y3" s="2178">
        <f>ROUND(SUMPRODUCT(PRODUCT(1+O3:O$36)),4)</f>
        <v>1.3676999999999999</v>
      </c>
      <c r="Z3" s="2178">
        <f t="shared" ref="Z3:Z34" si="0">Y3</f>
        <v>1.3676999999999999</v>
      </c>
      <c r="AA3" s="2178">
        <f>ROUND(SUMPRODUCT(PRODUCT(1+P3:P$36)),4)</f>
        <v>1.7434000000000001</v>
      </c>
      <c r="AB3" s="2178">
        <f>ROUND(SUMPRODUCT(PRODUCT(1+Q3:Q$36)),4)</f>
        <v>1.4609000000000001</v>
      </c>
      <c r="AD3" s="2179">
        <f>ROUND(AVERAGE(I3:I$37)/100,4)</f>
        <v>1.6400000000000001E-2</v>
      </c>
      <c r="AE3" s="2179">
        <f>ROUND(AVERAGE(J3:J$37)/100,4)</f>
        <v>1.03E-2</v>
      </c>
      <c r="AF3" s="2179">
        <f t="shared" ref="AF3:AF35" si="1">AE3</f>
        <v>1.03E-2</v>
      </c>
      <c r="AG3" s="2179">
        <f>ROUND(AVERAGE(K3:K$37)/100,4)</f>
        <v>1.8100000000000002E-2</v>
      </c>
      <c r="AH3" s="2179">
        <f>ROUND(AVERAGE(L3:L$37)/100,4)</f>
        <v>1.2E-2</v>
      </c>
    </row>
    <row r="4" spans="1:34" s="2166" customFormat="1" ht="14.25">
      <c r="B4" s="2180"/>
      <c r="C4" s="2180"/>
      <c r="D4" s="2181"/>
      <c r="E4" s="2181"/>
      <c r="F4" s="2180"/>
      <c r="G4" s="2182"/>
      <c r="I4" s="2183"/>
      <c r="J4" s="2183"/>
      <c r="K4" s="2183"/>
      <c r="L4" s="2183"/>
      <c r="N4" s="2182"/>
      <c r="S4" s="2182"/>
      <c r="X4" s="2184"/>
      <c r="Y4" s="2184"/>
      <c r="Z4" s="2184"/>
      <c r="AA4" s="2184"/>
      <c r="AB4" s="2184"/>
      <c r="AD4" s="2185"/>
      <c r="AE4" s="2185"/>
      <c r="AF4" s="2185"/>
      <c r="AG4" s="2185"/>
      <c r="AH4" s="2185"/>
    </row>
    <row r="5" spans="1:34" s="2191" customFormat="1">
      <c r="A5" s="2186" t="s">
        <v>2935</v>
      </c>
      <c r="B5" s="2187">
        <f t="shared" ref="B5" si="2">B6*(1+N5)</f>
        <v>510.07089659554606</v>
      </c>
      <c r="C5" s="2187">
        <f t="shared" ref="C5" si="3">C6*(1+O5)</f>
        <v>352.55593185737411</v>
      </c>
      <c r="D5" s="2187">
        <f t="shared" ref="D5" si="4">C5</f>
        <v>352.55593185737411</v>
      </c>
      <c r="E5" s="2187">
        <f t="shared" ref="E5" si="5">E6*(1+P5)</f>
        <v>737.27992463403655</v>
      </c>
      <c r="F5" s="2187">
        <f t="shared" ref="F5" si="6">F6*(1+Q5)</f>
        <v>335.88319198297864</v>
      </c>
      <c r="G5" s="2188">
        <v>2022</v>
      </c>
      <c r="H5" s="2189">
        <v>1</v>
      </c>
      <c r="I5" s="2190">
        <v>0</v>
      </c>
      <c r="J5" s="2190">
        <v>0</v>
      </c>
      <c r="K5" s="2190">
        <v>0</v>
      </c>
      <c r="L5" s="2190">
        <v>0</v>
      </c>
      <c r="N5" s="2192">
        <f t="shared" ref="N5" si="7">I5/100</f>
        <v>0</v>
      </c>
      <c r="O5" s="2192">
        <f t="shared" ref="O5" si="8">J5/100</f>
        <v>0</v>
      </c>
      <c r="P5" s="2192">
        <f t="shared" ref="P5" si="9">K5/100</f>
        <v>0</v>
      </c>
      <c r="Q5" s="2192">
        <f t="shared" ref="Q5" si="10">L5/100</f>
        <v>0</v>
      </c>
      <c r="S5" s="2193"/>
      <c r="W5" s="2194" t="s">
        <v>2610</v>
      </c>
      <c r="X5" s="2195">
        <f>ROUND(IF(项目基本情况!B1="出让",SUMPRODUCT(PRODUCT(1+N5:N$37)),SUMPRODUCT(PRODUCT(1+N5:N$36))),4)</f>
        <v>1.6585000000000001</v>
      </c>
      <c r="Y5" s="2195">
        <f>ROUND(IF(项目基本情况!B1="出让",SUMPRODUCT(PRODUCT(1+O5:O$37)),SUMPRODUCT(PRODUCT(1+O5:O$36))),4)</f>
        <v>1.3676999999999999</v>
      </c>
      <c r="Z5" s="2195">
        <f t="shared" ref="Z5" si="11">Y5</f>
        <v>1.3676999999999999</v>
      </c>
      <c r="AA5" s="2195">
        <f>ROUND(IF(项目基本情况!B1="出让",SUMPRODUCT(PRODUCT(1+P5:P$37)),SUMPRODUCT(PRODUCT(1+P5:P$36))),4)</f>
        <v>1.7434000000000001</v>
      </c>
      <c r="AB5" s="2195">
        <f>ROUND(IF(项目基本情况!B1="出让",SUMPRODUCT(PRODUCT(1+Q5:Q$37)),SUMPRODUCT(PRODUCT(1+Q5:Q$36))),4)</f>
        <v>1.4609000000000001</v>
      </c>
      <c r="AD5" s="2196">
        <f>ROUND(AVERAGE(I5:I$37)/100,4)</f>
        <v>1.6400000000000001E-2</v>
      </c>
      <c r="AE5" s="2196">
        <f>ROUND(AVERAGE(J5:J$37)/100,4)</f>
        <v>1.03E-2</v>
      </c>
      <c r="AF5" s="2196">
        <f t="shared" ref="AF5" si="12">AE5</f>
        <v>1.03E-2</v>
      </c>
      <c r="AG5" s="2196">
        <f>ROUND(AVERAGE(K5:K$37)/100,4)</f>
        <v>1.8100000000000002E-2</v>
      </c>
      <c r="AH5" s="2196">
        <f>ROUND(AVERAGE(L5:L$37)/100,4)</f>
        <v>1.2E-2</v>
      </c>
    </row>
    <row r="6" spans="1:34" s="2202" customFormat="1">
      <c r="A6" s="2197" t="s">
        <v>2934</v>
      </c>
      <c r="B6" s="2198">
        <f t="shared" ref="B6" si="13">B7*(1+N6)</f>
        <v>510.07089659554606</v>
      </c>
      <c r="C6" s="2198">
        <f t="shared" ref="C6" si="14">C7*(1+O6)</f>
        <v>352.55593185737411</v>
      </c>
      <c r="D6" s="2198">
        <f t="shared" ref="D6" si="15">C6</f>
        <v>352.55593185737411</v>
      </c>
      <c r="E6" s="2198">
        <f t="shared" ref="E6" si="16">E7*(1+P6)</f>
        <v>737.27992463403655</v>
      </c>
      <c r="F6" s="2198">
        <f t="shared" ref="F6" si="17">F7*(1+Q6)</f>
        <v>335.88319198297864</v>
      </c>
      <c r="G6" s="2188">
        <v>2021</v>
      </c>
      <c r="H6" s="2199">
        <v>4</v>
      </c>
      <c r="I6" s="2164">
        <v>1.03</v>
      </c>
      <c r="J6" s="2164">
        <v>0.24</v>
      </c>
      <c r="K6" s="2164">
        <v>1.17</v>
      </c>
      <c r="L6" s="2165">
        <v>0.55000000000000004</v>
      </c>
      <c r="M6" s="2184"/>
      <c r="N6" s="2200">
        <f t="shared" ref="N6" si="18">I6/100</f>
        <v>1.03E-2</v>
      </c>
      <c r="O6" s="2185">
        <f t="shared" ref="O6" si="19">J6/100</f>
        <v>2.3999999999999998E-3</v>
      </c>
      <c r="P6" s="2185">
        <f t="shared" ref="P6" si="20">K6/100</f>
        <v>1.1699999999999999E-2</v>
      </c>
      <c r="Q6" s="2185">
        <f t="shared" ref="Q6" si="21">L6/100</f>
        <v>5.5000000000000005E-3</v>
      </c>
      <c r="R6" s="2201"/>
      <c r="S6" s="2200"/>
      <c r="T6" s="2185"/>
      <c r="U6" s="2185"/>
      <c r="V6" s="2185"/>
      <c r="W6" s="2184"/>
      <c r="X6" s="2184">
        <f>ROUND(IF(项目基本情况!B2="出让",SUMPRODUCT(PRODUCT(1+N6:N$37)),SUMPRODUCT(PRODUCT(1+N6:N$36))),4)</f>
        <v>1.6585000000000001</v>
      </c>
      <c r="Y6" s="2184">
        <f>ROUND(IF(项目基本情况!B2="出让",SUMPRODUCT(PRODUCT(1+O6:O$37)),SUMPRODUCT(PRODUCT(1+O6:O$36))),4)</f>
        <v>1.3676999999999999</v>
      </c>
      <c r="Z6" s="2184">
        <f t="shared" ref="Z6" si="22">Y6</f>
        <v>1.3676999999999999</v>
      </c>
      <c r="AA6" s="2184">
        <f>ROUND(IF(项目基本情况!B2="出让",SUMPRODUCT(PRODUCT(1+P6:P$37)),SUMPRODUCT(PRODUCT(1+P6:P$36))),4)</f>
        <v>1.7434000000000001</v>
      </c>
      <c r="AB6" s="2184">
        <f>ROUND(IF(项目基本情况!B2="出让",SUMPRODUCT(PRODUCT(1+Q6:Q$37)),SUMPRODUCT(PRODUCT(1+Q6:Q$36))),4)</f>
        <v>1.4609000000000001</v>
      </c>
      <c r="AC6" s="2184"/>
      <c r="AD6" s="2185">
        <f>ROUND(AVERAGE(I6:I$37)/100,4)</f>
        <v>1.6899999999999998E-2</v>
      </c>
      <c r="AE6" s="2185">
        <f>ROUND(AVERAGE(J6:J$37)/100,4)</f>
        <v>1.06E-2</v>
      </c>
      <c r="AF6" s="2185">
        <f t="shared" ref="AF6" si="23">AE6</f>
        <v>1.06E-2</v>
      </c>
      <c r="AG6" s="2185">
        <f>ROUND(AVERAGE(K6:K$37)/100,4)</f>
        <v>1.8700000000000001E-2</v>
      </c>
      <c r="AH6" s="2185">
        <f>ROUND(AVERAGE(L6:L$37)/100,4)</f>
        <v>1.24E-2</v>
      </c>
    </row>
    <row r="7" spans="1:34" s="2202" customFormat="1">
      <c r="A7" s="2197" t="s">
        <v>2811</v>
      </c>
      <c r="B7" s="2198">
        <f t="shared" ref="B7" si="24">B8*(1+N7)</f>
        <v>504.87072809615569</v>
      </c>
      <c r="C7" s="2198">
        <f t="shared" ref="C7" si="25">C8*(1+O7)</f>
        <v>351.71182348101968</v>
      </c>
      <c r="D7" s="2198">
        <f t="shared" ref="D7" si="26">C7</f>
        <v>351.71182348101968</v>
      </c>
      <c r="E7" s="2198">
        <f t="shared" ref="E7" si="27">E8*(1+P7)</f>
        <v>728.75350858360832</v>
      </c>
      <c r="F7" s="2198">
        <f t="shared" ref="F7" si="28">F8*(1+Q7)</f>
        <v>334.04593931673656</v>
      </c>
      <c r="G7" s="2188">
        <v>2021</v>
      </c>
      <c r="H7" s="2199">
        <v>3</v>
      </c>
      <c r="I7" s="2164">
        <v>0.47</v>
      </c>
      <c r="J7" s="2164">
        <v>0.41</v>
      </c>
      <c r="K7" s="2164">
        <v>0.48</v>
      </c>
      <c r="L7" s="2165">
        <v>0.48</v>
      </c>
      <c r="M7" s="2184"/>
      <c r="N7" s="2200">
        <f t="shared" ref="N7" si="29">I7/100</f>
        <v>4.6999999999999993E-3</v>
      </c>
      <c r="O7" s="2185">
        <f t="shared" ref="O7" si="30">J7/100</f>
        <v>4.0999999999999995E-3</v>
      </c>
      <c r="P7" s="2185">
        <f t="shared" ref="P7" si="31">K7/100</f>
        <v>4.7999999999999996E-3</v>
      </c>
      <c r="Q7" s="2185">
        <f t="shared" ref="Q7" si="32">L7/100</f>
        <v>4.7999999999999996E-3</v>
      </c>
      <c r="R7" s="2201"/>
      <c r="S7" s="2200"/>
      <c r="T7" s="2185"/>
      <c r="U7" s="2185"/>
      <c r="V7" s="2185"/>
      <c r="W7" s="2184"/>
      <c r="X7" s="2184">
        <f>ROUND(IF(项目基本情况!B3="出让",SUMPRODUCT(PRODUCT(1+N7:N$37)),SUMPRODUCT(PRODUCT(1+N7:N$36))),4)</f>
        <v>1.6415999999999999</v>
      </c>
      <c r="Y7" s="2184">
        <f>ROUND(IF(项目基本情况!B3="出让",SUMPRODUCT(PRODUCT(1+O7:O$37)),SUMPRODUCT(PRODUCT(1+O7:O$36))),4)</f>
        <v>1.3644000000000001</v>
      </c>
      <c r="Z7" s="2184">
        <f t="shared" ref="Z7" si="33">Y7</f>
        <v>1.3644000000000001</v>
      </c>
      <c r="AA7" s="2184">
        <f>ROUND(IF(项目基本情况!B3="出让",SUMPRODUCT(PRODUCT(1+P7:P$37)),SUMPRODUCT(PRODUCT(1+P7:P$36))),4)</f>
        <v>1.7232000000000001</v>
      </c>
      <c r="AB7" s="2184">
        <f>ROUND(IF(项目基本情况!B3="出让",SUMPRODUCT(PRODUCT(1+Q7:Q$37)),SUMPRODUCT(PRODUCT(1+Q7:Q$36))),4)</f>
        <v>1.4529000000000001</v>
      </c>
      <c r="AC7" s="2184"/>
      <c r="AD7" s="2185">
        <f>ROUND(AVERAGE(I7:I$37)/100,4)</f>
        <v>1.72E-2</v>
      </c>
      <c r="AE7" s="2185">
        <f>ROUND(AVERAGE(J7:J$37)/100,4)</f>
        <v>1.09E-2</v>
      </c>
      <c r="AF7" s="2185">
        <f t="shared" ref="AF7" si="34">AE7</f>
        <v>1.09E-2</v>
      </c>
      <c r="AG7" s="2185">
        <f>ROUND(AVERAGE(K7:K$37)/100,4)</f>
        <v>1.89E-2</v>
      </c>
      <c r="AH7" s="2185">
        <f>ROUND(AVERAGE(L7:L$37)/100,4)</f>
        <v>1.26E-2</v>
      </c>
    </row>
    <row r="8" spans="1:34" s="2202" customFormat="1">
      <c r="A8" s="2197" t="s">
        <v>2810</v>
      </c>
      <c r="B8" s="2198">
        <f t="shared" ref="B8" si="35">B9*(1+N8)</f>
        <v>502.50893609650217</v>
      </c>
      <c r="C8" s="2198">
        <f t="shared" ref="C8" si="36">C9*(1+O8)</f>
        <v>350.27569313914915</v>
      </c>
      <c r="D8" s="2198">
        <f t="shared" ref="D8" si="37">C8</f>
        <v>350.27569313914915</v>
      </c>
      <c r="E8" s="2198">
        <f t="shared" ref="E8" si="38">E9*(1+P8)</f>
        <v>725.27220201394141</v>
      </c>
      <c r="F8" s="2198">
        <f t="shared" ref="F8" si="39">F9*(1+Q8)</f>
        <v>332.45017846012797</v>
      </c>
      <c r="G8" s="2188">
        <v>2021</v>
      </c>
      <c r="H8" s="2199">
        <v>2</v>
      </c>
      <c r="I8" s="2164">
        <v>0.92</v>
      </c>
      <c r="J8" s="2164">
        <v>0.72</v>
      </c>
      <c r="K8" s="2164">
        <v>0.95</v>
      </c>
      <c r="L8" s="2165">
        <v>1.01</v>
      </c>
      <c r="M8" s="2184"/>
      <c r="N8" s="2200">
        <f t="shared" ref="N8" si="40">I8/100</f>
        <v>9.1999999999999998E-3</v>
      </c>
      <c r="O8" s="2185">
        <f t="shared" ref="O8" si="41">J8/100</f>
        <v>7.1999999999999998E-3</v>
      </c>
      <c r="P8" s="2185">
        <f t="shared" ref="P8" si="42">K8/100</f>
        <v>9.4999999999999998E-3</v>
      </c>
      <c r="Q8" s="2185">
        <f t="shared" ref="Q8" si="43">L8/100</f>
        <v>1.01E-2</v>
      </c>
      <c r="R8" s="2201"/>
      <c r="S8" s="2200"/>
      <c r="T8" s="2185"/>
      <c r="U8" s="2185"/>
      <c r="V8" s="2185"/>
      <c r="W8" s="2184"/>
      <c r="X8" s="2184">
        <f>ROUND(IF(项目基本情况!B4="出让",SUMPRODUCT(PRODUCT(1+N8:N$37)),SUMPRODUCT(PRODUCT(1+N8:N$36))),4)</f>
        <v>1.6338999999999999</v>
      </c>
      <c r="Y8" s="2184">
        <f>ROUND(IF(项目基本情况!B4="出让",SUMPRODUCT(PRODUCT(1+O8:O$37)),SUMPRODUCT(PRODUCT(1+O8:O$36))),4)</f>
        <v>1.3588</v>
      </c>
      <c r="Z8" s="2184">
        <f t="shared" ref="Z8" si="44">Y8</f>
        <v>1.3588</v>
      </c>
      <c r="AA8" s="2184">
        <f>ROUND(IF(项目基本情况!B4="出让",SUMPRODUCT(PRODUCT(1+P8:P$37)),SUMPRODUCT(PRODUCT(1+P8:P$36))),4)</f>
        <v>1.7150000000000001</v>
      </c>
      <c r="AB8" s="2184">
        <f>ROUND(IF(项目基本情况!B4="出让",SUMPRODUCT(PRODUCT(1+Q8:Q$37)),SUMPRODUCT(PRODUCT(1+Q8:Q$36))),4)</f>
        <v>1.446</v>
      </c>
      <c r="AC8" s="2184"/>
      <c r="AD8" s="2185">
        <f>ROUND(AVERAGE(I8:I$37)/100,4)</f>
        <v>1.7600000000000001E-2</v>
      </c>
      <c r="AE8" s="2185">
        <f>ROUND(AVERAGE(J8:J$37)/100,4)</f>
        <v>1.11E-2</v>
      </c>
      <c r="AF8" s="2185">
        <f t="shared" ref="AF8" si="45">AE8</f>
        <v>1.11E-2</v>
      </c>
      <c r="AG8" s="2185">
        <f>ROUND(AVERAGE(K8:K$37)/100,4)</f>
        <v>1.9400000000000001E-2</v>
      </c>
      <c r="AH8" s="2185">
        <f>ROUND(AVERAGE(L8:L$37)/100,4)</f>
        <v>1.2800000000000001E-2</v>
      </c>
    </row>
    <row r="9" spans="1:34" s="2202" customFormat="1">
      <c r="A9" s="2197" t="s">
        <v>2809</v>
      </c>
      <c r="B9" s="2198">
        <f t="shared" ref="B9" si="46">B10*(1+N9)</f>
        <v>497.92799851020823</v>
      </c>
      <c r="C9" s="2198">
        <f t="shared" ref="C9" si="47">C10*(1+O9)</f>
        <v>347.77173663537445</v>
      </c>
      <c r="D9" s="2198">
        <f t="shared" ref="D9" si="48">C9</f>
        <v>347.77173663537445</v>
      </c>
      <c r="E9" s="2198">
        <f t="shared" ref="E9" si="49">E10*(1+P9)</f>
        <v>718.44695593258189</v>
      </c>
      <c r="F9" s="2198">
        <f t="shared" ref="F9" si="50">F10*(1+Q9)</f>
        <v>329.12600580153247</v>
      </c>
      <c r="G9" s="2188">
        <v>2021</v>
      </c>
      <c r="H9" s="2199">
        <v>1</v>
      </c>
      <c r="I9" s="2164">
        <v>0.97</v>
      </c>
      <c r="J9" s="2164">
        <v>0.16</v>
      </c>
      <c r="K9" s="2164">
        <v>1.1100000000000001</v>
      </c>
      <c r="L9" s="2165">
        <v>0.36</v>
      </c>
      <c r="M9" s="2184"/>
      <c r="N9" s="2200">
        <f t="shared" ref="N9" si="51">I9/100</f>
        <v>9.7000000000000003E-3</v>
      </c>
      <c r="O9" s="2185">
        <f t="shared" ref="O9" si="52">J9/100</f>
        <v>1.6000000000000001E-3</v>
      </c>
      <c r="P9" s="2185">
        <f t="shared" ref="P9" si="53">K9/100</f>
        <v>1.11E-2</v>
      </c>
      <c r="Q9" s="2185">
        <f t="shared" ref="Q9" si="54">L9/100</f>
        <v>3.5999999999999999E-3</v>
      </c>
      <c r="R9" s="2201"/>
      <c r="S9" s="2200">
        <f>B9/B10-1</f>
        <v>9.7000000000000419E-3</v>
      </c>
      <c r="T9" s="2185">
        <f t="shared" ref="T9" si="55">C9/C10-1</f>
        <v>1.6000000000000458E-3</v>
      </c>
      <c r="U9" s="2185">
        <f t="shared" ref="U9" si="56">D9/D10-1</f>
        <v>1.6000000000000458E-3</v>
      </c>
      <c r="V9" s="2185">
        <f t="shared" ref="V9" si="57">E9/E10-1</f>
        <v>1.110000000000011E-2</v>
      </c>
      <c r="W9" s="2184"/>
      <c r="X9" s="2184">
        <f>ROUND(IF(项目基本情况!B5="出让",SUMPRODUCT(PRODUCT(1+N9:N$37)),SUMPRODUCT(PRODUCT(1+N9:N$36))),4)</f>
        <v>1.619</v>
      </c>
      <c r="Y9" s="2184">
        <f>ROUND(IF(项目基本情况!B5="出让",SUMPRODUCT(PRODUCT(1+O9:O$37)),SUMPRODUCT(PRODUCT(1+O9:O$36))),4)</f>
        <v>1.3491</v>
      </c>
      <c r="Z9" s="2184">
        <f t="shared" ref="Z9" si="58">Y9</f>
        <v>1.3491</v>
      </c>
      <c r="AA9" s="2184">
        <f>ROUND(IF(项目基本情况!B5="出让",SUMPRODUCT(PRODUCT(1+P9:P$37)),SUMPRODUCT(PRODUCT(1+P9:P$36))),4)</f>
        <v>1.6988000000000001</v>
      </c>
      <c r="AB9" s="2184">
        <f>ROUND(IF(项目基本情况!B5="出让",SUMPRODUCT(PRODUCT(1+Q9:Q$37)),SUMPRODUCT(PRODUCT(1+Q9:Q$36))),4)</f>
        <v>1.4315</v>
      </c>
      <c r="AC9" s="2184"/>
      <c r="AD9" s="2185">
        <f>ROUND(AVERAGE(I9:I$37)/100,4)</f>
        <v>1.7899999999999999E-2</v>
      </c>
      <c r="AE9" s="2185">
        <f>ROUND(AVERAGE(J9:J$37)/100,4)</f>
        <v>1.12E-2</v>
      </c>
      <c r="AF9" s="2185">
        <f t="shared" ref="AF9" si="59">AE9</f>
        <v>1.12E-2</v>
      </c>
      <c r="AG9" s="2185">
        <f>ROUND(AVERAGE(K9:K$37)/100,4)</f>
        <v>1.9699999999999999E-2</v>
      </c>
      <c r="AH9" s="2185">
        <f>ROUND(AVERAGE(L9:L$37)/100,4)</f>
        <v>1.29E-2</v>
      </c>
    </row>
    <row r="10" spans="1:34" s="2202" customFormat="1">
      <c r="A10" s="2197" t="s">
        <v>2807</v>
      </c>
      <c r="B10" s="2198">
        <f t="shared" ref="B10" si="60">B11*(1+N10)</f>
        <v>493.14449689037161</v>
      </c>
      <c r="C10" s="2198">
        <f t="shared" ref="C10" si="61">C11*(1+O10)</f>
        <v>347.21619073020611</v>
      </c>
      <c r="D10" s="2198">
        <f t="shared" ref="D10" si="62">C10</f>
        <v>347.21619073020611</v>
      </c>
      <c r="E10" s="2198">
        <f t="shared" ref="E10" si="63">E11*(1+P10)</f>
        <v>710.55974278763904</v>
      </c>
      <c r="F10" s="2198">
        <f t="shared" ref="F10" si="64">F11*(1+Q10)</f>
        <v>327.94540235306141</v>
      </c>
      <c r="G10" s="2188">
        <v>2020</v>
      </c>
      <c r="H10" s="2199">
        <v>4</v>
      </c>
      <c r="I10" s="2164">
        <v>2.0699999999999998</v>
      </c>
      <c r="J10" s="2164">
        <v>0.37</v>
      </c>
      <c r="K10" s="2164">
        <v>2.35</v>
      </c>
      <c r="L10" s="2165">
        <v>2.69</v>
      </c>
      <c r="M10" s="2184"/>
      <c r="N10" s="2200">
        <f t="shared" ref="N10" si="65">I10/100</f>
        <v>2.07E-2</v>
      </c>
      <c r="O10" s="2185">
        <f t="shared" ref="O10" si="66">J10/100</f>
        <v>3.7000000000000002E-3</v>
      </c>
      <c r="P10" s="2185">
        <f t="shared" ref="P10" si="67">K10/100</f>
        <v>2.35E-2</v>
      </c>
      <c r="Q10" s="2185">
        <f t="shared" ref="Q10" si="68">L10/100</f>
        <v>2.69E-2</v>
      </c>
      <c r="R10" s="2201"/>
      <c r="S10" s="2200"/>
      <c r="T10" s="2185"/>
      <c r="U10" s="2185"/>
      <c r="V10" s="2185"/>
      <c r="W10" s="2184"/>
      <c r="X10" s="2184">
        <f>ROUND(IF(项目基本情况!B6="出让",SUMPRODUCT(PRODUCT(1+N10:N$37)),SUMPRODUCT(PRODUCT(1+N10:N$36))),4)</f>
        <v>1.6034999999999999</v>
      </c>
      <c r="Y10" s="2184">
        <f>ROUND(IF(项目基本情况!B6="出让",SUMPRODUCT(PRODUCT(1+O10:O$37)),SUMPRODUCT(PRODUCT(1+O10:O$36))),4)</f>
        <v>1.3469</v>
      </c>
      <c r="Z10" s="2184">
        <f t="shared" ref="Z10" si="69">Y10</f>
        <v>1.3469</v>
      </c>
      <c r="AA10" s="2184">
        <f>ROUND(IF(项目基本情况!B6="出让",SUMPRODUCT(PRODUCT(1+P10:P$37)),SUMPRODUCT(PRODUCT(1+P10:P$36))),4)</f>
        <v>1.6801999999999999</v>
      </c>
      <c r="AB10" s="2184">
        <f>ROUND(IF(项目基本情况!B6="出让",SUMPRODUCT(PRODUCT(1+Q10:Q$37)),SUMPRODUCT(PRODUCT(1+Q10:Q$36))),4)</f>
        <v>1.4263999999999999</v>
      </c>
      <c r="AC10" s="2184"/>
      <c r="AD10" s="2185">
        <f>ROUND(AVERAGE(I10:I$37)/100,4)</f>
        <v>1.8200000000000001E-2</v>
      </c>
      <c r="AE10" s="2185">
        <f>ROUND(AVERAGE(J10:J$37)/100,4)</f>
        <v>1.1599999999999999E-2</v>
      </c>
      <c r="AF10" s="2185">
        <f t="shared" ref="AF10" si="70">AE10</f>
        <v>1.1599999999999999E-2</v>
      </c>
      <c r="AG10" s="2185">
        <f>ROUND(AVERAGE(K10:K$37)/100,4)</f>
        <v>0.02</v>
      </c>
      <c r="AH10" s="2185">
        <f>ROUND(AVERAGE(L10:L$37)/100,4)</f>
        <v>1.3299999999999999E-2</v>
      </c>
    </row>
    <row r="11" spans="1:34" s="2202" customFormat="1">
      <c r="A11" s="2197" t="s">
        <v>2806</v>
      </c>
      <c r="B11" s="2198">
        <f t="shared" ref="B11" si="71">B12*(1+N11)</f>
        <v>483.1434279321756</v>
      </c>
      <c r="C11" s="2198">
        <f t="shared" ref="C11" si="72">C12*(1+O11)</f>
        <v>345.93622669144776</v>
      </c>
      <c r="D11" s="2198">
        <f t="shared" ref="D11" si="73">C11</f>
        <v>345.93622669144776</v>
      </c>
      <c r="E11" s="2198">
        <f t="shared" ref="E11" si="74">E12*(1+P11)</f>
        <v>694.24498562544113</v>
      </c>
      <c r="F11" s="2198">
        <f t="shared" ref="F11" si="75">F12*(1+Q11)</f>
        <v>319.35475932716082</v>
      </c>
      <c r="G11" s="2188">
        <v>2020</v>
      </c>
      <c r="H11" s="2199">
        <v>3</v>
      </c>
      <c r="I11" s="2164">
        <v>0.36</v>
      </c>
      <c r="J11" s="2164">
        <v>-0.39</v>
      </c>
      <c r="K11" s="2164">
        <v>0.49</v>
      </c>
      <c r="L11" s="2165">
        <v>7.0000000000000007E-2</v>
      </c>
      <c r="M11" s="2184"/>
      <c r="N11" s="2200">
        <f t="shared" ref="N11" si="76">I11/100</f>
        <v>3.5999999999999999E-3</v>
      </c>
      <c r="O11" s="2185">
        <f t="shared" ref="O11" si="77">J11/100</f>
        <v>-3.9000000000000003E-3</v>
      </c>
      <c r="P11" s="2185">
        <f t="shared" ref="P11" si="78">K11/100</f>
        <v>4.8999999999999998E-3</v>
      </c>
      <c r="Q11" s="2185">
        <f t="shared" ref="Q11" si="79">L11/100</f>
        <v>7.000000000000001E-4</v>
      </c>
      <c r="R11" s="2201"/>
      <c r="S11" s="2200"/>
      <c r="T11" s="2185"/>
      <c r="U11" s="2185"/>
      <c r="V11" s="2185"/>
      <c r="W11" s="2184"/>
      <c r="X11" s="2184">
        <f>ROUND(IF(项目基本情况!B7="出让",SUMPRODUCT(PRODUCT(1+N11:N$37)),SUMPRODUCT(PRODUCT(1+N11:N$36))),4)</f>
        <v>1.571</v>
      </c>
      <c r="Y11" s="2184">
        <f>ROUND(IF(项目基本情况!B7="出让",SUMPRODUCT(PRODUCT(1+O11:O$37)),SUMPRODUCT(PRODUCT(1+O11:O$36))),4)</f>
        <v>1.3420000000000001</v>
      </c>
      <c r="Z11" s="2184">
        <f t="shared" ref="Z11" si="80">Y11</f>
        <v>1.3420000000000001</v>
      </c>
      <c r="AA11" s="2184">
        <f>ROUND(IF(项目基本情况!B7="出让",SUMPRODUCT(PRODUCT(1+P11:P$37)),SUMPRODUCT(PRODUCT(1+P11:P$36))),4)</f>
        <v>1.6415999999999999</v>
      </c>
      <c r="AB11" s="2184">
        <f>ROUND(IF(项目基本情况!B7="出让",SUMPRODUCT(PRODUCT(1+Q11:Q$37)),SUMPRODUCT(PRODUCT(1+Q11:Q$36))),4)</f>
        <v>1.389</v>
      </c>
      <c r="AC11" s="2184"/>
      <c r="AD11" s="2185">
        <f>ROUND(AVERAGE(I11:I$37)/100,4)</f>
        <v>1.8100000000000002E-2</v>
      </c>
      <c r="AE11" s="2185">
        <f>ROUND(AVERAGE(J11:J$37)/100,4)</f>
        <v>1.1900000000000001E-2</v>
      </c>
      <c r="AF11" s="2185">
        <f t="shared" ref="AF11" si="81">AE11</f>
        <v>1.1900000000000001E-2</v>
      </c>
      <c r="AG11" s="2185">
        <f>ROUND(AVERAGE(K11:K$37)/100,4)</f>
        <v>1.9900000000000001E-2</v>
      </c>
      <c r="AH11" s="2185">
        <f>ROUND(AVERAGE(L11:L$37)/100,4)</f>
        <v>1.2800000000000001E-2</v>
      </c>
    </row>
    <row r="12" spans="1:34" s="2202" customFormat="1">
      <c r="A12" s="2197" t="s">
        <v>2626</v>
      </c>
      <c r="B12" s="2198">
        <f t="shared" ref="B12" si="82">B13*(1+N12)</f>
        <v>481.4103506697644</v>
      </c>
      <c r="C12" s="2198">
        <f t="shared" ref="C12" si="83">C13*(1+O12)</f>
        <v>347.29066026648707</v>
      </c>
      <c r="D12" s="2198">
        <f t="shared" ref="D12" si="84">C12</f>
        <v>347.29066026648707</v>
      </c>
      <c r="E12" s="2198">
        <f t="shared" ref="E12" si="85">E13*(1+P12)</f>
        <v>690.85977273901995</v>
      </c>
      <c r="F12" s="2198">
        <f t="shared" ref="F12" si="86">F13*(1+Q12)</f>
        <v>319.13136737000184</v>
      </c>
      <c r="G12" s="2188">
        <v>2020</v>
      </c>
      <c r="H12" s="2199">
        <v>2</v>
      </c>
      <c r="I12" s="2164">
        <v>0.31</v>
      </c>
      <c r="J12" s="2164">
        <v>-0.78</v>
      </c>
      <c r="K12" s="2164">
        <v>0.5</v>
      </c>
      <c r="L12" s="2165">
        <v>0.47</v>
      </c>
      <c r="M12" s="2184"/>
      <c r="N12" s="2200">
        <f t="shared" ref="N12" si="87">I12/100</f>
        <v>3.0999999999999999E-3</v>
      </c>
      <c r="O12" s="2185">
        <f t="shared" ref="O12" si="88">J12/100</f>
        <v>-7.8000000000000005E-3</v>
      </c>
      <c r="P12" s="2185">
        <f t="shared" ref="P12" si="89">K12/100</f>
        <v>5.0000000000000001E-3</v>
      </c>
      <c r="Q12" s="2185">
        <f t="shared" ref="Q12" si="90">L12/100</f>
        <v>4.6999999999999993E-3</v>
      </c>
      <c r="R12" s="2201"/>
      <c r="S12" s="2200"/>
      <c r="T12" s="2185"/>
      <c r="U12" s="2185"/>
      <c r="V12" s="2185"/>
      <c r="W12" s="2184"/>
      <c r="X12" s="2184">
        <f>ROUND(IF(项目基本情况!B8="出让",SUMPRODUCT(PRODUCT(1+N12:N$37)),SUMPRODUCT(PRODUCT(1+N12:N$36))),4)</f>
        <v>1.5652999999999999</v>
      </c>
      <c r="Y12" s="2184">
        <f>ROUND(IF(项目基本情况!B8="出让",SUMPRODUCT(PRODUCT(1+O12:O$37)),SUMPRODUCT(PRODUCT(1+O12:O$36))),4)</f>
        <v>1.3472</v>
      </c>
      <c r="Z12" s="2184">
        <f t="shared" ref="Z12" si="91">Y12</f>
        <v>1.3472</v>
      </c>
      <c r="AA12" s="2184">
        <f>ROUND(IF(项目基本情况!B8="出让",SUMPRODUCT(PRODUCT(1+P12:P$37)),SUMPRODUCT(PRODUCT(1+P12:P$36))),4)</f>
        <v>1.6335999999999999</v>
      </c>
      <c r="AB12" s="2184">
        <f>ROUND(IF(项目基本情况!B8="出让",SUMPRODUCT(PRODUCT(1+Q12:Q$37)),SUMPRODUCT(PRODUCT(1+Q12:Q$36))),4)</f>
        <v>1.3880999999999999</v>
      </c>
      <c r="AC12" s="2184"/>
      <c r="AD12" s="2185">
        <f>ROUND(AVERAGE(I12:I$37)/100,4)</f>
        <v>1.8599999999999998E-2</v>
      </c>
      <c r="AE12" s="2185">
        <f>ROUND(AVERAGE(J12:J$37)/100,4)</f>
        <v>1.2500000000000001E-2</v>
      </c>
      <c r="AF12" s="2185">
        <f t="shared" ref="AF12" si="92">AE12</f>
        <v>1.2500000000000001E-2</v>
      </c>
      <c r="AG12" s="2185">
        <f>ROUND(AVERAGE(K12:K$37)/100,4)</f>
        <v>2.0400000000000001E-2</v>
      </c>
      <c r="AH12" s="2185">
        <f>ROUND(AVERAGE(L12:L$37)/100,4)</f>
        <v>1.32E-2</v>
      </c>
    </row>
    <row r="13" spans="1:34" s="2202" customFormat="1">
      <c r="A13" s="2197" t="s">
        <v>2624</v>
      </c>
      <c r="B13" s="2198">
        <f t="shared" ref="B13" si="93">B14*(1+N13)</f>
        <v>479.92259063878413</v>
      </c>
      <c r="C13" s="2198">
        <f t="shared" ref="C13" si="94">C14*(1+O13)</f>
        <v>350.02082268341775</v>
      </c>
      <c r="D13" s="2198">
        <f t="shared" ref="D13" si="95">C13</f>
        <v>350.02082268341775</v>
      </c>
      <c r="E13" s="2198">
        <f t="shared" ref="E13" si="96">E14*(1+P13)</f>
        <v>687.42265944181099</v>
      </c>
      <c r="F13" s="2198">
        <f t="shared" ref="F13" si="97">F14*(1+Q13)</f>
        <v>317.63846657708956</v>
      </c>
      <c r="G13" s="2188">
        <v>2020</v>
      </c>
      <c r="H13" s="2199">
        <v>1</v>
      </c>
      <c r="I13" s="2164">
        <v>0.12</v>
      </c>
      <c r="J13" s="2164">
        <v>-0.4</v>
      </c>
      <c r="K13" s="2164">
        <v>0.21</v>
      </c>
      <c r="L13" s="2165">
        <v>0.27</v>
      </c>
      <c r="M13" s="2184"/>
      <c r="N13" s="2200">
        <f t="shared" ref="N13" si="98">I13/100</f>
        <v>1.1999999999999999E-3</v>
      </c>
      <c r="O13" s="2185">
        <f t="shared" ref="O13" si="99">J13/100</f>
        <v>-4.0000000000000001E-3</v>
      </c>
      <c r="P13" s="2185">
        <f t="shared" ref="P13" si="100">K13/100</f>
        <v>2.0999999999999999E-3</v>
      </c>
      <c r="Q13" s="2185">
        <f t="shared" ref="Q13" si="101">L13/100</f>
        <v>2.7000000000000001E-3</v>
      </c>
      <c r="R13" s="2201"/>
      <c r="S13" s="2200">
        <f>B13/B14-1</f>
        <v>1.2000000000000899E-3</v>
      </c>
      <c r="T13" s="2185">
        <f t="shared" ref="T13" si="102">C13/C14-1</f>
        <v>-4.0000000000000036E-3</v>
      </c>
      <c r="U13" s="2185">
        <f t="shared" ref="U13" si="103">D13/D14-1</f>
        <v>-4.0000000000000036E-3</v>
      </c>
      <c r="V13" s="2185">
        <f t="shared" ref="V13" si="104">E13/E14-1</f>
        <v>2.0999999999999908E-3</v>
      </c>
      <c r="W13" s="2184"/>
      <c r="X13" s="2184">
        <f>ROUND(IF(项目基本情况!B8="出让",SUMPRODUCT(PRODUCT(1+N13:N$37)),SUMPRODUCT(PRODUCT(1+N13:N$36))),4)</f>
        <v>1.5605</v>
      </c>
      <c r="Y13" s="2184">
        <f>ROUND(IF(项目基本情况!B8="出让",SUMPRODUCT(PRODUCT(1+O13:O$37)),SUMPRODUCT(PRODUCT(1+O13:O$36))),4)</f>
        <v>1.3577999999999999</v>
      </c>
      <c r="Z13" s="2184">
        <f t="shared" ref="Z13" si="105">Y13</f>
        <v>1.3577999999999999</v>
      </c>
      <c r="AA13" s="2184">
        <f>ROUND(IF(项目基本情况!B8="出让",SUMPRODUCT(PRODUCT(1+P13:P$37)),SUMPRODUCT(PRODUCT(1+P13:P$36))),4)</f>
        <v>1.6254999999999999</v>
      </c>
      <c r="AB13" s="2184">
        <f>ROUND(IF(项目基本情况!B8="出让",SUMPRODUCT(PRODUCT(1+Q13:Q$37)),SUMPRODUCT(PRODUCT(1+Q13:Q$36))),4)</f>
        <v>1.3815999999999999</v>
      </c>
      <c r="AC13" s="2184"/>
      <c r="AD13" s="2185">
        <f>ROUND(AVERAGE(I13:I$37)/100,4)</f>
        <v>1.9199999999999998E-2</v>
      </c>
      <c r="AE13" s="2185">
        <f>ROUND(AVERAGE(J13:J$37)/100,4)</f>
        <v>1.3299999999999999E-2</v>
      </c>
      <c r="AF13" s="2185">
        <f t="shared" ref="AF13" si="106">AE13</f>
        <v>1.3299999999999999E-2</v>
      </c>
      <c r="AG13" s="2185">
        <f>ROUND(AVERAGE(K13:K$37)/100,4)</f>
        <v>2.1100000000000001E-2</v>
      </c>
      <c r="AH13" s="2185">
        <f>ROUND(AVERAGE(L13:L$37)/100,4)</f>
        <v>1.3599999999999999E-2</v>
      </c>
    </row>
    <row r="14" spans="1:34" s="2202" customFormat="1">
      <c r="A14" s="2197" t="s">
        <v>2623</v>
      </c>
      <c r="B14" s="2198">
        <f t="shared" ref="B14" si="107">B15*(1+N14)</f>
        <v>479.34737379023579</v>
      </c>
      <c r="C14" s="2198">
        <f t="shared" ref="C14" si="108">C15*(1+O14)</f>
        <v>351.4265287986122</v>
      </c>
      <c r="D14" s="2198">
        <f t="shared" ref="D14" si="109">C14</f>
        <v>351.4265287986122</v>
      </c>
      <c r="E14" s="2198">
        <f t="shared" ref="E14" si="110">E15*(1+P14)</f>
        <v>685.98209703803116</v>
      </c>
      <c r="F14" s="2198">
        <f t="shared" ref="F14" si="111">F15*(1+Q14)</f>
        <v>316.78315206651001</v>
      </c>
      <c r="G14" s="2188">
        <v>2019</v>
      </c>
      <c r="H14" s="2199">
        <v>4</v>
      </c>
      <c r="I14" s="2199">
        <v>0.45</v>
      </c>
      <c r="J14" s="2199">
        <v>-0.12</v>
      </c>
      <c r="K14" s="2199">
        <v>0.54</v>
      </c>
      <c r="L14" s="2203">
        <v>0.48</v>
      </c>
      <c r="M14" s="2184"/>
      <c r="N14" s="2200">
        <f t="shared" ref="N14:N19" si="112">I14/100</f>
        <v>4.5000000000000005E-3</v>
      </c>
      <c r="O14" s="2185">
        <f t="shared" ref="O14" si="113">J14/100</f>
        <v>-1.1999999999999999E-3</v>
      </c>
      <c r="P14" s="2185">
        <f t="shared" ref="P14" si="114">K14/100</f>
        <v>5.4000000000000003E-3</v>
      </c>
      <c r="Q14" s="2185">
        <f t="shared" ref="Q14" si="115">L14/100</f>
        <v>4.7999999999999996E-3</v>
      </c>
      <c r="R14" s="2201"/>
      <c r="S14" s="2200"/>
      <c r="T14" s="2185"/>
      <c r="U14" s="2185"/>
      <c r="V14" s="2185"/>
      <c r="W14" s="2184"/>
      <c r="X14" s="2184">
        <f>ROUND(IF(项目基本情况!B8="出让",SUMPRODUCT(PRODUCT(1+N14:N$37)),SUMPRODUCT(PRODUCT(1+N14:N$36))),4)</f>
        <v>1.5586</v>
      </c>
      <c r="Y14" s="2184">
        <f>ROUND(IF(项目基本情况!B8="出让",SUMPRODUCT(PRODUCT(1+O14:O$37)),SUMPRODUCT(PRODUCT(1+O14:O$36))),4)</f>
        <v>1.3633</v>
      </c>
      <c r="Z14" s="2184">
        <f t="shared" ref="Z14" si="116">Y14</f>
        <v>1.3633</v>
      </c>
      <c r="AA14" s="2184">
        <f>ROUND(IF(项目基本情况!B8="出让",SUMPRODUCT(PRODUCT(1+P14:P$37)),SUMPRODUCT(PRODUCT(1+P14:P$36))),4)</f>
        <v>1.6221000000000001</v>
      </c>
      <c r="AB14" s="2184">
        <f>ROUND(IF(项目基本情况!B8="出让",SUMPRODUCT(PRODUCT(1+Q14:Q$37)),SUMPRODUCT(PRODUCT(1+Q14:Q$36))),4)</f>
        <v>1.3777999999999999</v>
      </c>
      <c r="AC14" s="2184"/>
      <c r="AD14" s="2185">
        <f>ROUND(AVERAGE(I14:I$37)/100,4)</f>
        <v>0.02</v>
      </c>
      <c r="AE14" s="2185">
        <f>ROUND(AVERAGE(J14:J$37)/100,4)</f>
        <v>1.4E-2</v>
      </c>
      <c r="AF14" s="2185">
        <f t="shared" ref="AF14" si="117">AE14</f>
        <v>1.4E-2</v>
      </c>
      <c r="AG14" s="2185">
        <f>ROUND(AVERAGE(K14:K$37)/100,4)</f>
        <v>2.1899999999999999E-2</v>
      </c>
      <c r="AH14" s="2185">
        <f>ROUND(AVERAGE(L14:L$37)/100,4)</f>
        <v>1.4E-2</v>
      </c>
    </row>
    <row r="15" spans="1:34" s="2202" customFormat="1" ht="13.5" thickBot="1">
      <c r="A15" s="2197" t="s">
        <v>2622</v>
      </c>
      <c r="B15" s="2198">
        <f t="shared" ref="B15" si="118">B16*(1+N15)</f>
        <v>477.19997390765138</v>
      </c>
      <c r="C15" s="2198">
        <f t="shared" ref="C15" si="119">C16*(1+O15)</f>
        <v>351.84874729536665</v>
      </c>
      <c r="D15" s="2198">
        <f t="shared" ref="D15" si="120">C15</f>
        <v>351.84874729536665</v>
      </c>
      <c r="E15" s="2198">
        <f t="shared" ref="E15" si="121">E16*(1+P15)</f>
        <v>682.29768951465201</v>
      </c>
      <c r="F15" s="2198">
        <f t="shared" ref="F15" si="122">F16*(1+Q15)</f>
        <v>315.26985675409043</v>
      </c>
      <c r="G15" s="2188">
        <v>2019</v>
      </c>
      <c r="H15" s="2199">
        <v>3</v>
      </c>
      <c r="I15" s="2199">
        <v>0.61</v>
      </c>
      <c r="J15" s="2199">
        <v>0.67</v>
      </c>
      <c r="K15" s="2199">
        <v>0.6</v>
      </c>
      <c r="L15" s="2203">
        <v>1.03</v>
      </c>
      <c r="M15" s="2184"/>
      <c r="N15" s="2200">
        <f t="shared" si="112"/>
        <v>6.0999999999999995E-3</v>
      </c>
      <c r="O15" s="2185">
        <f t="shared" ref="O15" si="123">J15/100</f>
        <v>6.7000000000000002E-3</v>
      </c>
      <c r="P15" s="2185">
        <f t="shared" ref="P15" si="124">K15/100</f>
        <v>6.0000000000000001E-3</v>
      </c>
      <c r="Q15" s="2185">
        <f t="shared" ref="Q15" si="125">L15/100</f>
        <v>1.03E-2</v>
      </c>
      <c r="R15" s="2201"/>
      <c r="S15" s="2200"/>
      <c r="T15" s="2185"/>
      <c r="U15" s="2185"/>
      <c r="V15" s="2185"/>
      <c r="W15" s="2184"/>
      <c r="X15" s="2184">
        <f>ROUND(IF(项目基本情况!B8="出让",SUMPRODUCT(PRODUCT(1+N15:N$37)),SUMPRODUCT(PRODUCT(1+N15:N$36))),4)</f>
        <v>1.5516000000000001</v>
      </c>
      <c r="Y15" s="2184">
        <f>ROUND(IF(项目基本情况!B8="出让",SUMPRODUCT(PRODUCT(1+O15:O$37)),SUMPRODUCT(PRODUCT(1+O15:O$36))),4)</f>
        <v>1.3649</v>
      </c>
      <c r="Z15" s="2184">
        <f t="shared" ref="Z15" si="126">Y15</f>
        <v>1.3649</v>
      </c>
      <c r="AA15" s="2184">
        <f>ROUND(IF(项目基本情况!B8="出让",SUMPRODUCT(PRODUCT(1+P15:P$37)),SUMPRODUCT(PRODUCT(1+P15:P$36))),4)</f>
        <v>1.6133999999999999</v>
      </c>
      <c r="AB15" s="2184">
        <f>ROUND(IF(项目基本情况!B8="出让",SUMPRODUCT(PRODUCT(1+Q15:Q$37)),SUMPRODUCT(PRODUCT(1+Q15:Q$36))),4)</f>
        <v>1.3713</v>
      </c>
      <c r="AC15" s="2184"/>
      <c r="AD15" s="2185">
        <f>ROUND(AVERAGE(I15:I$37)/100,4)</f>
        <v>2.07E-2</v>
      </c>
      <c r="AE15" s="2185">
        <f>ROUND(AVERAGE(J15:J$37)/100,4)</f>
        <v>1.47E-2</v>
      </c>
      <c r="AF15" s="2185">
        <f t="shared" ref="AF15" si="127">AE15</f>
        <v>1.47E-2</v>
      </c>
      <c r="AG15" s="2185">
        <f>ROUND(AVERAGE(K15:K$37)/100,4)</f>
        <v>2.2599999999999999E-2</v>
      </c>
      <c r="AH15" s="2185">
        <f>ROUND(AVERAGE(L15:L$37)/100,4)</f>
        <v>1.44E-2</v>
      </c>
    </row>
    <row r="16" spans="1:34" s="2202" customFormat="1">
      <c r="A16" s="2197" t="s">
        <v>2620</v>
      </c>
      <c r="B16" s="2198">
        <f t="shared" ref="B16" si="128">B17*(1+N16)</f>
        <v>474.30670301923408</v>
      </c>
      <c r="C16" s="2198">
        <f t="shared" ref="C16" si="129">C17*(1+O16)</f>
        <v>349.50705005996491</v>
      </c>
      <c r="D16" s="2198">
        <f t="shared" ref="D16" si="130">C16</f>
        <v>349.50705005996491</v>
      </c>
      <c r="E16" s="2198">
        <f t="shared" ref="E16" si="131">E17*(1+P16)</f>
        <v>678.22831959706957</v>
      </c>
      <c r="F16" s="2198">
        <f t="shared" ref="F16" si="132">F17*(1+Q16)</f>
        <v>312.0556832169558</v>
      </c>
      <c r="G16" s="2188">
        <v>2019</v>
      </c>
      <c r="H16" s="2204">
        <v>2</v>
      </c>
      <c r="I16" s="2204">
        <v>1.53</v>
      </c>
      <c r="J16" s="2204">
        <v>1.01</v>
      </c>
      <c r="K16" s="2204">
        <v>1.62</v>
      </c>
      <c r="L16" s="2205">
        <v>1.25</v>
      </c>
      <c r="M16" s="2184"/>
      <c r="N16" s="2200">
        <f t="shared" si="112"/>
        <v>1.5300000000000001E-2</v>
      </c>
      <c r="O16" s="2185">
        <f t="shared" ref="O16" si="133">J16/100</f>
        <v>1.01E-2</v>
      </c>
      <c r="P16" s="2185">
        <f t="shared" ref="P16" si="134">K16/100</f>
        <v>1.6200000000000003E-2</v>
      </c>
      <c r="Q16" s="2185">
        <f t="shared" ref="Q16" si="135">L16/100</f>
        <v>1.2500000000000001E-2</v>
      </c>
      <c r="R16" s="2201"/>
      <c r="S16" s="2200"/>
      <c r="T16" s="2185"/>
      <c r="U16" s="2185"/>
      <c r="V16" s="2185"/>
      <c r="W16" s="2184"/>
      <c r="X16" s="2184">
        <f>ROUND(IF(项目基本情况!B8="出让",SUMPRODUCT(PRODUCT(1+N16:N$37)),SUMPRODUCT(PRODUCT(1+N16:N$36))),4)</f>
        <v>1.5422</v>
      </c>
      <c r="Y16" s="2184">
        <f>ROUND(IF(项目基本情况!B8="出让",SUMPRODUCT(PRODUCT(1+O16:O$37)),SUMPRODUCT(PRODUCT(1+O16:O$36))),4)</f>
        <v>1.3557999999999999</v>
      </c>
      <c r="Z16" s="2184">
        <f t="shared" ref="Z16" si="136">Y16</f>
        <v>1.3557999999999999</v>
      </c>
      <c r="AA16" s="2184">
        <f>ROUND(IF(项目基本情况!B8="出让",SUMPRODUCT(PRODUCT(1+P16:P$37)),SUMPRODUCT(PRODUCT(1+P16:P$36))),4)</f>
        <v>1.6036999999999999</v>
      </c>
      <c r="AB16" s="2184">
        <f>ROUND(IF(项目基本情况!B8="出让",SUMPRODUCT(PRODUCT(1+Q16:Q$37)),SUMPRODUCT(PRODUCT(1+Q16:Q$36))),4)</f>
        <v>1.3573</v>
      </c>
      <c r="AC16" s="2184"/>
      <c r="AD16" s="2185">
        <f>ROUND(AVERAGE(I16:I$37)/100,4)</f>
        <v>2.1299999999999999E-2</v>
      </c>
      <c r="AE16" s="2185">
        <f>ROUND(AVERAGE(J16:J$37)/100,4)</f>
        <v>1.4999999999999999E-2</v>
      </c>
      <c r="AF16" s="2185">
        <f t="shared" ref="AF16" si="137">AE16</f>
        <v>1.4999999999999999E-2</v>
      </c>
      <c r="AG16" s="2185">
        <f>ROUND(AVERAGE(K16:K$37)/100,4)</f>
        <v>2.3300000000000001E-2</v>
      </c>
      <c r="AH16" s="2185">
        <f>ROUND(AVERAGE(L16:L$37)/100,4)</f>
        <v>1.46E-2</v>
      </c>
    </row>
    <row r="17" spans="1:34" s="2202" customFormat="1" ht="13.5" thickBot="1">
      <c r="A17" s="2197" t="s">
        <v>2618</v>
      </c>
      <c r="B17" s="2198">
        <f t="shared" ref="B17" si="138">B18*(1+N17)</f>
        <v>467.15916775261894</v>
      </c>
      <c r="C17" s="2198">
        <f t="shared" ref="C17" si="139">C18*(1+O17)</f>
        <v>346.01232557169084</v>
      </c>
      <c r="D17" s="2198">
        <f t="shared" ref="D17" si="140">C17</f>
        <v>346.01232557169084</v>
      </c>
      <c r="E17" s="2198">
        <f t="shared" ref="E17" si="141">E18*(1+P17)</f>
        <v>667.41617752122568</v>
      </c>
      <c r="F17" s="2198">
        <f t="shared" ref="F17" si="142">F18*(1+Q17)</f>
        <v>308.20314391798104</v>
      </c>
      <c r="G17" s="2188">
        <v>2019</v>
      </c>
      <c r="H17" s="2199">
        <v>1</v>
      </c>
      <c r="I17" s="2199">
        <v>0.6</v>
      </c>
      <c r="J17" s="2199">
        <v>0.37</v>
      </c>
      <c r="K17" s="2199">
        <v>0.63</v>
      </c>
      <c r="L17" s="2203">
        <v>1.1299999999999999</v>
      </c>
      <c r="M17" s="2184"/>
      <c r="N17" s="2200">
        <f t="shared" si="112"/>
        <v>6.0000000000000001E-3</v>
      </c>
      <c r="O17" s="2185">
        <f t="shared" ref="O17" si="143">J17/100</f>
        <v>3.7000000000000002E-3</v>
      </c>
      <c r="P17" s="2185">
        <f t="shared" ref="P17" si="144">K17/100</f>
        <v>6.3E-3</v>
      </c>
      <c r="Q17" s="2185">
        <f t="shared" ref="Q17" si="145">L17/100</f>
        <v>1.1299999999999999E-2</v>
      </c>
      <c r="R17" s="2201"/>
      <c r="S17" s="2200">
        <f>B17/B18-1</f>
        <v>6.0000000000000053E-3</v>
      </c>
      <c r="T17" s="2185">
        <f t="shared" ref="T17" si="146">C17/C18-1</f>
        <v>3.7000000000000366E-3</v>
      </c>
      <c r="U17" s="2185">
        <f t="shared" ref="U17" si="147">D17/D18-1</f>
        <v>3.7000000000000366E-3</v>
      </c>
      <c r="V17" s="2185">
        <f t="shared" ref="V17" si="148">E17/E18-1</f>
        <v>6.2999999999999723E-3</v>
      </c>
      <c r="W17" s="2184"/>
      <c r="X17" s="2184">
        <f>ROUND(IF(项目基本情况!B8="出让",SUMPRODUCT(PRODUCT(1+N17:N$37)),SUMPRODUCT(PRODUCT(1+N17:N$36))),4)</f>
        <v>1.5189999999999999</v>
      </c>
      <c r="Y17" s="2184">
        <f>ROUND(IF(项目基本情况!B8="出让",SUMPRODUCT(PRODUCT(1+O17:O$37)),SUMPRODUCT(PRODUCT(1+O17:O$36))),4)</f>
        <v>1.3423</v>
      </c>
      <c r="Z17" s="2184">
        <f t="shared" ref="Z17" si="149">Y17</f>
        <v>1.3423</v>
      </c>
      <c r="AA17" s="2184">
        <f>ROUND(IF(项目基本情况!B8="出让",SUMPRODUCT(PRODUCT(1+P17:P$37)),SUMPRODUCT(PRODUCT(1+P17:P$36))),4)</f>
        <v>1.5782</v>
      </c>
      <c r="AB17" s="2184">
        <f>ROUND(IF(项目基本情况!B8="出让",SUMPRODUCT(PRODUCT(1+Q17:Q$37)),SUMPRODUCT(PRODUCT(1+Q17:Q$36))),4)</f>
        <v>1.3405</v>
      </c>
      <c r="AC17" s="2184"/>
      <c r="AD17" s="2185">
        <f>ROUND(AVERAGE(I17:I$37)/100,4)</f>
        <v>2.1600000000000001E-2</v>
      </c>
      <c r="AE17" s="2185">
        <f>ROUND(AVERAGE(J17:J$37)/100,4)</f>
        <v>1.5299999999999999E-2</v>
      </c>
      <c r="AF17" s="2185">
        <f t="shared" ref="AF17" si="150">AE17</f>
        <v>1.5299999999999999E-2</v>
      </c>
      <c r="AG17" s="2185">
        <f>ROUND(AVERAGE(K17:K$37)/100,4)</f>
        <v>2.3699999999999999E-2</v>
      </c>
      <c r="AH17" s="2185">
        <f>ROUND(AVERAGE(L17:L$37)/100,4)</f>
        <v>1.47E-2</v>
      </c>
    </row>
    <row r="18" spans="1:34" s="2202" customFormat="1">
      <c r="A18" s="2197" t="s">
        <v>2621</v>
      </c>
      <c r="B18" s="2206">
        <f t="shared" ref="B18" si="151">B19*(1+N18)</f>
        <v>464.37293017158942</v>
      </c>
      <c r="C18" s="2206">
        <f t="shared" ref="C18" si="152">C19*(1+O18)</f>
        <v>344.73679941385956</v>
      </c>
      <c r="D18" s="2206">
        <f t="shared" ref="D18" si="153">C18</f>
        <v>344.73679941385956</v>
      </c>
      <c r="E18" s="2206">
        <f t="shared" ref="E18" si="154">E19*(1+P18)</f>
        <v>663.2377795103107</v>
      </c>
      <c r="F18" s="2207">
        <f t="shared" ref="F18" si="155">F19*(1+Q18)</f>
        <v>304.75936311478398</v>
      </c>
      <c r="G18" s="3479">
        <v>2018</v>
      </c>
      <c r="H18" s="2204">
        <v>4</v>
      </c>
      <c r="I18" s="2204">
        <v>0.96</v>
      </c>
      <c r="J18" s="2204">
        <v>1.03</v>
      </c>
      <c r="K18" s="2204">
        <v>0.92</v>
      </c>
      <c r="L18" s="2205">
        <v>1.29</v>
      </c>
      <c r="M18" s="2184"/>
      <c r="N18" s="2200">
        <f t="shared" si="112"/>
        <v>9.5999999999999992E-3</v>
      </c>
      <c r="O18" s="2185">
        <f t="shared" ref="O18" si="156">J18/100</f>
        <v>1.03E-2</v>
      </c>
      <c r="P18" s="2185">
        <f t="shared" ref="P18" si="157">K18/100</f>
        <v>9.1999999999999998E-3</v>
      </c>
      <c r="Q18" s="2185">
        <f t="shared" ref="Q18" si="158">L18/100</f>
        <v>1.29E-2</v>
      </c>
      <c r="R18" s="2201"/>
      <c r="S18" s="2200"/>
      <c r="T18" s="2185"/>
      <c r="U18" s="2185"/>
      <c r="V18" s="2185"/>
      <c r="W18" s="2184"/>
      <c r="X18" s="2184">
        <f>ROUND(SUMPRODUCT(PRODUCT(1+N18:N$36)),4)</f>
        <v>1.5099</v>
      </c>
      <c r="Y18" s="2184">
        <f>ROUND(SUMPRODUCT(PRODUCT(1+O18:O$36)),4)</f>
        <v>1.3372999999999999</v>
      </c>
      <c r="Z18" s="2184">
        <f t="shared" ref="Z18" si="159">Y18</f>
        <v>1.3372999999999999</v>
      </c>
      <c r="AA18" s="2184">
        <f>ROUND(SUMPRODUCT(PRODUCT(1+P18:P$36)),4)</f>
        <v>1.5683</v>
      </c>
      <c r="AB18" s="2184">
        <f>ROUND(SUMPRODUCT(PRODUCT(1+Q18:Q$36)),4)</f>
        <v>1.3255999999999999</v>
      </c>
      <c r="AC18" s="2184"/>
      <c r="AD18" s="2185">
        <f>ROUND(AVERAGE(I18:I$37)/100,4)</f>
        <v>2.24E-2</v>
      </c>
      <c r="AE18" s="2185">
        <f>ROUND(AVERAGE(J18:J$37)/100,4)</f>
        <v>1.5800000000000002E-2</v>
      </c>
      <c r="AF18" s="2185">
        <f t="shared" ref="AF18" si="160">AE18</f>
        <v>1.5800000000000002E-2</v>
      </c>
      <c r="AG18" s="2185">
        <f>ROUND(AVERAGE(K18:K$37)/100,4)</f>
        <v>2.4500000000000001E-2</v>
      </c>
      <c r="AH18" s="2185">
        <f>ROUND(AVERAGE(L18:L$37)/100,4)</f>
        <v>1.49E-2</v>
      </c>
    </row>
    <row r="19" spans="1:34" s="2202" customFormat="1" ht="14.45" customHeight="1">
      <c r="A19" s="2197" t="s">
        <v>2616</v>
      </c>
      <c r="B19" s="2198">
        <f t="shared" ref="B19" si="161">B20*(1+N19)</f>
        <v>459.95733971036987</v>
      </c>
      <c r="C19" s="2198">
        <f t="shared" ref="C19" si="162">C20*(1+O19)</f>
        <v>341.22221064422405</v>
      </c>
      <c r="D19" s="2198">
        <f t="shared" ref="D19" si="163">C19</f>
        <v>341.22221064422405</v>
      </c>
      <c r="E19" s="2198">
        <f t="shared" ref="E19" si="164">E20*(1+P19)</f>
        <v>657.19161663724799</v>
      </c>
      <c r="F19" s="2198">
        <f t="shared" ref="F19" si="165">F20*(1+Q19)</f>
        <v>300.87803644464805</v>
      </c>
      <c r="G19" s="3479"/>
      <c r="H19" s="2199">
        <v>3</v>
      </c>
      <c r="I19" s="2199">
        <v>1.51</v>
      </c>
      <c r="J19" s="2199">
        <v>1.41</v>
      </c>
      <c r="K19" s="2199">
        <v>1.52</v>
      </c>
      <c r="L19" s="2203">
        <v>1.74</v>
      </c>
      <c r="M19" s="2184"/>
      <c r="N19" s="2200">
        <f t="shared" si="112"/>
        <v>1.5100000000000001E-2</v>
      </c>
      <c r="O19" s="2185">
        <f t="shared" ref="O19" si="166">J19/100</f>
        <v>1.41E-2</v>
      </c>
      <c r="P19" s="2185">
        <f t="shared" ref="P19" si="167">K19/100</f>
        <v>1.52E-2</v>
      </c>
      <c r="Q19" s="2185">
        <f t="shared" ref="Q19" si="168">L19/100</f>
        <v>1.7399999999999999E-2</v>
      </c>
      <c r="R19" s="2201"/>
      <c r="S19" s="2200"/>
      <c r="T19" s="2185"/>
      <c r="U19" s="2185"/>
      <c r="V19" s="2185"/>
      <c r="W19" s="2184"/>
      <c r="X19" s="2184">
        <f>ROUND(SUMPRODUCT(PRODUCT(1+N19:N$36)),4)</f>
        <v>1.4956</v>
      </c>
      <c r="Y19" s="2184">
        <f>ROUND(SUMPRODUCT(PRODUCT(1+O19:O$36)),4)</f>
        <v>1.3237000000000001</v>
      </c>
      <c r="Z19" s="2184">
        <f t="shared" ref="Z19" si="169">Y19</f>
        <v>1.3237000000000001</v>
      </c>
      <c r="AA19" s="2184">
        <f>ROUND(SUMPRODUCT(PRODUCT(1+P19:P$36)),4)</f>
        <v>1.554</v>
      </c>
      <c r="AB19" s="2184">
        <f>ROUND(SUMPRODUCT(PRODUCT(1+Q19:Q$36)),4)</f>
        <v>1.3087</v>
      </c>
      <c r="AC19" s="2184"/>
      <c r="AD19" s="2185">
        <f>ROUND(AVERAGE(I19:I$37)/100,4)</f>
        <v>2.3099999999999999E-2</v>
      </c>
      <c r="AE19" s="2185">
        <f>ROUND(AVERAGE(J19:J$37)/100,4)</f>
        <v>1.61E-2</v>
      </c>
      <c r="AF19" s="2185">
        <f t="shared" ref="AF19" si="170">AE19</f>
        <v>1.61E-2</v>
      </c>
      <c r="AG19" s="2185">
        <f>ROUND(AVERAGE(K19:K$37)/100,4)</f>
        <v>2.53E-2</v>
      </c>
      <c r="AH19" s="2185">
        <f>ROUND(AVERAGE(L19:L$37)/100,4)</f>
        <v>1.4999999999999999E-2</v>
      </c>
    </row>
    <row r="20" spans="1:34" s="2202" customFormat="1" ht="14.45" customHeight="1">
      <c r="A20" s="2197" t="s">
        <v>2615</v>
      </c>
      <c r="B20" s="2198">
        <f t="shared" ref="B20" si="171">B21*(1+N20)</f>
        <v>453.11529869999993</v>
      </c>
      <c r="C20" s="2198">
        <f t="shared" ref="C20" si="172">C21*(1+O20)</f>
        <v>336.47787264000004</v>
      </c>
      <c r="D20" s="2198">
        <f t="shared" ref="D20" si="173">C20</f>
        <v>336.47787264000004</v>
      </c>
      <c r="E20" s="2198">
        <f t="shared" ref="E20" si="174">E21*(1+P20)</f>
        <v>647.35186823999993</v>
      </c>
      <c r="F20" s="2198">
        <f t="shared" ref="F20" si="175">F21*(1+Q20)</f>
        <v>295.73229452000004</v>
      </c>
      <c r="G20" s="3479"/>
      <c r="H20" s="2208">
        <v>2</v>
      </c>
      <c r="I20" s="2208">
        <v>1.49</v>
      </c>
      <c r="J20" s="2208">
        <v>0.96</v>
      </c>
      <c r="K20" s="2208">
        <v>1.58</v>
      </c>
      <c r="L20" s="2209">
        <v>2.44</v>
      </c>
      <c r="M20" s="2184"/>
      <c r="N20" s="2200">
        <f t="shared" ref="N20" si="176">I20/100</f>
        <v>1.49E-2</v>
      </c>
      <c r="O20" s="2185">
        <f t="shared" ref="O20" si="177">J20/100</f>
        <v>9.5999999999999992E-3</v>
      </c>
      <c r="P20" s="2185">
        <f t="shared" ref="P20" si="178">K20/100</f>
        <v>1.5800000000000002E-2</v>
      </c>
      <c r="Q20" s="2185">
        <f t="shared" ref="Q20" si="179">L20/100</f>
        <v>2.4399999999999998E-2</v>
      </c>
      <c r="R20" s="2201"/>
      <c r="S20" s="2200"/>
      <c r="T20" s="2185"/>
      <c r="U20" s="2185"/>
      <c r="V20" s="2185"/>
      <c r="W20" s="2184"/>
      <c r="X20" s="2184">
        <f>ROUND(SUMPRODUCT(PRODUCT(1+N20:N$36)),4)</f>
        <v>1.4733000000000001</v>
      </c>
      <c r="Y20" s="2184">
        <f>ROUND(SUMPRODUCT(PRODUCT(1+O20:O$36)),4)</f>
        <v>1.3052999999999999</v>
      </c>
      <c r="Z20" s="2184">
        <f t="shared" ref="Z20" si="180">Y20</f>
        <v>1.3052999999999999</v>
      </c>
      <c r="AA20" s="2184">
        <f>ROUND(SUMPRODUCT(PRODUCT(1+P20:P$36)),4)</f>
        <v>1.5306999999999999</v>
      </c>
      <c r="AB20" s="2184">
        <f>ROUND(SUMPRODUCT(PRODUCT(1+Q20:Q$36)),4)</f>
        <v>1.2863</v>
      </c>
      <c r="AC20" s="2184"/>
      <c r="AD20" s="2185">
        <f>ROUND(AVERAGE(I20:I$37)/100,4)</f>
        <v>2.35E-2</v>
      </c>
      <c r="AE20" s="2185">
        <f>ROUND(AVERAGE(J20:J$37)/100,4)</f>
        <v>1.6199999999999999E-2</v>
      </c>
      <c r="AF20" s="2185">
        <f t="shared" ref="AF20" si="181">AE20</f>
        <v>1.6199999999999999E-2</v>
      </c>
      <c r="AG20" s="2185">
        <f>ROUND(AVERAGE(K20:K$37)/100,4)</f>
        <v>2.5899999999999999E-2</v>
      </c>
      <c r="AH20" s="2185">
        <f>ROUND(AVERAGE(L20:L$37)/100,4)</f>
        <v>1.49E-2</v>
      </c>
    </row>
    <row r="21" spans="1:34" s="2202" customFormat="1" ht="15" customHeight="1" thickBot="1">
      <c r="A21" s="2197" t="s">
        <v>2608</v>
      </c>
      <c r="B21" s="2198">
        <f t="shared" ref="B21" si="182">B22*(1+N21)</f>
        <v>446.46299999999997</v>
      </c>
      <c r="C21" s="2198">
        <f t="shared" ref="C21" si="183">C22*(1+O21)</f>
        <v>333.27840000000003</v>
      </c>
      <c r="D21" s="2198">
        <f t="shared" ref="D21" si="184">C21</f>
        <v>333.27840000000003</v>
      </c>
      <c r="E21" s="2198">
        <f t="shared" ref="E21" si="185">E22*(1+P21)</f>
        <v>637.28279999999995</v>
      </c>
      <c r="F21" s="2198">
        <f t="shared" ref="F21" si="186">F22*(1+Q21)</f>
        <v>288.68830000000003</v>
      </c>
      <c r="G21" s="3486"/>
      <c r="H21" s="2199">
        <v>1</v>
      </c>
      <c r="I21" s="2199">
        <v>1.7</v>
      </c>
      <c r="J21" s="2199">
        <v>1.92</v>
      </c>
      <c r="K21" s="2199">
        <v>1.64</v>
      </c>
      <c r="L21" s="2203">
        <v>2.0099999999999998</v>
      </c>
      <c r="M21" s="2184"/>
      <c r="N21" s="2200">
        <f t="shared" ref="N21:N26" si="187">I21/100</f>
        <v>1.7000000000000001E-2</v>
      </c>
      <c r="O21" s="2185">
        <f t="shared" ref="O21" si="188">J21/100</f>
        <v>1.9199999999999998E-2</v>
      </c>
      <c r="P21" s="2185">
        <f t="shared" ref="P21" si="189">K21/100</f>
        <v>1.6399999999999998E-2</v>
      </c>
      <c r="Q21" s="2185">
        <f t="shared" ref="Q21" si="190">L21/100</f>
        <v>2.0099999999999996E-2</v>
      </c>
      <c r="R21" s="2201"/>
      <c r="S21" s="2200">
        <f>B21/B22-1</f>
        <v>1.6999999999999904E-2</v>
      </c>
      <c r="T21" s="2185">
        <f t="shared" ref="T21" si="191">C21/C22-1</f>
        <v>1.9200000000000106E-2</v>
      </c>
      <c r="U21" s="2185">
        <f t="shared" ref="U21" si="192">D21/D22-1</f>
        <v>1.9200000000000106E-2</v>
      </c>
      <c r="V21" s="2185">
        <f t="shared" ref="V21" si="193">E21/E22-1</f>
        <v>1.639999999999997E-2</v>
      </c>
      <c r="W21" s="2184"/>
      <c r="X21" s="2184">
        <f>ROUND(SUMPRODUCT(PRODUCT(1+N21:N$36)),4)</f>
        <v>1.4517</v>
      </c>
      <c r="Y21" s="2184">
        <f>ROUND(SUMPRODUCT(PRODUCT(1+O21:O$36)),4)</f>
        <v>1.2928999999999999</v>
      </c>
      <c r="Z21" s="2184">
        <f t="shared" ref="Z21" si="194">Y21</f>
        <v>1.2928999999999999</v>
      </c>
      <c r="AA21" s="2184">
        <f>ROUND(SUMPRODUCT(PRODUCT(1+P21:P$36)),4)</f>
        <v>1.5068999999999999</v>
      </c>
      <c r="AB21" s="2184">
        <f>ROUND(SUMPRODUCT(PRODUCT(1+Q21:Q$36)),4)</f>
        <v>1.2557</v>
      </c>
      <c r="AC21" s="2184"/>
      <c r="AD21" s="2185">
        <f>ROUND(AVERAGE(I21:I$37)/100,4)</f>
        <v>2.4E-2</v>
      </c>
      <c r="AE21" s="2185">
        <f>ROUND(AVERAGE(J21:J$37)/100,4)</f>
        <v>1.66E-2</v>
      </c>
      <c r="AF21" s="2185">
        <f t="shared" ref="AF21" si="195">AE21</f>
        <v>1.66E-2</v>
      </c>
      <c r="AG21" s="2185">
        <f>ROUND(AVERAGE(K21:K$37)/100,4)</f>
        <v>2.6499999999999999E-2</v>
      </c>
      <c r="AH21" s="2185">
        <f>ROUND(AVERAGE(L21:L$37)/100,4)</f>
        <v>1.43E-2</v>
      </c>
    </row>
    <row r="22" spans="1:34">
      <c r="A22" s="2197" t="s">
        <v>2606</v>
      </c>
      <c r="B22" s="2206">
        <v>439</v>
      </c>
      <c r="C22" s="2206">
        <v>327</v>
      </c>
      <c r="D22" s="2206">
        <f>C22</f>
        <v>327</v>
      </c>
      <c r="E22" s="2206">
        <v>627</v>
      </c>
      <c r="F22" s="2207">
        <v>283</v>
      </c>
      <c r="G22" s="3482">
        <v>2017</v>
      </c>
      <c r="H22" s="2204">
        <v>4</v>
      </c>
      <c r="I22" s="2204">
        <v>1.71</v>
      </c>
      <c r="J22" s="2204">
        <v>1.78</v>
      </c>
      <c r="K22" s="2204">
        <v>1.71</v>
      </c>
      <c r="L22" s="2205">
        <v>1.43</v>
      </c>
      <c r="N22" s="2200">
        <f t="shared" si="187"/>
        <v>1.7100000000000001E-2</v>
      </c>
      <c r="O22" s="2185">
        <f t="shared" ref="O22" si="196">J22/100</f>
        <v>1.78E-2</v>
      </c>
      <c r="P22" s="2185">
        <f t="shared" ref="P22" si="197">K22/100</f>
        <v>1.7100000000000001E-2</v>
      </c>
      <c r="Q22" s="2185">
        <f t="shared" ref="Q22" si="198">L22/100</f>
        <v>1.43E-2</v>
      </c>
      <c r="R22" s="2201"/>
      <c r="S22" s="2210"/>
      <c r="T22" s="2211"/>
      <c r="U22" s="2211"/>
      <c r="V22" s="2211"/>
      <c r="X22" s="2184">
        <f>ROUND(SUMPRODUCT(PRODUCT(1+N22:N$36)),4)</f>
        <v>1.4274</v>
      </c>
      <c r="Y22" s="2184">
        <f>ROUND(SUMPRODUCT(PRODUCT(1+O22:O$36)),4)</f>
        <v>1.2685</v>
      </c>
      <c r="Z22" s="2184">
        <f t="shared" si="0"/>
        <v>1.2685</v>
      </c>
      <c r="AA22" s="2184">
        <f>ROUND(SUMPRODUCT(PRODUCT(1+P22:P$36)),4)</f>
        <v>1.4825999999999999</v>
      </c>
      <c r="AB22" s="2184">
        <f>ROUND(SUMPRODUCT(PRODUCT(1+Q22:Q$36)),4)</f>
        <v>1.2309000000000001</v>
      </c>
      <c r="AD22" s="2185">
        <f>ROUND(AVERAGE(I22:I$37)/100,4)</f>
        <v>2.4500000000000001E-2</v>
      </c>
      <c r="AE22" s="2185">
        <f>ROUND(AVERAGE(J22:J$37)/100,4)</f>
        <v>1.6500000000000001E-2</v>
      </c>
      <c r="AF22" s="2185">
        <f t="shared" si="1"/>
        <v>1.6500000000000001E-2</v>
      </c>
      <c r="AG22" s="2185">
        <f>ROUND(AVERAGE(K22:K$37)/100,4)</f>
        <v>2.7099999999999999E-2</v>
      </c>
      <c r="AH22" s="2185">
        <f>ROUND(AVERAGE(L22:L$37)/100,4)</f>
        <v>1.3899999999999999E-2</v>
      </c>
    </row>
    <row r="23" spans="1:34" s="2202" customFormat="1" ht="14.45" customHeight="1">
      <c r="A23" s="2197" t="s">
        <v>2607</v>
      </c>
      <c r="B23" s="2198">
        <f t="shared" ref="B23:B24" si="199">B24*(1+N23)</f>
        <v>431.80730811680002</v>
      </c>
      <c r="C23" s="2198">
        <f t="shared" ref="C23:C24" si="200">C24*(1+O23)</f>
        <v>320.57880516480003</v>
      </c>
      <c r="D23" s="2198">
        <f t="shared" ref="D23:D24" si="201">C23</f>
        <v>320.57880516480003</v>
      </c>
      <c r="E23" s="2198">
        <f t="shared" ref="E23:E24" si="202">E24*(1+P23)</f>
        <v>615.96110553196797</v>
      </c>
      <c r="F23" s="2198">
        <f t="shared" ref="F23:F24" si="203">F24*(1+Q23)</f>
        <v>279.46777300108801</v>
      </c>
      <c r="G23" s="3479"/>
      <c r="H23" s="2199">
        <v>3</v>
      </c>
      <c r="I23" s="2199">
        <v>2.98</v>
      </c>
      <c r="J23" s="2199">
        <v>2.11</v>
      </c>
      <c r="K23" s="2199">
        <v>3.24</v>
      </c>
      <c r="L23" s="2203">
        <v>1.72</v>
      </c>
      <c r="M23" s="2184"/>
      <c r="N23" s="2200">
        <f t="shared" si="187"/>
        <v>2.98E-2</v>
      </c>
      <c r="O23" s="2185">
        <f t="shared" ref="O23" si="204">J23/100</f>
        <v>2.1099999999999997E-2</v>
      </c>
      <c r="P23" s="2185">
        <f t="shared" ref="P23" si="205">K23/100</f>
        <v>3.2400000000000005E-2</v>
      </c>
      <c r="Q23" s="2185">
        <f t="shared" ref="Q23" si="206">L23/100</f>
        <v>1.72E-2</v>
      </c>
      <c r="R23" s="2201"/>
      <c r="S23" s="2200"/>
      <c r="T23" s="2185"/>
      <c r="U23" s="2185"/>
      <c r="V23" s="2185"/>
      <c r="W23" s="2184"/>
      <c r="X23" s="2184">
        <f>ROUND(SUMPRODUCT(PRODUCT(1+N23:N$36)),4)</f>
        <v>1.4034</v>
      </c>
      <c r="Y23" s="2184">
        <f>ROUND(SUMPRODUCT(PRODUCT(1+O23:O$36)),4)</f>
        <v>1.2463</v>
      </c>
      <c r="Z23" s="2184">
        <f t="shared" si="0"/>
        <v>1.2463</v>
      </c>
      <c r="AA23" s="2184">
        <f>ROUND(SUMPRODUCT(PRODUCT(1+P23:P$36)),4)</f>
        <v>1.4577</v>
      </c>
      <c r="AB23" s="2184">
        <f>ROUND(SUMPRODUCT(PRODUCT(1+Q23:Q$36)),4)</f>
        <v>1.2136</v>
      </c>
      <c r="AC23" s="2184"/>
      <c r="AD23" s="2185">
        <f>ROUND(AVERAGE(I23:I$37)/100,4)</f>
        <v>2.4899999999999999E-2</v>
      </c>
      <c r="AE23" s="2185">
        <f>ROUND(AVERAGE(J23:J$37)/100,4)</f>
        <v>1.6400000000000001E-2</v>
      </c>
      <c r="AF23" s="2185">
        <f t="shared" si="1"/>
        <v>1.6400000000000001E-2</v>
      </c>
      <c r="AG23" s="2185">
        <f>ROUND(AVERAGE(K23:K$37)/100,4)</f>
        <v>2.7799999999999998E-2</v>
      </c>
      <c r="AH23" s="2185">
        <f>ROUND(AVERAGE(L23:L$37)/100,4)</f>
        <v>1.3899999999999999E-2</v>
      </c>
    </row>
    <row r="24" spans="1:34" s="2191" customFormat="1" ht="14.45" customHeight="1">
      <c r="A24" s="2197" t="s">
        <v>1110</v>
      </c>
      <c r="B24" s="2198">
        <f t="shared" si="199"/>
        <v>419.31181600000002</v>
      </c>
      <c r="C24" s="2198">
        <f t="shared" si="200"/>
        <v>313.95436800000004</v>
      </c>
      <c r="D24" s="2198">
        <f t="shared" si="201"/>
        <v>313.95436800000004</v>
      </c>
      <c r="E24" s="2198">
        <f t="shared" si="202"/>
        <v>596.63028431999999</v>
      </c>
      <c r="F24" s="2198">
        <f t="shared" si="203"/>
        <v>274.74220703999998</v>
      </c>
      <c r="G24" s="3479"/>
      <c r="H24" s="2208">
        <v>2</v>
      </c>
      <c r="I24" s="2208">
        <v>3.4</v>
      </c>
      <c r="J24" s="2208">
        <v>2</v>
      </c>
      <c r="K24" s="2208">
        <v>3.82</v>
      </c>
      <c r="L24" s="2209">
        <v>1.68</v>
      </c>
      <c r="M24" s="2184"/>
      <c r="N24" s="2200">
        <f t="shared" si="187"/>
        <v>3.4000000000000002E-2</v>
      </c>
      <c r="O24" s="2185">
        <f t="shared" ref="O24" si="207">J24/100</f>
        <v>0.02</v>
      </c>
      <c r="P24" s="2185">
        <f t="shared" ref="P24" si="208">K24/100</f>
        <v>3.8199999999999998E-2</v>
      </c>
      <c r="Q24" s="2185">
        <f t="shared" ref="Q24" si="209">L24/100</f>
        <v>1.6799999999999999E-2</v>
      </c>
      <c r="R24" s="2201"/>
      <c r="S24" s="2210"/>
      <c r="T24" s="2211"/>
      <c r="U24" s="2211"/>
      <c r="V24" s="2211"/>
      <c r="W24" s="2166"/>
      <c r="X24" s="2184">
        <f>ROUND(SUMPRODUCT(PRODUCT(1+N24:N$36)),4)</f>
        <v>1.3628</v>
      </c>
      <c r="Y24" s="2184">
        <f>ROUND(SUMPRODUCT(PRODUCT(1+O24:O$36)),4)</f>
        <v>1.2205999999999999</v>
      </c>
      <c r="Z24" s="2184">
        <f t="shared" si="0"/>
        <v>1.2205999999999999</v>
      </c>
      <c r="AA24" s="2184">
        <f>ROUND(SUMPRODUCT(PRODUCT(1+P24:P$36)),4)</f>
        <v>1.4118999999999999</v>
      </c>
      <c r="AB24" s="2184">
        <f>ROUND(SUMPRODUCT(PRODUCT(1+Q24:Q$36)),4)</f>
        <v>1.1930000000000001</v>
      </c>
      <c r="AC24" s="2166"/>
      <c r="AD24" s="2185">
        <f>ROUND(AVERAGE(I24:I$37)/100,4)</f>
        <v>2.46E-2</v>
      </c>
      <c r="AE24" s="2185">
        <f>ROUND(AVERAGE(J24:J$37)/100,4)</f>
        <v>1.6E-2</v>
      </c>
      <c r="AF24" s="2185">
        <f t="shared" si="1"/>
        <v>1.6E-2</v>
      </c>
      <c r="AG24" s="2185">
        <f>ROUND(AVERAGE(K24:K$37)/100,4)</f>
        <v>2.75E-2</v>
      </c>
      <c r="AH24" s="2185">
        <f>ROUND(AVERAGE(L24:L$37)/100,4)</f>
        <v>1.37E-2</v>
      </c>
    </row>
    <row r="25" spans="1:34" s="2202" customFormat="1" ht="15" customHeight="1" thickBot="1">
      <c r="A25" s="2197" t="s">
        <v>888</v>
      </c>
      <c r="B25" s="2198">
        <f>B26*(1+N25)</f>
        <v>405.524</v>
      </c>
      <c r="C25" s="2198">
        <f>C26*(1+O25)</f>
        <v>307.79840000000002</v>
      </c>
      <c r="D25" s="2198">
        <f>C25</f>
        <v>307.79840000000002</v>
      </c>
      <c r="E25" s="2198">
        <f>E26*(1+P25)</f>
        <v>574.67759999999998</v>
      </c>
      <c r="F25" s="2198">
        <f>F26*(1+Q25)</f>
        <v>270.20280000000002</v>
      </c>
      <c r="G25" s="3486"/>
      <c r="H25" s="2199">
        <v>1</v>
      </c>
      <c r="I25" s="2199">
        <v>3.45</v>
      </c>
      <c r="J25" s="2199">
        <v>1.92</v>
      </c>
      <c r="K25" s="2199">
        <v>3.92</v>
      </c>
      <c r="L25" s="2203">
        <v>1.58</v>
      </c>
      <c r="M25" s="2184"/>
      <c r="N25" s="2200">
        <f t="shared" si="187"/>
        <v>3.4500000000000003E-2</v>
      </c>
      <c r="O25" s="2185">
        <f t="shared" ref="O25:Q40" si="210">J25/100</f>
        <v>1.9199999999999998E-2</v>
      </c>
      <c r="P25" s="2185">
        <f t="shared" si="210"/>
        <v>3.9199999999999999E-2</v>
      </c>
      <c r="Q25" s="2185">
        <f t="shared" si="210"/>
        <v>1.5800000000000002E-2</v>
      </c>
      <c r="R25" s="2201"/>
      <c r="S25" s="2200">
        <f>B25/B26-1</f>
        <v>3.4499999999999975E-2</v>
      </c>
      <c r="T25" s="2185">
        <f t="shared" ref="T25:V25" si="211">C25/C26-1</f>
        <v>1.9200000000000106E-2</v>
      </c>
      <c r="U25" s="2185">
        <f t="shared" si="211"/>
        <v>1.9200000000000106E-2</v>
      </c>
      <c r="V25" s="2185">
        <f t="shared" si="211"/>
        <v>3.9199999999999902E-2</v>
      </c>
      <c r="W25" s="2184"/>
      <c r="X25" s="2184">
        <f>ROUND(SUMPRODUCT(PRODUCT(1+N25:N$36)),4)</f>
        <v>1.3180000000000001</v>
      </c>
      <c r="Y25" s="2184">
        <f>ROUND(SUMPRODUCT(PRODUCT(1+O25:O$36)),4)</f>
        <v>1.1966000000000001</v>
      </c>
      <c r="Z25" s="2184">
        <f t="shared" si="0"/>
        <v>1.1966000000000001</v>
      </c>
      <c r="AA25" s="2184">
        <f>ROUND(SUMPRODUCT(PRODUCT(1+P25:P$36)),4)</f>
        <v>1.36</v>
      </c>
      <c r="AB25" s="2184">
        <f>ROUND(SUMPRODUCT(PRODUCT(1+Q25:Q$36)),4)</f>
        <v>1.1733</v>
      </c>
      <c r="AC25" s="2184"/>
      <c r="AD25" s="2185">
        <f>ROUND(AVERAGE(I25:I$37)/100,4)</f>
        <v>2.3900000000000001E-2</v>
      </c>
      <c r="AE25" s="2185">
        <f>ROUND(AVERAGE(J25:J$37)/100,4)</f>
        <v>1.5699999999999999E-2</v>
      </c>
      <c r="AF25" s="2185">
        <f t="shared" si="1"/>
        <v>1.5699999999999999E-2</v>
      </c>
      <c r="AG25" s="2185">
        <f>ROUND(AVERAGE(K25:K$37)/100,4)</f>
        <v>2.6599999999999999E-2</v>
      </c>
      <c r="AH25" s="2185">
        <f>ROUND(AVERAGE(L25:L$37)/100,4)</f>
        <v>1.34E-2</v>
      </c>
    </row>
    <row r="26" spans="1:34">
      <c r="A26" s="2197" t="s">
        <v>154</v>
      </c>
      <c r="B26" s="2206">
        <v>392</v>
      </c>
      <c r="C26" s="2206">
        <v>302</v>
      </c>
      <c r="D26" s="2206">
        <f>C26</f>
        <v>302</v>
      </c>
      <c r="E26" s="2206">
        <v>553</v>
      </c>
      <c r="F26" s="2207">
        <v>266</v>
      </c>
      <c r="G26" s="3482">
        <v>2016</v>
      </c>
      <c r="H26" s="2204">
        <v>4</v>
      </c>
      <c r="I26" s="2204">
        <v>4.5599999999999996</v>
      </c>
      <c r="J26" s="2204">
        <v>2.15</v>
      </c>
      <c r="K26" s="2204">
        <v>5.32</v>
      </c>
      <c r="L26" s="2205">
        <v>1.57</v>
      </c>
      <c r="N26" s="2200">
        <f t="shared" si="187"/>
        <v>4.5599999999999995E-2</v>
      </c>
      <c r="O26" s="2185">
        <f t="shared" si="210"/>
        <v>2.1499999999999998E-2</v>
      </c>
      <c r="P26" s="2185">
        <f t="shared" si="210"/>
        <v>5.3200000000000004E-2</v>
      </c>
      <c r="Q26" s="2185">
        <f t="shared" si="210"/>
        <v>1.5700000000000002E-2</v>
      </c>
      <c r="R26" s="2201"/>
      <c r="S26" s="2210"/>
      <c r="T26" s="2211"/>
      <c r="U26" s="2211"/>
      <c r="V26" s="2211"/>
      <c r="X26" s="2184">
        <f>ROUND(SUMPRODUCT(PRODUCT(1+N26:N$36)),4)</f>
        <v>1.274</v>
      </c>
      <c r="Y26" s="2184">
        <f>ROUND(SUMPRODUCT(PRODUCT(1+O26:O$36)),4)</f>
        <v>1.1740999999999999</v>
      </c>
      <c r="Z26" s="2184">
        <f t="shared" si="0"/>
        <v>1.1740999999999999</v>
      </c>
      <c r="AA26" s="2184">
        <f>ROUND(SUMPRODUCT(PRODUCT(1+P26:P$36)),4)</f>
        <v>1.3087</v>
      </c>
      <c r="AB26" s="2184">
        <f>ROUND(SUMPRODUCT(PRODUCT(1+Q26:Q$36)),4)</f>
        <v>1.1551</v>
      </c>
      <c r="AD26" s="2185">
        <f>ROUND(AVERAGE(I26:I$37)/100,4)</f>
        <v>2.3E-2</v>
      </c>
      <c r="AE26" s="2185">
        <f>ROUND(AVERAGE(J26:J$37)/100,4)</f>
        <v>1.55E-2</v>
      </c>
      <c r="AF26" s="2185">
        <f t="shared" si="1"/>
        <v>1.55E-2</v>
      </c>
      <c r="AG26" s="2185">
        <f>ROUND(AVERAGE(K26:K$37)/100,4)</f>
        <v>2.5600000000000001E-2</v>
      </c>
      <c r="AH26" s="2185">
        <f>ROUND(AVERAGE(L26:L$37)/100,4)</f>
        <v>1.32E-2</v>
      </c>
    </row>
    <row r="27" spans="1:34">
      <c r="A27" s="2197" t="s">
        <v>153</v>
      </c>
      <c r="B27" s="2198">
        <f t="shared" ref="B27:C29" si="212">B26/(1+N26)</f>
        <v>374.90436113236416</v>
      </c>
      <c r="C27" s="2198">
        <f t="shared" si="212"/>
        <v>295.64366128242779</v>
      </c>
      <c r="D27" s="2198">
        <f t="shared" ref="D27:D86" si="213">C27</f>
        <v>295.64366128242779</v>
      </c>
      <c r="E27" s="2198">
        <f t="shared" ref="E27:F29" si="214">E26/(1+P26)</f>
        <v>525.06646410938095</v>
      </c>
      <c r="F27" s="2198">
        <f t="shared" si="214"/>
        <v>261.88835286009646</v>
      </c>
      <c r="G27" s="3479"/>
      <c r="H27" s="2199">
        <v>3</v>
      </c>
      <c r="I27" s="2199">
        <v>4.12</v>
      </c>
      <c r="J27" s="2199">
        <v>2</v>
      </c>
      <c r="K27" s="2199">
        <v>4.79</v>
      </c>
      <c r="L27" s="2203">
        <v>1.97</v>
      </c>
      <c r="N27" s="2200">
        <f t="shared" ref="N27:Q61" si="215">I27/100</f>
        <v>4.1200000000000001E-2</v>
      </c>
      <c r="O27" s="2185">
        <f t="shared" si="210"/>
        <v>0.02</v>
      </c>
      <c r="P27" s="2185">
        <f t="shared" si="210"/>
        <v>4.7899999999999998E-2</v>
      </c>
      <c r="Q27" s="2185">
        <f t="shared" si="210"/>
        <v>1.9699999999999999E-2</v>
      </c>
      <c r="R27" s="2201"/>
      <c r="S27" s="2200"/>
      <c r="T27" s="2185"/>
      <c r="U27" s="2185"/>
      <c r="V27" s="2185"/>
      <c r="X27" s="2184">
        <f>ROUND(SUMPRODUCT(PRODUCT(1+N27:N$36)),4)</f>
        <v>1.2184999999999999</v>
      </c>
      <c r="Y27" s="2184">
        <f>ROUND(SUMPRODUCT(PRODUCT(1+O27:O$36)),4)</f>
        <v>1.1494</v>
      </c>
      <c r="Z27" s="2184">
        <f t="shared" si="0"/>
        <v>1.1494</v>
      </c>
      <c r="AA27" s="2184">
        <f>ROUND(SUMPRODUCT(PRODUCT(1+P27:P$36)),4)</f>
        <v>1.2425999999999999</v>
      </c>
      <c r="AB27" s="2184">
        <f>ROUND(SUMPRODUCT(PRODUCT(1+Q27:Q$36)),4)</f>
        <v>1.1372</v>
      </c>
      <c r="AD27" s="2185">
        <f>ROUND(AVERAGE(I27:I$37)/100,4)</f>
        <v>2.0899999999999998E-2</v>
      </c>
      <c r="AE27" s="2185">
        <f>ROUND(AVERAGE(J27:J$37)/100,4)</f>
        <v>1.49E-2</v>
      </c>
      <c r="AF27" s="2185">
        <f t="shared" si="1"/>
        <v>1.49E-2</v>
      </c>
      <c r="AG27" s="2185">
        <f>ROUND(AVERAGE(K27:K$37)/100,4)</f>
        <v>2.3099999999999999E-2</v>
      </c>
      <c r="AH27" s="2185">
        <f>ROUND(AVERAGE(L27:L$37)/100,4)</f>
        <v>1.2999999999999999E-2</v>
      </c>
    </row>
    <row r="28" spans="1:34">
      <c r="A28" s="2197" t="s">
        <v>143</v>
      </c>
      <c r="B28" s="2198">
        <f t="shared" si="212"/>
        <v>360.06949782209392</v>
      </c>
      <c r="C28" s="2198">
        <f t="shared" si="212"/>
        <v>289.84672674747821</v>
      </c>
      <c r="D28" s="2198">
        <f t="shared" si="213"/>
        <v>289.84672674747821</v>
      </c>
      <c r="E28" s="2198">
        <f t="shared" si="214"/>
        <v>501.06543001181495</v>
      </c>
      <c r="F28" s="2198">
        <f t="shared" si="214"/>
        <v>256.82882500744967</v>
      </c>
      <c r="G28" s="3479"/>
      <c r="H28" s="2208">
        <v>2</v>
      </c>
      <c r="I28" s="2208">
        <v>3.85</v>
      </c>
      <c r="J28" s="2208">
        <v>1.95</v>
      </c>
      <c r="K28" s="2208">
        <v>4.4800000000000004</v>
      </c>
      <c r="L28" s="2209">
        <v>1.41</v>
      </c>
      <c r="N28" s="2200">
        <f t="shared" si="215"/>
        <v>3.85E-2</v>
      </c>
      <c r="O28" s="2185">
        <f t="shared" si="210"/>
        <v>1.95E-2</v>
      </c>
      <c r="P28" s="2185">
        <f t="shared" si="210"/>
        <v>4.4800000000000006E-2</v>
      </c>
      <c r="Q28" s="2185">
        <f t="shared" si="210"/>
        <v>1.41E-2</v>
      </c>
      <c r="R28" s="2201"/>
      <c r="S28" s="2200"/>
      <c r="T28" s="2185"/>
      <c r="U28" s="2185"/>
      <c r="V28" s="2185"/>
      <c r="X28" s="2184">
        <f>ROUND(SUMPRODUCT(PRODUCT(1+N28:N$36)),4)</f>
        <v>1.1702999999999999</v>
      </c>
      <c r="Y28" s="2184">
        <f>ROUND(SUMPRODUCT(PRODUCT(1+O28:O$36)),4)</f>
        <v>1.1269</v>
      </c>
      <c r="Z28" s="2184">
        <f t="shared" si="0"/>
        <v>1.1269</v>
      </c>
      <c r="AA28" s="2184">
        <f>ROUND(SUMPRODUCT(PRODUCT(1+P28:P$36)),4)</f>
        <v>1.1858</v>
      </c>
      <c r="AB28" s="2184">
        <f>ROUND(SUMPRODUCT(PRODUCT(1+Q28:Q$36)),4)</f>
        <v>1.1152</v>
      </c>
      <c r="AD28" s="2185">
        <f>ROUND(AVERAGE(I28:I$37)/100,4)</f>
        <v>1.89E-2</v>
      </c>
      <c r="AE28" s="2185">
        <f>ROUND(AVERAGE(J28:J$37)/100,4)</f>
        <v>1.44E-2</v>
      </c>
      <c r="AF28" s="2185">
        <f t="shared" si="1"/>
        <v>1.44E-2</v>
      </c>
      <c r="AG28" s="2185">
        <f>ROUND(AVERAGE(K28:K$37)/100,4)</f>
        <v>2.06E-2</v>
      </c>
      <c r="AH28" s="2185">
        <f>ROUND(AVERAGE(L28:L$37)/100,4)</f>
        <v>1.23E-2</v>
      </c>
    </row>
    <row r="29" spans="1:34" ht="13.5" thickBot="1">
      <c r="A29" s="2197" t="s">
        <v>152</v>
      </c>
      <c r="B29" s="2198">
        <f t="shared" si="212"/>
        <v>346.720748986128</v>
      </c>
      <c r="C29" s="2198">
        <f t="shared" si="212"/>
        <v>284.30282172386285</v>
      </c>
      <c r="D29" s="2198">
        <f t="shared" si="213"/>
        <v>284.30282172386285</v>
      </c>
      <c r="E29" s="2198">
        <f t="shared" si="214"/>
        <v>479.58023546306947</v>
      </c>
      <c r="F29" s="2198">
        <f t="shared" si="214"/>
        <v>253.25788877571213</v>
      </c>
      <c r="G29" s="3480"/>
      <c r="H29" s="2199">
        <v>1</v>
      </c>
      <c r="I29" s="2199">
        <v>4.09</v>
      </c>
      <c r="J29" s="2199">
        <v>2.93</v>
      </c>
      <c r="K29" s="2199">
        <v>4.54</v>
      </c>
      <c r="L29" s="2203">
        <v>1.48</v>
      </c>
      <c r="N29" s="2200">
        <f t="shared" si="215"/>
        <v>4.0899999999999999E-2</v>
      </c>
      <c r="O29" s="2185">
        <f t="shared" si="210"/>
        <v>2.9300000000000003E-2</v>
      </c>
      <c r="P29" s="2185">
        <f t="shared" si="210"/>
        <v>4.5400000000000003E-2</v>
      </c>
      <c r="Q29" s="2185">
        <f t="shared" si="210"/>
        <v>1.4800000000000001E-2</v>
      </c>
      <c r="R29" s="2201"/>
      <c r="S29" s="2212">
        <f>B29/B30-1</f>
        <v>4.1203450408792808E-2</v>
      </c>
      <c r="T29" s="2213">
        <f>C29/C30-1</f>
        <v>2.6363977342465095E-2</v>
      </c>
      <c r="U29" s="2213">
        <f>E29/E30-1</f>
        <v>4.4837114298626357E-2</v>
      </c>
      <c r="V29" s="2213">
        <f>F29/F30-1</f>
        <v>1.7099954922538574E-2</v>
      </c>
      <c r="X29" s="2184">
        <f>ROUND(SUMPRODUCT(PRODUCT(1+N29:N$36)),4)</f>
        <v>1.1269</v>
      </c>
      <c r="Y29" s="2184">
        <f>ROUND(SUMPRODUCT(PRODUCT(1+O29:O$36)),4)</f>
        <v>1.1052999999999999</v>
      </c>
      <c r="Z29" s="2184">
        <f t="shared" si="0"/>
        <v>1.1052999999999999</v>
      </c>
      <c r="AA29" s="2184">
        <f>ROUND(SUMPRODUCT(PRODUCT(1+P29:P$36)),4)</f>
        <v>1.1349</v>
      </c>
      <c r="AB29" s="2184">
        <f>ROUND(SUMPRODUCT(PRODUCT(1+Q29:Q$36)),4)</f>
        <v>1.0996999999999999</v>
      </c>
      <c r="AD29" s="2185">
        <f>ROUND(AVERAGE(I29:I$37)/100,4)</f>
        <v>1.67E-2</v>
      </c>
      <c r="AE29" s="2185">
        <f>ROUND(AVERAGE(J29:J$37)/100,4)</f>
        <v>1.38E-2</v>
      </c>
      <c r="AF29" s="2185">
        <f t="shared" si="1"/>
        <v>1.38E-2</v>
      </c>
      <c r="AG29" s="2185">
        <f>ROUND(AVERAGE(K29:K$37)/100,4)</f>
        <v>1.7899999999999999E-2</v>
      </c>
      <c r="AH29" s="2185">
        <f>ROUND(AVERAGE(L29:L$37)/100,4)</f>
        <v>1.21E-2</v>
      </c>
    </row>
    <row r="30" spans="1:34" ht="13.5" thickBot="1">
      <c r="A30" s="2197" t="s">
        <v>151</v>
      </c>
      <c r="B30" s="2206">
        <v>333</v>
      </c>
      <c r="C30" s="2206">
        <v>277</v>
      </c>
      <c r="D30" s="2206">
        <f t="shared" si="213"/>
        <v>277</v>
      </c>
      <c r="E30" s="2206">
        <v>459</v>
      </c>
      <c r="F30" s="2207">
        <v>249</v>
      </c>
      <c r="G30" s="3478">
        <v>2015</v>
      </c>
      <c r="H30" s="2214">
        <v>4</v>
      </c>
      <c r="I30" s="2214">
        <v>1.63</v>
      </c>
      <c r="J30" s="2214">
        <v>1.1100000000000001</v>
      </c>
      <c r="K30" s="2214">
        <v>1.77</v>
      </c>
      <c r="L30" s="2215">
        <v>1.89</v>
      </c>
      <c r="N30" s="2216">
        <f t="shared" si="215"/>
        <v>1.6299999999999999E-2</v>
      </c>
      <c r="O30" s="2217">
        <f t="shared" si="210"/>
        <v>1.11E-2</v>
      </c>
      <c r="P30" s="2217">
        <f t="shared" si="210"/>
        <v>1.77E-2</v>
      </c>
      <c r="Q30" s="2217">
        <f t="shared" si="210"/>
        <v>1.89E-2</v>
      </c>
      <c r="R30" s="2201"/>
      <c r="X30" s="2184">
        <f>ROUND(SUMPRODUCT(PRODUCT(1+N30:N$36)),4)</f>
        <v>1.0826</v>
      </c>
      <c r="Y30" s="2184">
        <f>ROUND(SUMPRODUCT(PRODUCT(1+O30:O$36)),4)</f>
        <v>1.0738000000000001</v>
      </c>
      <c r="Z30" s="2184">
        <f t="shared" si="0"/>
        <v>1.0738000000000001</v>
      </c>
      <c r="AA30" s="2184">
        <f>ROUND(SUMPRODUCT(PRODUCT(1+P30:P$36)),4)</f>
        <v>1.0855999999999999</v>
      </c>
      <c r="AB30" s="2184">
        <f>ROUND(SUMPRODUCT(PRODUCT(1+Q30:Q$36)),4)</f>
        <v>1.0837000000000001</v>
      </c>
      <c r="AD30" s="2185">
        <f>ROUND(AVERAGE(I30:I$37)/100,4)</f>
        <v>1.37E-2</v>
      </c>
      <c r="AE30" s="2185">
        <f>ROUND(AVERAGE(J30:J$37)/100,4)</f>
        <v>1.1900000000000001E-2</v>
      </c>
      <c r="AF30" s="2185">
        <f t="shared" si="1"/>
        <v>1.1900000000000001E-2</v>
      </c>
      <c r="AG30" s="2185">
        <f>ROUND(AVERAGE(K30:K$37)/100,4)</f>
        <v>1.4500000000000001E-2</v>
      </c>
      <c r="AH30" s="2185">
        <f>ROUND(AVERAGE(L30:L$37)/100,4)</f>
        <v>1.18E-2</v>
      </c>
    </row>
    <row r="31" spans="1:34">
      <c r="A31" s="2197" t="s">
        <v>150</v>
      </c>
      <c r="B31" s="2198">
        <f t="shared" ref="B31:C33" si="216">B30/(1+N30)</f>
        <v>327.65915576109415</v>
      </c>
      <c r="C31" s="2198">
        <f t="shared" si="216"/>
        <v>273.95905449510434</v>
      </c>
      <c r="D31" s="2198">
        <f t="shared" si="213"/>
        <v>273.95905449510434</v>
      </c>
      <c r="E31" s="2198">
        <f t="shared" ref="E31:F33" si="217">E30/(1+P30)</f>
        <v>451.01699911565294</v>
      </c>
      <c r="F31" s="2198">
        <f t="shared" si="217"/>
        <v>244.38119540681129</v>
      </c>
      <c r="G31" s="3479"/>
      <c r="H31" s="2219">
        <v>3</v>
      </c>
      <c r="I31" s="2219">
        <v>1.65</v>
      </c>
      <c r="J31" s="2219">
        <v>0.92</v>
      </c>
      <c r="K31" s="2219">
        <v>1.88</v>
      </c>
      <c r="L31" s="2220">
        <v>1.26</v>
      </c>
      <c r="N31" s="2200">
        <f t="shared" si="215"/>
        <v>1.6500000000000001E-2</v>
      </c>
      <c r="O31" s="2185">
        <f t="shared" si="210"/>
        <v>9.1999999999999998E-3</v>
      </c>
      <c r="P31" s="2185">
        <f t="shared" si="210"/>
        <v>1.8799999999999997E-2</v>
      </c>
      <c r="Q31" s="2185">
        <f t="shared" si="210"/>
        <v>1.26E-2</v>
      </c>
      <c r="R31" s="2201"/>
      <c r="S31" s="2200"/>
      <c r="T31" s="2185"/>
      <c r="U31" s="2185"/>
      <c r="V31" s="2185"/>
      <c r="X31" s="2184">
        <f>ROUND(SUMPRODUCT(PRODUCT(1+N31:N$36)),4)</f>
        <v>1.0651999999999999</v>
      </c>
      <c r="Y31" s="2184">
        <f>ROUND(SUMPRODUCT(PRODUCT(1+O31:O$36)),4)</f>
        <v>1.0621</v>
      </c>
      <c r="Z31" s="2184">
        <f t="shared" si="0"/>
        <v>1.0621</v>
      </c>
      <c r="AA31" s="2184">
        <f>ROUND(SUMPRODUCT(PRODUCT(1+P31:P$36)),4)</f>
        <v>1.0668</v>
      </c>
      <c r="AB31" s="2184">
        <f>ROUND(SUMPRODUCT(PRODUCT(1+Q31:Q$36)),4)</f>
        <v>1.0636000000000001</v>
      </c>
      <c r="AD31" s="2185">
        <f>ROUND(AVERAGE(I31:I$37)/100,4)</f>
        <v>1.3299999999999999E-2</v>
      </c>
      <c r="AE31" s="2185">
        <f>ROUND(AVERAGE(J31:J$37)/100,4)</f>
        <v>1.2E-2</v>
      </c>
      <c r="AF31" s="2185">
        <f t="shared" si="1"/>
        <v>1.2E-2</v>
      </c>
      <c r="AG31" s="2185">
        <f>ROUND(AVERAGE(K31:K$37)/100,4)</f>
        <v>1.4E-2</v>
      </c>
      <c r="AH31" s="2185">
        <f>ROUND(AVERAGE(L31:L$37)/100,4)</f>
        <v>1.0800000000000001E-2</v>
      </c>
    </row>
    <row r="32" spans="1:34">
      <c r="A32" s="2197" t="s">
        <v>149</v>
      </c>
      <c r="B32" s="2198">
        <f t="shared" si="216"/>
        <v>322.34053690220776</v>
      </c>
      <c r="C32" s="2198">
        <f t="shared" si="216"/>
        <v>271.46160770422546</v>
      </c>
      <c r="D32" s="2198">
        <f t="shared" si="213"/>
        <v>271.46160770422546</v>
      </c>
      <c r="E32" s="2198">
        <f t="shared" si="217"/>
        <v>442.69434542172456</v>
      </c>
      <c r="F32" s="2198">
        <f t="shared" si="217"/>
        <v>241.34030753190925</v>
      </c>
      <c r="G32" s="3479"/>
      <c r="H32" s="2208">
        <v>2</v>
      </c>
      <c r="I32" s="2208">
        <v>0.77</v>
      </c>
      <c r="J32" s="2208">
        <v>0.69</v>
      </c>
      <c r="K32" s="2208">
        <v>0.8</v>
      </c>
      <c r="L32" s="2209">
        <v>0.88</v>
      </c>
      <c r="N32" s="2200">
        <f t="shared" si="215"/>
        <v>7.7000000000000002E-3</v>
      </c>
      <c r="O32" s="2185">
        <f t="shared" si="210"/>
        <v>6.8999999999999999E-3</v>
      </c>
      <c r="P32" s="2185">
        <f t="shared" si="210"/>
        <v>8.0000000000000002E-3</v>
      </c>
      <c r="Q32" s="2185">
        <f t="shared" si="210"/>
        <v>8.8000000000000005E-3</v>
      </c>
      <c r="R32" s="2201"/>
      <c r="S32" s="2200"/>
      <c r="T32" s="2185"/>
      <c r="U32" s="2185"/>
      <c r="V32" s="2185"/>
      <c r="X32" s="2184">
        <f>ROUND(SUMPRODUCT(PRODUCT(1+N32:N$36)),4)</f>
        <v>1.048</v>
      </c>
      <c r="Y32" s="2184">
        <f>ROUND(SUMPRODUCT(PRODUCT(1+O32:O$36)),4)</f>
        <v>1.0524</v>
      </c>
      <c r="Z32" s="2184">
        <f t="shared" si="0"/>
        <v>1.0524</v>
      </c>
      <c r="AA32" s="2184">
        <f>ROUND(SUMPRODUCT(PRODUCT(1+P32:P$36)),4)</f>
        <v>1.0470999999999999</v>
      </c>
      <c r="AB32" s="2184">
        <f>ROUND(SUMPRODUCT(PRODUCT(1+Q32:Q$36)),4)</f>
        <v>1.0504</v>
      </c>
      <c r="AD32" s="2185">
        <f>ROUND(AVERAGE(I32:I$37)/100,4)</f>
        <v>1.2800000000000001E-2</v>
      </c>
      <c r="AE32" s="2185">
        <f>ROUND(AVERAGE(J32:J$37)/100,4)</f>
        <v>1.2500000000000001E-2</v>
      </c>
      <c r="AF32" s="2185">
        <f t="shared" si="1"/>
        <v>1.2500000000000001E-2</v>
      </c>
      <c r="AG32" s="2185">
        <f>ROUND(AVERAGE(K32:K$37)/100,4)</f>
        <v>1.32E-2</v>
      </c>
      <c r="AH32" s="2185">
        <f>ROUND(AVERAGE(L32:L$37)/100,4)</f>
        <v>1.0500000000000001E-2</v>
      </c>
    </row>
    <row r="33" spans="1:34">
      <c r="A33" s="2197" t="s">
        <v>148</v>
      </c>
      <c r="B33" s="2198">
        <f t="shared" si="216"/>
        <v>319.87748030386797</v>
      </c>
      <c r="C33" s="2198">
        <f t="shared" si="216"/>
        <v>269.60135833173649</v>
      </c>
      <c r="D33" s="2198">
        <f t="shared" si="213"/>
        <v>269.60135833173649</v>
      </c>
      <c r="E33" s="2198">
        <f t="shared" si="217"/>
        <v>439.18089823583784</v>
      </c>
      <c r="F33" s="2198">
        <f t="shared" si="217"/>
        <v>239.23503918706311</v>
      </c>
      <c r="G33" s="3480"/>
      <c r="H33" s="2199">
        <v>1</v>
      </c>
      <c r="I33" s="2199">
        <v>0.51</v>
      </c>
      <c r="J33" s="2199">
        <v>0.54</v>
      </c>
      <c r="K33" s="2199">
        <v>0.48</v>
      </c>
      <c r="L33" s="2203">
        <v>0.93</v>
      </c>
      <c r="N33" s="2212">
        <f t="shared" si="215"/>
        <v>5.1000000000000004E-3</v>
      </c>
      <c r="O33" s="2213">
        <f t="shared" si="210"/>
        <v>5.4000000000000003E-3</v>
      </c>
      <c r="P33" s="2213">
        <f t="shared" si="210"/>
        <v>4.7999999999999996E-3</v>
      </c>
      <c r="Q33" s="2213">
        <f t="shared" si="210"/>
        <v>9.300000000000001E-3</v>
      </c>
      <c r="R33" s="2201"/>
      <c r="S33" s="2212">
        <f>B33/B34-1</f>
        <v>5.9040261127922822E-3</v>
      </c>
      <c r="T33" s="2213">
        <f>C33/C34-1</f>
        <v>5.9752176557332781E-3</v>
      </c>
      <c r="U33" s="2213">
        <f>E33/E34-1</f>
        <v>4.9906138119859556E-3</v>
      </c>
      <c r="V33" s="2213">
        <f>F33/F34-1</f>
        <v>9.4305450930933787E-3</v>
      </c>
      <c r="X33" s="2184">
        <f>ROUND(SUMPRODUCT(PRODUCT(1+N33:N$36)),4)</f>
        <v>1.0399</v>
      </c>
      <c r="Y33" s="2184">
        <f>ROUND(SUMPRODUCT(PRODUCT(1+O33:O$36)),4)</f>
        <v>1.0451999999999999</v>
      </c>
      <c r="Z33" s="2184">
        <f t="shared" si="0"/>
        <v>1.0451999999999999</v>
      </c>
      <c r="AA33" s="2184">
        <f>ROUND(SUMPRODUCT(PRODUCT(1+P33:P$36)),4)</f>
        <v>1.0387999999999999</v>
      </c>
      <c r="AB33" s="2184">
        <f>ROUND(SUMPRODUCT(PRODUCT(1+Q33:Q$36)),4)</f>
        <v>1.0411999999999999</v>
      </c>
      <c r="AD33" s="2185">
        <f>ROUND(AVERAGE(I33:I$37)/100,4)</f>
        <v>1.38E-2</v>
      </c>
      <c r="AE33" s="2185">
        <f>ROUND(AVERAGE(J33:J$37)/100,4)</f>
        <v>1.3599999999999999E-2</v>
      </c>
      <c r="AF33" s="2185">
        <f t="shared" si="1"/>
        <v>1.3599999999999999E-2</v>
      </c>
      <c r="AG33" s="2185">
        <f>ROUND(AVERAGE(K33:K$37)/100,4)</f>
        <v>1.4200000000000001E-2</v>
      </c>
      <c r="AH33" s="2185">
        <f>ROUND(AVERAGE(L33:L$37)/100,4)</f>
        <v>1.0800000000000001E-2</v>
      </c>
    </row>
    <row r="34" spans="1:34" ht="13.5" thickBot="1">
      <c r="A34" s="2197" t="s">
        <v>147</v>
      </c>
      <c r="B34" s="2221">
        <v>318</v>
      </c>
      <c r="C34" s="2221">
        <v>268</v>
      </c>
      <c r="D34" s="2221">
        <f t="shared" si="213"/>
        <v>268</v>
      </c>
      <c r="E34" s="2221">
        <v>437</v>
      </c>
      <c r="F34" s="2222">
        <v>237</v>
      </c>
      <c r="G34" s="3478">
        <v>2014</v>
      </c>
      <c r="H34" s="2214">
        <v>4</v>
      </c>
      <c r="I34" s="2214">
        <v>0.21</v>
      </c>
      <c r="J34" s="2214">
        <v>0.41</v>
      </c>
      <c r="K34" s="2214">
        <v>0.12</v>
      </c>
      <c r="L34" s="2215">
        <v>0.89</v>
      </c>
      <c r="N34" s="2200">
        <f t="shared" si="215"/>
        <v>2.0999999999999999E-3</v>
      </c>
      <c r="O34" s="2185">
        <f t="shared" si="210"/>
        <v>4.0999999999999995E-3</v>
      </c>
      <c r="P34" s="2185">
        <f t="shared" si="210"/>
        <v>1.1999999999999999E-3</v>
      </c>
      <c r="Q34" s="2185">
        <f t="shared" si="210"/>
        <v>8.8999999999999999E-3</v>
      </c>
      <c r="R34" s="2201"/>
      <c r="S34" s="2210"/>
      <c r="T34" s="2211"/>
      <c r="U34" s="2211"/>
      <c r="V34" s="2211"/>
      <c r="X34" s="2184">
        <f>ROUND(SUMPRODUCT(PRODUCT(1+N34:N$36)),4)</f>
        <v>1.0347</v>
      </c>
      <c r="Y34" s="2184">
        <f>ROUND(SUMPRODUCT(PRODUCT(1+O34:O$36)),4)</f>
        <v>1.0395000000000001</v>
      </c>
      <c r="Z34" s="2184">
        <f t="shared" si="0"/>
        <v>1.0395000000000001</v>
      </c>
      <c r="AA34" s="2184">
        <f>ROUND(SUMPRODUCT(PRODUCT(1+P34:P$36)),4)</f>
        <v>1.0338000000000001</v>
      </c>
      <c r="AB34" s="2184">
        <f>ROUND(SUMPRODUCT(PRODUCT(1+Q34:Q$36)),4)</f>
        <v>1.0316000000000001</v>
      </c>
      <c r="AD34" s="2185">
        <f>ROUND(AVERAGE(I34:I$37)/100,4)</f>
        <v>1.6E-2</v>
      </c>
      <c r="AE34" s="2185">
        <f>ROUND(AVERAGE(J34:J$37)/100,4)</f>
        <v>1.5599999999999999E-2</v>
      </c>
      <c r="AF34" s="2185">
        <f t="shared" si="1"/>
        <v>1.5599999999999999E-2</v>
      </c>
      <c r="AG34" s="2185">
        <f>ROUND(AVERAGE(K34:K$37)/100,4)</f>
        <v>1.66E-2</v>
      </c>
      <c r="AH34" s="2185">
        <f>ROUND(AVERAGE(L34:L$37)/100,4)</f>
        <v>1.12E-2</v>
      </c>
    </row>
    <row r="35" spans="1:34">
      <c r="A35" s="2197" t="s">
        <v>146</v>
      </c>
      <c r="B35" s="2198">
        <f t="shared" ref="B35:C37" si="218">B34/(1+N34)</f>
        <v>317.33359944117353</v>
      </c>
      <c r="C35" s="2198">
        <f t="shared" si="218"/>
        <v>266.90568668459315</v>
      </c>
      <c r="D35" s="2198">
        <f t="shared" si="213"/>
        <v>266.90568668459315</v>
      </c>
      <c r="E35" s="2198">
        <f t="shared" ref="E35:F37" si="219">E34/(1+P34)</f>
        <v>436.47622852576905</v>
      </c>
      <c r="F35" s="2198">
        <f t="shared" si="219"/>
        <v>234.90930716622066</v>
      </c>
      <c r="G35" s="3479"/>
      <c r="H35" s="2223">
        <v>3</v>
      </c>
      <c r="I35" s="2223">
        <v>0.83</v>
      </c>
      <c r="J35" s="2223">
        <v>1.47</v>
      </c>
      <c r="K35" s="2223">
        <v>0.65</v>
      </c>
      <c r="L35" s="2224">
        <v>0.72</v>
      </c>
      <c r="N35" s="2200">
        <f t="shared" si="215"/>
        <v>8.3000000000000001E-3</v>
      </c>
      <c r="O35" s="2185">
        <f t="shared" si="210"/>
        <v>1.47E-2</v>
      </c>
      <c r="P35" s="2185">
        <f t="shared" si="210"/>
        <v>6.5000000000000006E-3</v>
      </c>
      <c r="Q35" s="2185">
        <f t="shared" si="210"/>
        <v>7.1999999999999998E-3</v>
      </c>
      <c r="R35" s="2201"/>
      <c r="S35" s="2200"/>
      <c r="T35" s="2185"/>
      <c r="U35" s="2185"/>
      <c r="V35" s="2185"/>
      <c r="X35" s="2184">
        <f>ROUND(SUMPRODUCT(PRODUCT(1+N35:N$36)),4)</f>
        <v>1.0325</v>
      </c>
      <c r="Y35" s="2184">
        <f>ROUND(SUMPRODUCT(PRODUCT(1+O35:O$36)),4)</f>
        <v>1.0353000000000001</v>
      </c>
      <c r="Z35" s="2184">
        <f t="shared" ref="Z35:Z36" si="220">Y35</f>
        <v>1.0353000000000001</v>
      </c>
      <c r="AA35" s="2184">
        <f>ROUND(SUMPRODUCT(PRODUCT(1+P35:P$36)),4)</f>
        <v>1.0326</v>
      </c>
      <c r="AB35" s="2184">
        <f>ROUND(SUMPRODUCT(PRODUCT(1+Q35:Q$36)),4)</f>
        <v>1.0225</v>
      </c>
      <c r="AD35" s="2185">
        <f>ROUND(AVERAGE(I35:I$37)/100,4)</f>
        <v>2.07E-2</v>
      </c>
      <c r="AE35" s="2185">
        <f>ROUND(AVERAGE(J35:J$37)/100,4)</f>
        <v>1.95E-2</v>
      </c>
      <c r="AF35" s="2185">
        <f t="shared" si="1"/>
        <v>1.95E-2</v>
      </c>
      <c r="AG35" s="2185">
        <f>ROUND(AVERAGE(K35:K$37)/100,4)</f>
        <v>2.1700000000000001E-2</v>
      </c>
      <c r="AH35" s="2185">
        <f>ROUND(AVERAGE(L35:L$37)/100,4)</f>
        <v>1.2E-2</v>
      </c>
    </row>
    <row r="36" spans="1:34" ht="13.5" thickBot="1">
      <c r="A36" s="2197" t="s">
        <v>145</v>
      </c>
      <c r="B36" s="2198">
        <f t="shared" si="218"/>
        <v>314.72141172386546</v>
      </c>
      <c r="C36" s="2198">
        <f t="shared" si="218"/>
        <v>263.03901319069001</v>
      </c>
      <c r="D36" s="2198">
        <f t="shared" si="213"/>
        <v>263.03901319069001</v>
      </c>
      <c r="E36" s="2198">
        <f t="shared" si="219"/>
        <v>433.65745506782821</v>
      </c>
      <c r="F36" s="2198">
        <f t="shared" si="219"/>
        <v>233.23005080045735</v>
      </c>
      <c r="G36" s="3479"/>
      <c r="H36" s="2214">
        <v>2</v>
      </c>
      <c r="I36" s="2214">
        <v>2.4</v>
      </c>
      <c r="J36" s="2214">
        <v>2.0299999999999998</v>
      </c>
      <c r="K36" s="2214">
        <v>2.59</v>
      </c>
      <c r="L36" s="2215">
        <v>1.52</v>
      </c>
      <c r="N36" s="2200">
        <f t="shared" si="215"/>
        <v>2.4E-2</v>
      </c>
      <c r="O36" s="2185">
        <f t="shared" si="210"/>
        <v>2.0299999999999999E-2</v>
      </c>
      <c r="P36" s="2185">
        <f t="shared" si="210"/>
        <v>2.5899999999999999E-2</v>
      </c>
      <c r="Q36" s="2185">
        <f t="shared" si="210"/>
        <v>1.52E-2</v>
      </c>
      <c r="R36" s="2201"/>
      <c r="S36" s="2200"/>
      <c r="T36" s="2185"/>
      <c r="U36" s="2185"/>
      <c r="V36" s="2185"/>
      <c r="X36" s="2184">
        <f>1+N36</f>
        <v>1.024</v>
      </c>
      <c r="Y36" s="2184">
        <f>1+O36</f>
        <v>1.0203</v>
      </c>
      <c r="Z36" s="2184">
        <f t="shared" si="220"/>
        <v>1.0203</v>
      </c>
      <c r="AA36" s="2184">
        <f>1+P36</f>
        <v>1.0259</v>
      </c>
      <c r="AB36" s="2184">
        <f>1+Q36</f>
        <v>1.0152000000000001</v>
      </c>
      <c r="AD36" s="2185">
        <f>ROUND(AVERAGE(I36:I$37)/100,4)</f>
        <v>2.69E-2</v>
      </c>
      <c r="AE36" s="2185">
        <f>ROUND(AVERAGE(J36:J$37)/100,4)</f>
        <v>2.1899999999999999E-2</v>
      </c>
      <c r="AF36" s="2185">
        <f t="shared" ref="AF36" si="221">AE36</f>
        <v>2.1899999999999999E-2</v>
      </c>
      <c r="AG36" s="2185">
        <f>ROUND(AVERAGE(K36:K$37)/100,4)</f>
        <v>2.9399999999999999E-2</v>
      </c>
      <c r="AH36" s="2185">
        <f>ROUND(AVERAGE(L36:L$37)/100,4)</f>
        <v>1.44E-2</v>
      </c>
    </row>
    <row r="37" spans="1:34" s="2229" customFormat="1" ht="13.5" thickBot="1">
      <c r="A37" s="2225" t="s">
        <v>144</v>
      </c>
      <c r="B37" s="2226">
        <f t="shared" si="218"/>
        <v>307.34512863658733</v>
      </c>
      <c r="C37" s="2226">
        <f t="shared" si="218"/>
        <v>257.80556031626975</v>
      </c>
      <c r="D37" s="2226">
        <f t="shared" si="213"/>
        <v>257.80556031626975</v>
      </c>
      <c r="E37" s="2226">
        <f t="shared" si="219"/>
        <v>422.70928459677179</v>
      </c>
      <c r="F37" s="2226">
        <f t="shared" si="219"/>
        <v>229.73803270336617</v>
      </c>
      <c r="G37" s="3480"/>
      <c r="H37" s="2227">
        <v>1</v>
      </c>
      <c r="I37" s="2227">
        <v>2.97</v>
      </c>
      <c r="J37" s="2227">
        <v>2.34</v>
      </c>
      <c r="K37" s="2227">
        <v>3.28</v>
      </c>
      <c r="L37" s="2228">
        <v>1.36</v>
      </c>
      <c r="N37" s="2230">
        <f t="shared" si="215"/>
        <v>2.9700000000000001E-2</v>
      </c>
      <c r="O37" s="2231">
        <f t="shared" si="210"/>
        <v>2.3399999999999997E-2</v>
      </c>
      <c r="P37" s="2231">
        <f t="shared" si="210"/>
        <v>3.2799999999999996E-2</v>
      </c>
      <c r="Q37" s="2231">
        <f t="shared" si="210"/>
        <v>1.3600000000000001E-2</v>
      </c>
      <c r="R37" s="2232"/>
      <c r="S37" s="2233">
        <f>B37/B38-1</f>
        <v>2.7910129219355539E-2</v>
      </c>
      <c r="T37" s="2234">
        <f>C37/C38-1</f>
        <v>2.3037937762975247E-2</v>
      </c>
      <c r="U37" s="2234">
        <f>E37/E38-1</f>
        <v>3.3519033243940788E-2</v>
      </c>
      <c r="V37" s="2234">
        <f>F37/F38-1</f>
        <v>1.2061818076502862E-2</v>
      </c>
      <c r="W37" s="2235" t="s">
        <v>889</v>
      </c>
      <c r="X37" s="2229">
        <v>1</v>
      </c>
      <c r="Y37" s="2229">
        <v>1</v>
      </c>
      <c r="Z37" s="2229">
        <v>1</v>
      </c>
      <c r="AA37" s="2229">
        <v>1</v>
      </c>
      <c r="AB37" s="2229">
        <v>1</v>
      </c>
      <c r="AD37" s="2231">
        <f>I37/100</f>
        <v>2.9700000000000001E-2</v>
      </c>
      <c r="AE37" s="2231">
        <f>J37/100</f>
        <v>2.3399999999999997E-2</v>
      </c>
      <c r="AF37" s="2231">
        <f>AE37</f>
        <v>2.3399999999999997E-2</v>
      </c>
      <c r="AG37" s="2231">
        <f>K37/100</f>
        <v>3.2799999999999996E-2</v>
      </c>
      <c r="AH37" s="2231">
        <f>L37/100</f>
        <v>1.3600000000000001E-2</v>
      </c>
    </row>
    <row r="38" spans="1:34" ht="13.5" thickBot="1">
      <c r="A38" s="2197" t="s">
        <v>890</v>
      </c>
      <c r="B38" s="2206">
        <v>299</v>
      </c>
      <c r="C38" s="2206">
        <v>252</v>
      </c>
      <c r="D38" s="2206">
        <f t="shared" si="213"/>
        <v>252</v>
      </c>
      <c r="E38" s="2206">
        <v>409</v>
      </c>
      <c r="F38" s="2207">
        <v>227</v>
      </c>
      <c r="G38" s="3483">
        <v>2013</v>
      </c>
      <c r="H38" s="2236">
        <v>4</v>
      </c>
      <c r="I38" s="2236">
        <v>1.83</v>
      </c>
      <c r="J38" s="2236">
        <v>1.68</v>
      </c>
      <c r="K38" s="2236">
        <v>1.97</v>
      </c>
      <c r="L38" s="2237">
        <v>0.87</v>
      </c>
      <c r="N38" s="2216">
        <f t="shared" si="215"/>
        <v>1.83E-2</v>
      </c>
      <c r="O38" s="2217">
        <f t="shared" si="210"/>
        <v>1.6799999999999999E-2</v>
      </c>
      <c r="P38" s="2217">
        <f t="shared" si="210"/>
        <v>1.9699999999999999E-2</v>
      </c>
      <c r="Q38" s="2217">
        <f t="shared" si="210"/>
        <v>8.6999999999999994E-3</v>
      </c>
      <c r="R38" s="2201"/>
      <c r="S38" s="2210"/>
      <c r="T38" s="2211"/>
      <c r="U38" s="2211"/>
      <c r="V38" s="2211"/>
      <c r="X38" s="2211"/>
      <c r="Y38" s="2211"/>
      <c r="Z38" s="2211"/>
    </row>
    <row r="39" spans="1:34">
      <c r="A39" s="2197" t="s">
        <v>891</v>
      </c>
      <c r="B39" s="2198">
        <f t="shared" ref="B39:C41" si="222">B38/(1+N38)</f>
        <v>293.62663262299913</v>
      </c>
      <c r="C39" s="2198">
        <f t="shared" si="222"/>
        <v>247.83634933123525</v>
      </c>
      <c r="D39" s="2198">
        <f t="shared" si="213"/>
        <v>247.83634933123525</v>
      </c>
      <c r="E39" s="2198">
        <f t="shared" ref="E39:F41" si="223">E38/(1+P38)</f>
        <v>401.09836226341076</v>
      </c>
      <c r="F39" s="2198">
        <f t="shared" si="223"/>
        <v>225.04213343908003</v>
      </c>
      <c r="G39" s="3484"/>
      <c r="H39" s="2219">
        <v>3</v>
      </c>
      <c r="I39" s="2219">
        <v>1.86</v>
      </c>
      <c r="J39" s="2219">
        <v>1.72</v>
      </c>
      <c r="K39" s="2219">
        <v>1.98</v>
      </c>
      <c r="L39" s="2220">
        <v>0.88</v>
      </c>
      <c r="N39" s="2200">
        <f t="shared" si="215"/>
        <v>1.8600000000000002E-2</v>
      </c>
      <c r="O39" s="2185">
        <f t="shared" si="210"/>
        <v>1.72E-2</v>
      </c>
      <c r="P39" s="2185">
        <f t="shared" si="210"/>
        <v>1.9799999999999998E-2</v>
      </c>
      <c r="Q39" s="2185">
        <f t="shared" si="210"/>
        <v>8.8000000000000005E-3</v>
      </c>
      <c r="R39" s="2201"/>
      <c r="S39" s="2200"/>
      <c r="T39" s="2185"/>
      <c r="U39" s="2185"/>
      <c r="V39" s="2185"/>
    </row>
    <row r="40" spans="1:34">
      <c r="A40" s="2197" t="s">
        <v>892</v>
      </c>
      <c r="B40" s="2198">
        <f t="shared" si="222"/>
        <v>288.2649053828776</v>
      </c>
      <c r="C40" s="2198">
        <f t="shared" si="222"/>
        <v>243.64564425013293</v>
      </c>
      <c r="D40" s="2198">
        <f t="shared" si="213"/>
        <v>243.64564425013293</v>
      </c>
      <c r="E40" s="2198">
        <f t="shared" si="223"/>
        <v>393.31080825986544</v>
      </c>
      <c r="F40" s="2198">
        <f t="shared" si="223"/>
        <v>223.07903790551154</v>
      </c>
      <c r="G40" s="3484"/>
      <c r="H40" s="2208">
        <v>2</v>
      </c>
      <c r="I40" s="2208">
        <v>2.04</v>
      </c>
      <c r="J40" s="2208">
        <v>2.33</v>
      </c>
      <c r="K40" s="2208">
        <v>2.0699999999999998</v>
      </c>
      <c r="L40" s="2209">
        <v>0.69</v>
      </c>
      <c r="N40" s="2200">
        <f t="shared" si="215"/>
        <v>2.0400000000000001E-2</v>
      </c>
      <c r="O40" s="2185">
        <f t="shared" si="210"/>
        <v>2.3300000000000001E-2</v>
      </c>
      <c r="P40" s="2185">
        <f t="shared" si="210"/>
        <v>2.07E-2</v>
      </c>
      <c r="Q40" s="2185">
        <f t="shared" si="210"/>
        <v>6.8999999999999999E-3</v>
      </c>
      <c r="R40" s="2201"/>
      <c r="S40" s="2200"/>
      <c r="T40" s="2185"/>
      <c r="U40" s="2185"/>
      <c r="V40" s="2185"/>
      <c r="X40" s="2238"/>
      <c r="Y40" s="2239"/>
    </row>
    <row r="41" spans="1:34">
      <c r="A41" s="2197" t="s">
        <v>893</v>
      </c>
      <c r="B41" s="2198">
        <f t="shared" si="222"/>
        <v>282.50186729015837</v>
      </c>
      <c r="C41" s="2198">
        <f t="shared" si="222"/>
        <v>238.09796174155468</v>
      </c>
      <c r="D41" s="2198">
        <f t="shared" si="213"/>
        <v>238.09796174155468</v>
      </c>
      <c r="E41" s="2198">
        <f t="shared" si="223"/>
        <v>385.33438646014054</v>
      </c>
      <c r="F41" s="2198">
        <f t="shared" si="223"/>
        <v>221.55034055567739</v>
      </c>
      <c r="G41" s="3485"/>
      <c r="H41" s="2199">
        <v>1</v>
      </c>
      <c r="I41" s="2199">
        <v>1.67</v>
      </c>
      <c r="J41" s="2199">
        <v>1.31</v>
      </c>
      <c r="K41" s="2199">
        <v>1.85</v>
      </c>
      <c r="L41" s="2203">
        <v>0.96</v>
      </c>
      <c r="N41" s="2212">
        <f t="shared" si="215"/>
        <v>1.67E-2</v>
      </c>
      <c r="O41" s="2213">
        <f t="shared" si="215"/>
        <v>1.3100000000000001E-2</v>
      </c>
      <c r="P41" s="2213">
        <f t="shared" si="215"/>
        <v>1.8500000000000003E-2</v>
      </c>
      <c r="Q41" s="2213">
        <f t="shared" si="215"/>
        <v>9.5999999999999992E-3</v>
      </c>
      <c r="R41" s="2201"/>
      <c r="S41" s="2212">
        <f>B41/B42-1</f>
        <v>1.6193767230785472E-2</v>
      </c>
      <c r="T41" s="2213">
        <f>C41/C42-1</f>
        <v>1.7512657015190891E-2</v>
      </c>
      <c r="U41" s="2213">
        <f>E41/E42-1</f>
        <v>1.6713420739157048E-2</v>
      </c>
      <c r="V41" s="2213">
        <f>F41/F42-1</f>
        <v>7.0470025258062563E-3</v>
      </c>
      <c r="Y41" s="2185"/>
      <c r="Z41" s="2185"/>
    </row>
    <row r="42" spans="1:34" ht="13.5" thickBot="1">
      <c r="A42" s="2197" t="s">
        <v>894</v>
      </c>
      <c r="B42" s="2240">
        <v>278</v>
      </c>
      <c r="C42" s="2240">
        <v>234</v>
      </c>
      <c r="D42" s="2240">
        <f t="shared" si="213"/>
        <v>234</v>
      </c>
      <c r="E42" s="2240">
        <v>379</v>
      </c>
      <c r="F42" s="2241">
        <v>220</v>
      </c>
      <c r="G42" s="3478">
        <v>2012</v>
      </c>
      <c r="H42" s="2214">
        <v>4</v>
      </c>
      <c r="I42" s="2214">
        <v>0.91</v>
      </c>
      <c r="J42" s="2214">
        <v>0.68</v>
      </c>
      <c r="K42" s="2214">
        <v>0.98</v>
      </c>
      <c r="L42" s="2215">
        <v>0.9</v>
      </c>
      <c r="N42" s="2200">
        <f t="shared" si="215"/>
        <v>9.1000000000000004E-3</v>
      </c>
      <c r="O42" s="2185">
        <f t="shared" si="215"/>
        <v>6.8000000000000005E-3</v>
      </c>
      <c r="P42" s="2185">
        <f t="shared" si="215"/>
        <v>9.7999999999999997E-3</v>
      </c>
      <c r="Q42" s="2185">
        <f t="shared" si="215"/>
        <v>9.0000000000000011E-3</v>
      </c>
      <c r="R42" s="2201"/>
      <c r="S42" s="2210"/>
      <c r="T42" s="2211"/>
      <c r="U42" s="2211"/>
      <c r="V42" s="2211"/>
      <c r="X42" s="2211"/>
      <c r="Y42" s="2211"/>
      <c r="Z42" s="2211"/>
    </row>
    <row r="43" spans="1:34">
      <c r="A43" s="2197" t="s">
        <v>895</v>
      </c>
      <c r="B43" s="2198">
        <f>B42/(1+N42)</f>
        <v>275.49301357645425</v>
      </c>
      <c r="C43" s="2198">
        <f>C42/(1+O42)</f>
        <v>232.41954707985698</v>
      </c>
      <c r="D43" s="2198">
        <f t="shared" si="213"/>
        <v>232.41954707985698</v>
      </c>
      <c r="E43" s="2198">
        <f t="shared" ref="E43:F45" si="224">E42/(1+P42)</f>
        <v>375.32184591008121</v>
      </c>
      <c r="F43" s="2198">
        <f t="shared" si="224"/>
        <v>218.03766105054513</v>
      </c>
      <c r="G43" s="3479"/>
      <c r="H43" s="2219">
        <v>3</v>
      </c>
      <c r="I43" s="2219">
        <v>0.09</v>
      </c>
      <c r="J43" s="2219">
        <v>0.28999999999999998</v>
      </c>
      <c r="K43" s="2219">
        <v>-0.01</v>
      </c>
      <c r="L43" s="2220">
        <v>0.57999999999999996</v>
      </c>
      <c r="N43" s="2200">
        <f t="shared" si="215"/>
        <v>8.9999999999999998E-4</v>
      </c>
      <c r="O43" s="2185">
        <f t="shared" si="215"/>
        <v>2.8999999999999998E-3</v>
      </c>
      <c r="P43" s="2185">
        <f t="shared" si="215"/>
        <v>-1E-4</v>
      </c>
      <c r="Q43" s="2185">
        <f t="shared" si="215"/>
        <v>5.7999999999999996E-3</v>
      </c>
      <c r="R43" s="2201"/>
      <c r="S43" s="2200"/>
      <c r="T43" s="2185"/>
      <c r="U43" s="2185"/>
      <c r="V43" s="2185"/>
    </row>
    <row r="44" spans="1:34">
      <c r="A44" s="2197" t="s">
        <v>896</v>
      </c>
      <c r="B44" s="2198">
        <f>B43/(1+N43)</f>
        <v>275.24529281292263</v>
      </c>
      <c r="C44" s="2198">
        <f>C43/(1+O43)</f>
        <v>231.74747938962707</v>
      </c>
      <c r="D44" s="2198">
        <f t="shared" si="213"/>
        <v>231.74747938962707</v>
      </c>
      <c r="E44" s="2198">
        <f t="shared" si="224"/>
        <v>375.35938184826603</v>
      </c>
      <c r="F44" s="2198">
        <f t="shared" si="224"/>
        <v>216.78033510692495</v>
      </c>
      <c r="G44" s="3479"/>
      <c r="H44" s="2208">
        <v>2</v>
      </c>
      <c r="I44" s="2208">
        <v>0.02</v>
      </c>
      <c r="J44" s="2208">
        <v>0.12</v>
      </c>
      <c r="K44" s="2208">
        <v>-0.08</v>
      </c>
      <c r="L44" s="2209">
        <v>1.24</v>
      </c>
      <c r="N44" s="2200">
        <f t="shared" si="215"/>
        <v>2.0000000000000001E-4</v>
      </c>
      <c r="O44" s="2185">
        <f t="shared" si="215"/>
        <v>1.1999999999999999E-3</v>
      </c>
      <c r="P44" s="2185">
        <f t="shared" si="215"/>
        <v>-8.0000000000000004E-4</v>
      </c>
      <c r="Q44" s="2185">
        <f t="shared" si="215"/>
        <v>1.24E-2</v>
      </c>
      <c r="R44" s="2201"/>
      <c r="S44" s="2200"/>
      <c r="T44" s="2185"/>
      <c r="U44" s="2185"/>
      <c r="V44" s="2185"/>
    </row>
    <row r="45" spans="1:34" ht="13.5" thickBot="1">
      <c r="A45" s="2197" t="s">
        <v>897</v>
      </c>
      <c r="B45" s="2198">
        <f>B44/(1+N44)</f>
        <v>275.19025476197027</v>
      </c>
      <c r="C45" s="2242">
        <v>232</v>
      </c>
      <c r="D45" s="2242">
        <f t="shared" si="213"/>
        <v>232</v>
      </c>
      <c r="E45" s="2198">
        <f t="shared" si="224"/>
        <v>375.65990977608692</v>
      </c>
      <c r="F45" s="2198">
        <f t="shared" si="224"/>
        <v>214.12518283971252</v>
      </c>
      <c r="G45" s="3480"/>
      <c r="H45" s="2199">
        <v>1</v>
      </c>
      <c r="I45" s="2199">
        <v>0.02</v>
      </c>
      <c r="J45" s="2199">
        <v>0.13</v>
      </c>
      <c r="K45" s="2199">
        <v>-0.04</v>
      </c>
      <c r="L45" s="2203">
        <v>0.46</v>
      </c>
      <c r="N45" s="2200">
        <f t="shared" si="215"/>
        <v>2.0000000000000001E-4</v>
      </c>
      <c r="O45" s="2185">
        <f t="shared" si="215"/>
        <v>1.2999999999999999E-3</v>
      </c>
      <c r="P45" s="2185">
        <f t="shared" si="215"/>
        <v>-4.0000000000000002E-4</v>
      </c>
      <c r="Q45" s="2185">
        <f t="shared" si="215"/>
        <v>4.5999999999999999E-3</v>
      </c>
      <c r="R45" s="2201"/>
      <c r="S45" s="2212">
        <f>B45/B46-1</f>
        <v>6.9183549807361189E-4</v>
      </c>
      <c r="T45" s="2213">
        <f>C45/C46-1</f>
        <v>0</v>
      </c>
      <c r="U45" s="2213">
        <f>E45/E46-1</f>
        <v>-9.0449527636460303E-4</v>
      </c>
      <c r="V45" s="2213">
        <f>F45/F46-1</f>
        <v>5.2825485432512753E-3</v>
      </c>
      <c r="X45" s="2185"/>
      <c r="Y45" s="2185"/>
      <c r="Z45" s="2185"/>
    </row>
    <row r="46" spans="1:34" ht="13.5" thickBot="1">
      <c r="A46" s="2197" t="s">
        <v>898</v>
      </c>
      <c r="B46" s="2206">
        <v>275</v>
      </c>
      <c r="C46" s="2206">
        <v>232</v>
      </c>
      <c r="D46" s="2206">
        <f t="shared" si="213"/>
        <v>232</v>
      </c>
      <c r="E46" s="2206">
        <v>376</v>
      </c>
      <c r="F46" s="2207">
        <v>213</v>
      </c>
      <c r="G46" s="3478">
        <v>2011</v>
      </c>
      <c r="H46" s="2214">
        <v>4</v>
      </c>
      <c r="I46" s="2214">
        <v>-0.2</v>
      </c>
      <c r="J46" s="2214">
        <v>0.04</v>
      </c>
      <c r="K46" s="2214">
        <v>-0.34</v>
      </c>
      <c r="L46" s="2215">
        <v>0.46</v>
      </c>
      <c r="N46" s="2216">
        <f t="shared" si="215"/>
        <v>-2E-3</v>
      </c>
      <c r="O46" s="2217">
        <f t="shared" si="215"/>
        <v>4.0000000000000002E-4</v>
      </c>
      <c r="P46" s="2217">
        <f t="shared" si="215"/>
        <v>-3.4000000000000002E-3</v>
      </c>
      <c r="Q46" s="2217">
        <f t="shared" si="215"/>
        <v>4.5999999999999999E-3</v>
      </c>
      <c r="R46" s="2201"/>
      <c r="S46" s="2210"/>
      <c r="T46" s="2211"/>
      <c r="U46" s="2211"/>
      <c r="V46" s="2211"/>
      <c r="X46" s="2211"/>
      <c r="Y46" s="2211"/>
      <c r="Z46" s="2211"/>
    </row>
    <row r="47" spans="1:34">
      <c r="A47" s="2197" t="s">
        <v>899</v>
      </c>
      <c r="B47" s="2198">
        <f t="shared" ref="B47:C49" si="225">B46/(1+N46)</f>
        <v>275.55110220440883</v>
      </c>
      <c r="C47" s="2198">
        <f t="shared" si="225"/>
        <v>231.90723710515795</v>
      </c>
      <c r="D47" s="2198">
        <f t="shared" si="213"/>
        <v>231.90723710515795</v>
      </c>
      <c r="E47" s="2198">
        <f t="shared" ref="E47:F49" si="226">E46/(1+P46)</f>
        <v>377.28276138872161</v>
      </c>
      <c r="F47" s="2198">
        <f t="shared" si="226"/>
        <v>212.02468644236512</v>
      </c>
      <c r="G47" s="3479">
        <v>2011</v>
      </c>
      <c r="H47" s="2219">
        <v>3</v>
      </c>
      <c r="I47" s="2219">
        <v>0.13</v>
      </c>
      <c r="J47" s="2219">
        <v>0.75</v>
      </c>
      <c r="K47" s="2219">
        <v>-0.08</v>
      </c>
      <c r="L47" s="2220">
        <v>0.53</v>
      </c>
      <c r="N47" s="2200">
        <f t="shared" si="215"/>
        <v>1.2999999999999999E-3</v>
      </c>
      <c r="O47" s="2185">
        <f t="shared" si="215"/>
        <v>7.4999999999999997E-3</v>
      </c>
      <c r="P47" s="2185">
        <f t="shared" si="215"/>
        <v>-8.0000000000000004E-4</v>
      </c>
      <c r="Q47" s="2185">
        <f t="shared" si="215"/>
        <v>5.3E-3</v>
      </c>
      <c r="R47" s="2201"/>
      <c r="S47" s="2200"/>
      <c r="T47" s="2185"/>
      <c r="U47" s="2185"/>
      <c r="V47" s="2185"/>
    </row>
    <row r="48" spans="1:34">
      <c r="A48" s="2197" t="s">
        <v>900</v>
      </c>
      <c r="B48" s="2198">
        <f t="shared" si="225"/>
        <v>275.19335084830601</v>
      </c>
      <c r="C48" s="2198">
        <f t="shared" si="225"/>
        <v>230.18088050139744</v>
      </c>
      <c r="D48" s="2198">
        <f t="shared" si="213"/>
        <v>230.18088050139744</v>
      </c>
      <c r="E48" s="2198">
        <f t="shared" si="226"/>
        <v>377.58482925212331</v>
      </c>
      <c r="F48" s="2198">
        <f t="shared" si="226"/>
        <v>210.90687997847917</v>
      </c>
      <c r="G48" s="3479">
        <v>2011</v>
      </c>
      <c r="H48" s="2208">
        <v>2</v>
      </c>
      <c r="I48" s="2208">
        <v>-0.4</v>
      </c>
      <c r="J48" s="2208">
        <v>0.17</v>
      </c>
      <c r="K48" s="2208">
        <v>-0.57999999999999996</v>
      </c>
      <c r="L48" s="2209">
        <v>-0.2</v>
      </c>
      <c r="N48" s="2200">
        <f t="shared" si="215"/>
        <v>-4.0000000000000001E-3</v>
      </c>
      <c r="O48" s="2185">
        <f t="shared" si="215"/>
        <v>1.7000000000000001E-3</v>
      </c>
      <c r="P48" s="2185">
        <f t="shared" si="215"/>
        <v>-5.7999999999999996E-3</v>
      </c>
      <c r="Q48" s="2185">
        <f t="shared" si="215"/>
        <v>-2E-3</v>
      </c>
      <c r="R48" s="2201"/>
      <c r="S48" s="2200"/>
      <c r="T48" s="2185"/>
      <c r="U48" s="2185"/>
      <c r="V48" s="2185"/>
    </row>
    <row r="49" spans="1:26" ht="13.5" thickBot="1">
      <c r="A49" s="2197" t="s">
        <v>901</v>
      </c>
      <c r="B49" s="2198">
        <f t="shared" si="225"/>
        <v>276.29854502841971</v>
      </c>
      <c r="C49" s="2198">
        <f t="shared" si="225"/>
        <v>229.79023709833027</v>
      </c>
      <c r="D49" s="2198">
        <f t="shared" si="213"/>
        <v>229.79023709833027</v>
      </c>
      <c r="E49" s="2198">
        <f t="shared" si="226"/>
        <v>379.78759731655936</v>
      </c>
      <c r="F49" s="2198">
        <f t="shared" si="226"/>
        <v>211.32953905659235</v>
      </c>
      <c r="G49" s="3480">
        <v>2011</v>
      </c>
      <c r="H49" s="2199">
        <v>1</v>
      </c>
      <c r="I49" s="2199">
        <v>2.65</v>
      </c>
      <c r="J49" s="2199">
        <v>3.76</v>
      </c>
      <c r="K49" s="2199">
        <v>1.89</v>
      </c>
      <c r="L49" s="2203">
        <v>7.95</v>
      </c>
      <c r="N49" s="2212">
        <f t="shared" si="215"/>
        <v>2.6499999999999999E-2</v>
      </c>
      <c r="O49" s="2213">
        <f t="shared" si="215"/>
        <v>3.7599999999999995E-2</v>
      </c>
      <c r="P49" s="2213">
        <f t="shared" si="215"/>
        <v>1.89E-2</v>
      </c>
      <c r="Q49" s="2213">
        <f t="shared" si="215"/>
        <v>7.9500000000000001E-2</v>
      </c>
      <c r="R49" s="2201"/>
      <c r="S49" s="2212">
        <f>B49/B50-1</f>
        <v>2.713213765211786E-2</v>
      </c>
      <c r="T49" s="2213">
        <f>C49/C50-1</f>
        <v>3.9774828499231862E-2</v>
      </c>
      <c r="U49" s="2213">
        <f>E49/E50-1</f>
        <v>1.8197311840641772E-2</v>
      </c>
      <c r="V49" s="2213">
        <f>F49/F50-1</f>
        <v>7.8211933962205826E-2</v>
      </c>
      <c r="X49" s="2185"/>
      <c r="Y49" s="2185"/>
      <c r="Z49" s="2185"/>
    </row>
    <row r="50" spans="1:26" ht="13.5" thickBot="1">
      <c r="A50" s="2197" t="s">
        <v>902</v>
      </c>
      <c r="B50" s="2206">
        <v>269</v>
      </c>
      <c r="C50" s="2206">
        <v>221</v>
      </c>
      <c r="D50" s="2206">
        <f t="shared" si="213"/>
        <v>221</v>
      </c>
      <c r="E50" s="2206">
        <v>373</v>
      </c>
      <c r="F50" s="2207">
        <v>196</v>
      </c>
      <c r="G50" s="3478">
        <v>2010</v>
      </c>
      <c r="H50" s="2214">
        <v>4</v>
      </c>
      <c r="I50" s="2214">
        <v>5.72</v>
      </c>
      <c r="J50" s="2214">
        <v>6.57</v>
      </c>
      <c r="K50" s="2214">
        <v>5.72</v>
      </c>
      <c r="L50" s="2215">
        <v>2.72</v>
      </c>
      <c r="N50" s="2200">
        <f t="shared" si="215"/>
        <v>5.7200000000000001E-2</v>
      </c>
      <c r="O50" s="2185">
        <f t="shared" si="215"/>
        <v>6.5700000000000008E-2</v>
      </c>
      <c r="P50" s="2185">
        <f t="shared" si="215"/>
        <v>5.7200000000000001E-2</v>
      </c>
      <c r="Q50" s="2185">
        <f t="shared" si="215"/>
        <v>2.7200000000000002E-2</v>
      </c>
      <c r="R50" s="2201"/>
      <c r="S50" s="2210"/>
      <c r="T50" s="2211"/>
      <c r="U50" s="2211"/>
      <c r="V50" s="2211"/>
      <c r="X50" s="2211"/>
      <c r="Y50" s="2211"/>
      <c r="Z50" s="2211"/>
    </row>
    <row r="51" spans="1:26">
      <c r="A51" s="2197" t="s">
        <v>903</v>
      </c>
      <c r="B51" s="2198">
        <f t="shared" ref="B51:C53" si="227">B50/(1+N50)</f>
        <v>254.44570563753314</v>
      </c>
      <c r="C51" s="2198">
        <f t="shared" si="227"/>
        <v>207.37543398705074</v>
      </c>
      <c r="D51" s="2198">
        <f t="shared" si="213"/>
        <v>207.37543398705074</v>
      </c>
      <c r="E51" s="2198">
        <f t="shared" ref="E51:F53" si="228">E50/(1+P50)</f>
        <v>352.81876655315932</v>
      </c>
      <c r="F51" s="2198">
        <f t="shared" si="228"/>
        <v>190.809968847352</v>
      </c>
      <c r="G51" s="3479">
        <v>2010</v>
      </c>
      <c r="H51" s="2219">
        <v>3</v>
      </c>
      <c r="I51" s="2219">
        <v>4.7300000000000004</v>
      </c>
      <c r="J51" s="2219">
        <v>3.9</v>
      </c>
      <c r="K51" s="2219">
        <v>5.03</v>
      </c>
      <c r="L51" s="2220">
        <v>4.21</v>
      </c>
      <c r="N51" s="2200">
        <f t="shared" si="215"/>
        <v>4.7300000000000002E-2</v>
      </c>
      <c r="O51" s="2185">
        <f t="shared" si="215"/>
        <v>3.9E-2</v>
      </c>
      <c r="P51" s="2185">
        <f t="shared" si="215"/>
        <v>5.0300000000000004E-2</v>
      </c>
      <c r="Q51" s="2185">
        <f t="shared" si="215"/>
        <v>4.2099999999999999E-2</v>
      </c>
      <c r="R51" s="2201"/>
      <c r="S51" s="2200"/>
      <c r="T51" s="2185"/>
      <c r="U51" s="2185"/>
      <c r="V51" s="2185"/>
    </row>
    <row r="52" spans="1:26">
      <c r="A52" s="2197" t="s">
        <v>904</v>
      </c>
      <c r="B52" s="2198">
        <f t="shared" si="227"/>
        <v>242.95398227588385</v>
      </c>
      <c r="C52" s="2198">
        <f t="shared" si="227"/>
        <v>199.59137053614126</v>
      </c>
      <c r="D52" s="2198">
        <f t="shared" si="213"/>
        <v>199.59137053614126</v>
      </c>
      <c r="E52" s="2198">
        <f t="shared" si="228"/>
        <v>335.92189522342125</v>
      </c>
      <c r="F52" s="2198">
        <f t="shared" si="228"/>
        <v>183.10139991109489</v>
      </c>
      <c r="G52" s="3479">
        <v>2010</v>
      </c>
      <c r="H52" s="2208">
        <v>2</v>
      </c>
      <c r="I52" s="2208">
        <v>4.6900000000000004</v>
      </c>
      <c r="J52" s="2208">
        <v>3.55</v>
      </c>
      <c r="K52" s="2208">
        <v>5.07</v>
      </c>
      <c r="L52" s="2209">
        <v>4.2300000000000004</v>
      </c>
      <c r="N52" s="2200">
        <f t="shared" si="215"/>
        <v>4.6900000000000004E-2</v>
      </c>
      <c r="O52" s="2185">
        <f t="shared" si="215"/>
        <v>3.5499999999999997E-2</v>
      </c>
      <c r="P52" s="2185">
        <f t="shared" si="215"/>
        <v>5.0700000000000002E-2</v>
      </c>
      <c r="Q52" s="2185">
        <f t="shared" si="215"/>
        <v>4.2300000000000004E-2</v>
      </c>
      <c r="R52" s="2201"/>
      <c r="S52" s="2200"/>
      <c r="T52" s="2185"/>
      <c r="U52" s="2185"/>
      <c r="V52" s="2185"/>
    </row>
    <row r="53" spans="1:26" ht="13.5" thickBot="1">
      <c r="A53" s="2197" t="s">
        <v>905</v>
      </c>
      <c r="B53" s="2198">
        <f t="shared" si="227"/>
        <v>232.06990378821649</v>
      </c>
      <c r="C53" s="2198">
        <f t="shared" si="227"/>
        <v>192.74878854286936</v>
      </c>
      <c r="D53" s="2198">
        <f t="shared" si="213"/>
        <v>192.74878854286936</v>
      </c>
      <c r="E53" s="2198">
        <f t="shared" si="228"/>
        <v>319.71247284992984</v>
      </c>
      <c r="F53" s="2198">
        <f t="shared" si="228"/>
        <v>175.67053622862409</v>
      </c>
      <c r="G53" s="3480">
        <v>2010</v>
      </c>
      <c r="H53" s="2199">
        <v>1</v>
      </c>
      <c r="I53" s="2199">
        <v>5.4</v>
      </c>
      <c r="J53" s="2199">
        <v>3.2</v>
      </c>
      <c r="K53" s="2199">
        <v>6.16</v>
      </c>
      <c r="L53" s="2203">
        <v>4.51</v>
      </c>
      <c r="N53" s="2200">
        <f t="shared" si="215"/>
        <v>5.4000000000000006E-2</v>
      </c>
      <c r="O53" s="2185">
        <f t="shared" si="215"/>
        <v>3.2000000000000001E-2</v>
      </c>
      <c r="P53" s="2185">
        <f t="shared" si="215"/>
        <v>6.1600000000000002E-2</v>
      </c>
      <c r="Q53" s="2185">
        <f t="shared" si="215"/>
        <v>4.5100000000000001E-2</v>
      </c>
      <c r="R53" s="2201"/>
      <c r="S53" s="2212">
        <f>B53/B54-1</f>
        <v>5.4863199037347599E-2</v>
      </c>
      <c r="T53" s="2213">
        <f>C53/C54-1</f>
        <v>3.0742184721226584E-2</v>
      </c>
      <c r="U53" s="2213">
        <f>E53/E54-1</f>
        <v>6.2167683886810154E-2</v>
      </c>
      <c r="V53" s="2213">
        <f>F53/F54-1</f>
        <v>4.5657953741810031E-2</v>
      </c>
      <c r="X53" s="2185"/>
      <c r="Y53" s="2185"/>
      <c r="Z53" s="2185"/>
    </row>
    <row r="54" spans="1:26" ht="13.5" thickBot="1">
      <c r="A54" s="2197" t="s">
        <v>906</v>
      </c>
      <c r="B54" s="2206">
        <v>220</v>
      </c>
      <c r="C54" s="2206">
        <v>187</v>
      </c>
      <c r="D54" s="2206">
        <f t="shared" si="213"/>
        <v>187</v>
      </c>
      <c r="E54" s="2206">
        <v>301</v>
      </c>
      <c r="F54" s="2207">
        <v>168</v>
      </c>
      <c r="G54" s="3478">
        <v>2009</v>
      </c>
      <c r="H54" s="2214">
        <v>4</v>
      </c>
      <c r="I54" s="2214">
        <v>2.2999999999999998</v>
      </c>
      <c r="J54" s="2214">
        <v>1.04</v>
      </c>
      <c r="K54" s="2214">
        <v>2.84</v>
      </c>
      <c r="L54" s="2215">
        <v>0.67</v>
      </c>
      <c r="N54" s="2216">
        <f t="shared" si="215"/>
        <v>2.3E-2</v>
      </c>
      <c r="O54" s="2217">
        <f t="shared" si="215"/>
        <v>1.04E-2</v>
      </c>
      <c r="P54" s="2217">
        <f t="shared" si="215"/>
        <v>2.8399999999999998E-2</v>
      </c>
      <c r="Q54" s="2217">
        <f t="shared" si="215"/>
        <v>6.7000000000000002E-3</v>
      </c>
      <c r="R54" s="2201"/>
      <c r="S54" s="2210"/>
      <c r="T54" s="2211"/>
      <c r="U54" s="2211"/>
      <c r="V54" s="2211"/>
      <c r="X54" s="2211"/>
      <c r="Y54" s="2211"/>
      <c r="Z54" s="2211"/>
    </row>
    <row r="55" spans="1:26">
      <c r="A55" s="2197" t="s">
        <v>907</v>
      </c>
      <c r="B55" s="2198">
        <f t="shared" ref="B55:C57" si="229">B54/(1+N54)</f>
        <v>215.05376344086022</v>
      </c>
      <c r="C55" s="2198">
        <f t="shared" si="229"/>
        <v>185.0752177355503</v>
      </c>
      <c r="D55" s="2198">
        <f t="shared" si="213"/>
        <v>185.0752177355503</v>
      </c>
      <c r="E55" s="2198">
        <f t="shared" ref="E55:F57" si="230">E54/(1+P54)</f>
        <v>292.68767016725008</v>
      </c>
      <c r="F55" s="2198">
        <f t="shared" si="230"/>
        <v>166.88189132810174</v>
      </c>
      <c r="G55" s="3479">
        <v>2009</v>
      </c>
      <c r="H55" s="2219">
        <v>3</v>
      </c>
      <c r="I55" s="2219">
        <v>2.1</v>
      </c>
      <c r="J55" s="2219">
        <v>1.86</v>
      </c>
      <c r="K55" s="2219">
        <v>2.29</v>
      </c>
      <c r="L55" s="2220">
        <v>0.85</v>
      </c>
      <c r="N55" s="2200">
        <f t="shared" si="215"/>
        <v>2.1000000000000001E-2</v>
      </c>
      <c r="O55" s="2185">
        <f t="shared" si="215"/>
        <v>1.8600000000000002E-2</v>
      </c>
      <c r="P55" s="2185">
        <f t="shared" si="215"/>
        <v>2.29E-2</v>
      </c>
      <c r="Q55" s="2185">
        <f t="shared" si="215"/>
        <v>8.5000000000000006E-3</v>
      </c>
      <c r="R55" s="2201"/>
      <c r="S55" s="2200"/>
      <c r="T55" s="2185"/>
      <c r="U55" s="2185"/>
      <c r="V55" s="2185"/>
    </row>
    <row r="56" spans="1:26">
      <c r="A56" s="2197" t="s">
        <v>908</v>
      </c>
      <c r="B56" s="2198">
        <f t="shared" si="229"/>
        <v>210.630522469011</v>
      </c>
      <c r="C56" s="2198">
        <f t="shared" si="229"/>
        <v>181.69567812247232</v>
      </c>
      <c r="D56" s="2198">
        <f t="shared" si="213"/>
        <v>181.69567812247232</v>
      </c>
      <c r="E56" s="2198">
        <f t="shared" si="230"/>
        <v>286.13517466736738</v>
      </c>
      <c r="F56" s="2198">
        <f t="shared" si="230"/>
        <v>165.47535084591149</v>
      </c>
      <c r="G56" s="3479">
        <v>2009</v>
      </c>
      <c r="H56" s="2208">
        <v>2</v>
      </c>
      <c r="I56" s="2208">
        <v>0.86</v>
      </c>
      <c r="J56" s="2208">
        <v>-1.1299999999999999</v>
      </c>
      <c r="K56" s="2208">
        <v>1.79</v>
      </c>
      <c r="L56" s="2209">
        <v>-2.0699999999999998</v>
      </c>
      <c r="N56" s="2200">
        <f t="shared" si="215"/>
        <v>8.6E-3</v>
      </c>
      <c r="O56" s="2185">
        <f t="shared" si="215"/>
        <v>-1.1299999999999999E-2</v>
      </c>
      <c r="P56" s="2185">
        <f t="shared" si="215"/>
        <v>1.7899999999999999E-2</v>
      </c>
      <c r="Q56" s="2185">
        <f t="shared" si="215"/>
        <v>-2.07E-2</v>
      </c>
      <c r="R56" s="2201"/>
      <c r="S56" s="2200"/>
      <c r="T56" s="2185"/>
      <c r="U56" s="2185"/>
      <c r="V56" s="2185"/>
    </row>
    <row r="57" spans="1:26">
      <c r="A57" s="2197" t="s">
        <v>909</v>
      </c>
      <c r="B57" s="2198">
        <f t="shared" si="229"/>
        <v>208.83454537875372</v>
      </c>
      <c r="C57" s="2198">
        <f t="shared" si="229"/>
        <v>183.77230517090351</v>
      </c>
      <c r="D57" s="2198">
        <f t="shared" si="213"/>
        <v>183.77230517090351</v>
      </c>
      <c r="E57" s="2198">
        <f t="shared" si="230"/>
        <v>281.10342338870947</v>
      </c>
      <c r="F57" s="2198">
        <f t="shared" si="230"/>
        <v>168.97309388942256</v>
      </c>
      <c r="G57" s="3480">
        <v>2009</v>
      </c>
      <c r="H57" s="2199">
        <v>1</v>
      </c>
      <c r="I57" s="2199">
        <v>-2.64</v>
      </c>
      <c r="J57" s="2199">
        <v>-2.5299999999999998</v>
      </c>
      <c r="K57" s="2199">
        <v>-3.02</v>
      </c>
      <c r="L57" s="2203">
        <v>1.52</v>
      </c>
      <c r="N57" s="2212">
        <f t="shared" si="215"/>
        <v>-2.64E-2</v>
      </c>
      <c r="O57" s="2213">
        <f t="shared" si="215"/>
        <v>-2.53E-2</v>
      </c>
      <c r="P57" s="2213">
        <f t="shared" si="215"/>
        <v>-3.0200000000000001E-2</v>
      </c>
      <c r="Q57" s="2213">
        <f t="shared" si="215"/>
        <v>1.52E-2</v>
      </c>
      <c r="R57" s="2201"/>
      <c r="S57" s="2212">
        <f>B57/B58-1</f>
        <v>-2.4137638417038754E-2</v>
      </c>
      <c r="T57" s="2213">
        <f>C57/C58-1</f>
        <v>-2.248773845264096E-2</v>
      </c>
      <c r="U57" s="2213">
        <f>E57/E58-1</f>
        <v>-2.7323794502735366E-2</v>
      </c>
      <c r="V57" s="2213">
        <f>F57/F58-1</f>
        <v>1.7910204153148035E-2</v>
      </c>
      <c r="X57" s="2185"/>
      <c r="Y57" s="2185"/>
      <c r="Z57" s="2185"/>
    </row>
    <row r="58" spans="1:26" ht="13.5" thickBot="1">
      <c r="A58" s="2197" t="s">
        <v>910</v>
      </c>
      <c r="B58" s="2240">
        <v>214</v>
      </c>
      <c r="C58" s="2240">
        <v>188</v>
      </c>
      <c r="D58" s="2240">
        <f t="shared" si="213"/>
        <v>188</v>
      </c>
      <c r="E58" s="2240">
        <v>289</v>
      </c>
      <c r="F58" s="2241">
        <v>166</v>
      </c>
      <c r="G58" s="3478">
        <v>2008</v>
      </c>
      <c r="H58" s="2214">
        <v>4</v>
      </c>
      <c r="I58" s="2214">
        <v>1.73</v>
      </c>
      <c r="J58" s="2214">
        <v>0.03</v>
      </c>
      <c r="K58" s="2214">
        <v>2.59</v>
      </c>
      <c r="L58" s="2215">
        <v>-1.66</v>
      </c>
      <c r="N58" s="2200">
        <f t="shared" si="215"/>
        <v>1.7299999999999999E-2</v>
      </c>
      <c r="O58" s="2185">
        <f t="shared" si="215"/>
        <v>2.9999999999999997E-4</v>
      </c>
      <c r="P58" s="2185">
        <f t="shared" si="215"/>
        <v>2.5899999999999999E-2</v>
      </c>
      <c r="Q58" s="2185">
        <f t="shared" si="215"/>
        <v>-1.66E-2</v>
      </c>
      <c r="R58" s="2201"/>
      <c r="S58" s="2210"/>
      <c r="T58" s="2211"/>
      <c r="U58" s="2211"/>
      <c r="V58" s="2211"/>
      <c r="X58" s="2211"/>
      <c r="Y58" s="2211"/>
      <c r="Z58" s="2211"/>
    </row>
    <row r="59" spans="1:26">
      <c r="A59" s="2197" t="s">
        <v>911</v>
      </c>
      <c r="B59" s="2198">
        <f t="shared" ref="B59:C61" si="231">B58/(1+N58)</f>
        <v>210.36075887152265</v>
      </c>
      <c r="C59" s="2198">
        <f t="shared" si="231"/>
        <v>187.94361691492554</v>
      </c>
      <c r="D59" s="2198">
        <f t="shared" si="213"/>
        <v>187.94361691492554</v>
      </c>
      <c r="E59" s="2198">
        <f t="shared" ref="E59:F61" si="232">E58/(1+P58)</f>
        <v>281.70386977288234</v>
      </c>
      <c r="F59" s="2198">
        <f t="shared" si="232"/>
        <v>168.80211511083994</v>
      </c>
      <c r="G59" s="3479">
        <v>2008</v>
      </c>
      <c r="H59" s="2219">
        <v>3</v>
      </c>
      <c r="I59" s="2219">
        <v>1.96</v>
      </c>
      <c r="J59" s="2219">
        <v>2.36</v>
      </c>
      <c r="K59" s="2219">
        <v>1.82</v>
      </c>
      <c r="L59" s="2220">
        <v>2.2200000000000002</v>
      </c>
      <c r="N59" s="2200">
        <f t="shared" si="215"/>
        <v>1.9599999999999999E-2</v>
      </c>
      <c r="O59" s="2185">
        <f t="shared" si="215"/>
        <v>2.3599999999999999E-2</v>
      </c>
      <c r="P59" s="2185">
        <f t="shared" si="215"/>
        <v>1.8200000000000001E-2</v>
      </c>
      <c r="Q59" s="2185">
        <f t="shared" si="215"/>
        <v>2.2200000000000001E-2</v>
      </c>
      <c r="R59" s="2201"/>
      <c r="S59" s="2200"/>
      <c r="T59" s="2185"/>
      <c r="U59" s="2185"/>
      <c r="V59" s="2185"/>
    </row>
    <row r="60" spans="1:26">
      <c r="A60" s="2197" t="s">
        <v>912</v>
      </c>
      <c r="B60" s="2198">
        <f t="shared" si="231"/>
        <v>206.31694671589116</v>
      </c>
      <c r="C60" s="2198">
        <f t="shared" si="231"/>
        <v>183.61041121036101</v>
      </c>
      <c r="D60" s="2198">
        <f t="shared" si="213"/>
        <v>183.61041121036101</v>
      </c>
      <c r="E60" s="2198">
        <f t="shared" si="232"/>
        <v>276.66850301795557</v>
      </c>
      <c r="F60" s="2198">
        <f t="shared" si="232"/>
        <v>165.1360938278614</v>
      </c>
      <c r="G60" s="3479">
        <v>2008</v>
      </c>
      <c r="H60" s="2208">
        <v>2</v>
      </c>
      <c r="I60" s="2208">
        <v>4.93</v>
      </c>
      <c r="J60" s="2208">
        <v>7.38</v>
      </c>
      <c r="K60" s="2208">
        <v>3.98</v>
      </c>
      <c r="L60" s="2209">
        <v>6.86</v>
      </c>
      <c r="N60" s="2200">
        <f t="shared" si="215"/>
        <v>4.9299999999999997E-2</v>
      </c>
      <c r="O60" s="2185">
        <f t="shared" si="215"/>
        <v>7.3800000000000004E-2</v>
      </c>
      <c r="P60" s="2185">
        <f t="shared" si="215"/>
        <v>3.9800000000000002E-2</v>
      </c>
      <c r="Q60" s="2185">
        <f t="shared" si="215"/>
        <v>6.8600000000000008E-2</v>
      </c>
      <c r="R60" s="2201"/>
      <c r="S60" s="2200"/>
      <c r="T60" s="2185"/>
      <c r="U60" s="2185"/>
      <c r="V60" s="2185"/>
    </row>
    <row r="61" spans="1:26" s="2246" customFormat="1" ht="13.5" thickBot="1">
      <c r="A61" s="2197" t="s">
        <v>913</v>
      </c>
      <c r="B61" s="2243">
        <f t="shared" si="231"/>
        <v>196.62341248059772</v>
      </c>
      <c r="C61" s="2243">
        <f t="shared" si="231"/>
        <v>170.99125648199012</v>
      </c>
      <c r="D61" s="2243">
        <f t="shared" si="213"/>
        <v>170.99125648199012</v>
      </c>
      <c r="E61" s="2243">
        <f t="shared" si="232"/>
        <v>266.07857570490052</v>
      </c>
      <c r="F61" s="2243">
        <f t="shared" si="232"/>
        <v>154.53499328828505</v>
      </c>
      <c r="G61" s="3480">
        <v>2008</v>
      </c>
      <c r="H61" s="2244">
        <v>1</v>
      </c>
      <c r="I61" s="2244">
        <v>4.1399999999999997</v>
      </c>
      <c r="J61" s="2244">
        <v>3.45</v>
      </c>
      <c r="K61" s="2244">
        <v>4.95</v>
      </c>
      <c r="L61" s="2245">
        <v>4.82</v>
      </c>
      <c r="N61" s="2247">
        <f t="shared" si="215"/>
        <v>4.1399999999999999E-2</v>
      </c>
      <c r="O61" s="2248">
        <f t="shared" si="215"/>
        <v>3.4500000000000003E-2</v>
      </c>
      <c r="P61" s="2248">
        <f t="shared" si="215"/>
        <v>4.9500000000000002E-2</v>
      </c>
      <c r="Q61" s="2248">
        <f t="shared" si="215"/>
        <v>4.82E-2</v>
      </c>
      <c r="R61" s="2249"/>
      <c r="S61" s="2247">
        <f>B61/B62-1</f>
        <v>4.5869215322328349E-2</v>
      </c>
      <c r="T61" s="2248">
        <f>C61/C62-1</f>
        <v>3.6310645345394743E-2</v>
      </c>
      <c r="U61" s="2248">
        <f>E61/E62-1</f>
        <v>4.7553447657088688E-2</v>
      </c>
      <c r="V61" s="2248">
        <f>F61/F62-1</f>
        <v>4.4155360055980086E-2</v>
      </c>
      <c r="X61" s="2248"/>
      <c r="Y61" s="2248"/>
      <c r="Z61" s="2248"/>
    </row>
    <row r="62" spans="1:26" ht="13.5" thickBot="1">
      <c r="A62" s="2197" t="s">
        <v>914</v>
      </c>
      <c r="B62" s="2206">
        <v>188</v>
      </c>
      <c r="C62" s="2206">
        <v>165</v>
      </c>
      <c r="D62" s="2206">
        <f t="shared" si="213"/>
        <v>165</v>
      </c>
      <c r="E62" s="2206">
        <v>254</v>
      </c>
      <c r="F62" s="2207">
        <v>148</v>
      </c>
      <c r="G62" s="3478">
        <v>2007</v>
      </c>
      <c r="H62" s="2250">
        <v>4</v>
      </c>
      <c r="I62" s="2250">
        <v>5.51</v>
      </c>
      <c r="J62" s="2250">
        <v>4.8899999999999997</v>
      </c>
      <c r="K62" s="2250">
        <v>6.43</v>
      </c>
      <c r="L62" s="2251">
        <v>5.36</v>
      </c>
      <c r="N62" s="2252">
        <f t="shared" ref="N62:O65" si="233">B62/B63-1</f>
        <v>4.1339718365245526E-2</v>
      </c>
      <c r="O62" s="2253">
        <f t="shared" si="233"/>
        <v>4.0324492593776018E-2</v>
      </c>
      <c r="P62" s="2253">
        <f t="shared" ref="P62:Q65" si="234">E62/E63-1</f>
        <v>6.1625555347990968E-2</v>
      </c>
      <c r="Q62" s="2253">
        <f t="shared" si="234"/>
        <v>4.6757569250590603E-2</v>
      </c>
      <c r="R62" s="2201"/>
      <c r="S62" s="2210"/>
      <c r="T62" s="2211"/>
      <c r="U62" s="2211"/>
      <c r="V62" s="2211"/>
      <c r="X62" s="2211"/>
      <c r="Y62" s="2211"/>
      <c r="Z62" s="2211"/>
    </row>
    <row r="63" spans="1:26">
      <c r="A63" s="2197" t="s">
        <v>915</v>
      </c>
      <c r="B63" s="2198">
        <f t="shared" ref="B63:C65" si="235">B64+(B$62-B$66)*I63/SUM(I$62:I$65)</f>
        <v>180.5366651097618</v>
      </c>
      <c r="C63" s="2198">
        <f t="shared" si="235"/>
        <v>158.60435967302453</v>
      </c>
      <c r="D63" s="2198">
        <f t="shared" si="213"/>
        <v>158.60435967302453</v>
      </c>
      <c r="E63" s="2198">
        <f t="shared" ref="E63:F65" si="236">E64+(E$62-E$66)*K63/SUM(K$62:K$65)</f>
        <v>239.25573260785075</v>
      </c>
      <c r="F63" s="2198">
        <f t="shared" si="236"/>
        <v>141.38899430740037</v>
      </c>
      <c r="G63" s="3479">
        <v>2007</v>
      </c>
      <c r="H63" s="2219">
        <v>3</v>
      </c>
      <c r="I63" s="2219">
        <v>8.65</v>
      </c>
      <c r="J63" s="2219">
        <v>8.06</v>
      </c>
      <c r="K63" s="2219">
        <v>9.94</v>
      </c>
      <c r="L63" s="2220">
        <v>5.8</v>
      </c>
      <c r="N63" s="2252">
        <f t="shared" si="233"/>
        <v>6.940217571740015E-2</v>
      </c>
      <c r="O63" s="2253">
        <f t="shared" si="233"/>
        <v>7.1197482471153428E-2</v>
      </c>
      <c r="P63" s="2253">
        <f t="shared" si="234"/>
        <v>0.10529679922579582</v>
      </c>
      <c r="Q63" s="2253">
        <f t="shared" si="234"/>
        <v>5.3292245059512133E-2</v>
      </c>
      <c r="R63" s="2201"/>
      <c r="S63" s="2200"/>
      <c r="T63" s="2185"/>
      <c r="U63" s="2185"/>
      <c r="V63" s="2185"/>
      <c r="X63" s="2254"/>
      <c r="Y63" s="2254"/>
      <c r="Z63" s="2254"/>
    </row>
    <row r="64" spans="1:26">
      <c r="A64" s="2197" t="s">
        <v>916</v>
      </c>
      <c r="B64" s="2198">
        <f t="shared" si="235"/>
        <v>168.82017748715555</v>
      </c>
      <c r="C64" s="2198">
        <f t="shared" si="235"/>
        <v>148.06267029972753</v>
      </c>
      <c r="D64" s="2198">
        <f t="shared" si="213"/>
        <v>148.06267029972753</v>
      </c>
      <c r="E64" s="2198">
        <f t="shared" si="236"/>
        <v>216.46288379323747</v>
      </c>
      <c r="F64" s="2198">
        <f t="shared" si="236"/>
        <v>134.23529411764704</v>
      </c>
      <c r="G64" s="3479">
        <v>2007</v>
      </c>
      <c r="H64" s="2208">
        <v>2</v>
      </c>
      <c r="I64" s="2208">
        <v>3.67</v>
      </c>
      <c r="J64" s="2208">
        <v>2.3199999999999998</v>
      </c>
      <c r="K64" s="2208">
        <v>5.0199999999999996</v>
      </c>
      <c r="L64" s="2209">
        <v>6.71</v>
      </c>
      <c r="N64" s="2252">
        <f t="shared" si="233"/>
        <v>3.0339138143848032E-2</v>
      </c>
      <c r="O64" s="2253">
        <f t="shared" si="233"/>
        <v>2.0922341588790472E-2</v>
      </c>
      <c r="P64" s="2253">
        <f t="shared" si="234"/>
        <v>5.6164796592717003E-2</v>
      </c>
      <c r="Q64" s="2253">
        <f t="shared" si="234"/>
        <v>6.5704536723887319E-2</v>
      </c>
      <c r="R64" s="2201"/>
      <c r="S64" s="2200"/>
      <c r="T64" s="2185"/>
      <c r="U64" s="2185"/>
      <c r="V64" s="2185"/>
      <c r="X64" s="2254"/>
      <c r="Y64" s="2254"/>
      <c r="Z64" s="2254"/>
    </row>
    <row r="65" spans="1:26">
      <c r="A65" s="2197" t="s">
        <v>917</v>
      </c>
      <c r="B65" s="2198">
        <f t="shared" si="235"/>
        <v>163.84913591779542</v>
      </c>
      <c r="C65" s="2198">
        <f t="shared" si="235"/>
        <v>145.0283378746594</v>
      </c>
      <c r="D65" s="2198">
        <f t="shared" si="213"/>
        <v>145.0283378746594</v>
      </c>
      <c r="E65" s="2198">
        <f t="shared" si="236"/>
        <v>204.95180722891567</v>
      </c>
      <c r="F65" s="2198">
        <f t="shared" si="236"/>
        <v>125.95920303605313</v>
      </c>
      <c r="G65" s="3480">
        <v>2007</v>
      </c>
      <c r="H65" s="2199">
        <v>1</v>
      </c>
      <c r="I65" s="2199">
        <v>3.58</v>
      </c>
      <c r="J65" s="2199">
        <v>3.08</v>
      </c>
      <c r="K65" s="2199">
        <v>4.34</v>
      </c>
      <c r="L65" s="2203">
        <v>3.21</v>
      </c>
      <c r="N65" s="2255">
        <f t="shared" si="233"/>
        <v>3.0497710174814063E-2</v>
      </c>
      <c r="O65" s="2256">
        <f t="shared" si="233"/>
        <v>2.8569772160704998E-2</v>
      </c>
      <c r="P65" s="2256">
        <f t="shared" si="234"/>
        <v>5.1034908866234296E-2</v>
      </c>
      <c r="Q65" s="2256">
        <f t="shared" si="234"/>
        <v>3.245248390207478E-2</v>
      </c>
      <c r="R65" s="2201"/>
      <c r="S65" s="2212">
        <f>B65/B66-1</f>
        <v>3.0497710174814063E-2</v>
      </c>
      <c r="T65" s="2213">
        <f>C65/C66-1</f>
        <v>2.8569772160704998E-2</v>
      </c>
      <c r="U65" s="2213">
        <f>E65/E66-1</f>
        <v>5.1034908866234296E-2</v>
      </c>
      <c r="V65" s="2213">
        <f>F65/F66-1</f>
        <v>3.245248390207478E-2</v>
      </c>
      <c r="X65" s="2254"/>
      <c r="Y65" s="2254"/>
      <c r="Z65" s="2254"/>
    </row>
    <row r="66" spans="1:26" ht="13.5" thickBot="1">
      <c r="A66" s="2197" t="s">
        <v>918</v>
      </c>
      <c r="B66" s="2221">
        <v>159</v>
      </c>
      <c r="C66" s="2221">
        <v>141</v>
      </c>
      <c r="D66" s="2221">
        <f t="shared" si="213"/>
        <v>141</v>
      </c>
      <c r="E66" s="2221">
        <v>195</v>
      </c>
      <c r="F66" s="2222">
        <v>122</v>
      </c>
      <c r="G66" s="3478">
        <v>2006</v>
      </c>
      <c r="H66" s="2214">
        <v>4</v>
      </c>
      <c r="I66" s="2214">
        <v>3.79</v>
      </c>
      <c r="J66" s="2214">
        <v>2.21</v>
      </c>
      <c r="K66" s="2214">
        <v>5.65</v>
      </c>
      <c r="L66" s="2215">
        <v>5.41</v>
      </c>
      <c r="N66" s="2252">
        <f t="shared" ref="N66:O69" si="237">I66/SUM(I$66:I$69)*(B$66/B$70-1)</f>
        <v>7.245466462748526E-2</v>
      </c>
      <c r="O66" s="2253">
        <f t="shared" si="237"/>
        <v>2.3237230038062766E-2</v>
      </c>
      <c r="P66" s="2253">
        <f t="shared" ref="P66:Q69" si="238">K66/SUM(K$66:K$69)*(E$66/E$70-1)</f>
        <v>0.16146893866323722</v>
      </c>
      <c r="Q66" s="2253">
        <f t="shared" si="238"/>
        <v>5.0755230321793784E-2</v>
      </c>
      <c r="R66" s="2201"/>
      <c r="S66" s="2210"/>
      <c r="T66" s="2211"/>
      <c r="U66" s="2211"/>
      <c r="V66" s="2211"/>
      <c r="X66" s="2254"/>
      <c r="Y66" s="2254"/>
      <c r="Z66" s="2254"/>
    </row>
    <row r="67" spans="1:26">
      <c r="A67" s="2197" t="s">
        <v>919</v>
      </c>
      <c r="B67" s="2198">
        <f t="shared" ref="B67:C69" si="239">B68+(B$66-B$70)*I67/SUM(I$66:I$69)</f>
        <v>149.00125628140702</v>
      </c>
      <c r="C67" s="2198">
        <f t="shared" si="239"/>
        <v>137.95592286501378</v>
      </c>
      <c r="D67" s="2198">
        <f t="shared" si="213"/>
        <v>137.95592286501378</v>
      </c>
      <c r="E67" s="2198">
        <f t="shared" ref="E67:F69" si="240">E68+(E$66-E$70)*K67/SUM(K$66:K$69)</f>
        <v>169.97231450719823</v>
      </c>
      <c r="F67" s="2198">
        <f t="shared" si="240"/>
        <v>116.21390374331551</v>
      </c>
      <c r="G67" s="3479">
        <v>2006</v>
      </c>
      <c r="H67" s="2219">
        <v>3</v>
      </c>
      <c r="I67" s="2219">
        <v>0.92</v>
      </c>
      <c r="J67" s="2219">
        <v>1.08</v>
      </c>
      <c r="K67" s="2219">
        <v>0.73</v>
      </c>
      <c r="L67" s="2220">
        <v>1.08</v>
      </c>
      <c r="N67" s="2252">
        <f t="shared" si="237"/>
        <v>1.7587939698492462E-2</v>
      </c>
      <c r="O67" s="2253">
        <f t="shared" si="237"/>
        <v>1.1355750425840628E-2</v>
      </c>
      <c r="P67" s="2253">
        <f t="shared" si="238"/>
        <v>2.0862358446754544E-2</v>
      </c>
      <c r="Q67" s="2253">
        <f t="shared" si="238"/>
        <v>1.0132282578103011E-2</v>
      </c>
      <c r="R67" s="2201"/>
      <c r="S67" s="2200"/>
      <c r="T67" s="2185"/>
      <c r="U67" s="2185"/>
      <c r="V67" s="2185"/>
      <c r="X67" s="2254"/>
      <c r="Y67" s="2254"/>
      <c r="Z67" s="2254"/>
    </row>
    <row r="68" spans="1:26">
      <c r="A68" s="2197" t="s">
        <v>920</v>
      </c>
      <c r="B68" s="2198">
        <f t="shared" si="239"/>
        <v>146.57412060301507</v>
      </c>
      <c r="C68" s="2198">
        <f t="shared" si="239"/>
        <v>136.46831955922866</v>
      </c>
      <c r="D68" s="2198">
        <f t="shared" si="213"/>
        <v>136.46831955922866</v>
      </c>
      <c r="E68" s="2198">
        <f t="shared" si="240"/>
        <v>166.73864894795128</v>
      </c>
      <c r="F68" s="2198">
        <f t="shared" si="240"/>
        <v>115.05882352941177</v>
      </c>
      <c r="G68" s="3479">
        <v>2006</v>
      </c>
      <c r="H68" s="2208">
        <v>2</v>
      </c>
      <c r="I68" s="2208">
        <v>0.96</v>
      </c>
      <c r="J68" s="2208">
        <v>0.25</v>
      </c>
      <c r="K68" s="2208">
        <v>1.9</v>
      </c>
      <c r="L68" s="2209">
        <v>0.95</v>
      </c>
      <c r="N68" s="2252">
        <f t="shared" si="237"/>
        <v>1.8352632728861701E-2</v>
      </c>
      <c r="O68" s="2253">
        <f t="shared" si="237"/>
        <v>2.6286459319075526E-3</v>
      </c>
      <c r="P68" s="2253">
        <f t="shared" si="238"/>
        <v>5.4299289107991269E-2</v>
      </c>
      <c r="Q68" s="2253">
        <f t="shared" si="238"/>
        <v>8.9126559714794995E-3</v>
      </c>
      <c r="R68" s="2201"/>
      <c r="S68" s="2200"/>
      <c r="T68" s="2185"/>
      <c r="U68" s="2185"/>
      <c r="V68" s="2185"/>
      <c r="X68" s="2254"/>
      <c r="Y68" s="2254"/>
      <c r="Z68" s="2254"/>
    </row>
    <row r="69" spans="1:26">
      <c r="A69" s="2197" t="s">
        <v>921</v>
      </c>
      <c r="B69" s="2198">
        <f t="shared" si="239"/>
        <v>144.04145728643215</v>
      </c>
      <c r="C69" s="2198">
        <f t="shared" si="239"/>
        <v>136.12396694214877</v>
      </c>
      <c r="D69" s="2198">
        <f t="shared" si="213"/>
        <v>136.12396694214877</v>
      </c>
      <c r="E69" s="2198">
        <f t="shared" si="240"/>
        <v>158.32225913621264</v>
      </c>
      <c r="F69" s="2198">
        <f t="shared" si="240"/>
        <v>114.04278074866311</v>
      </c>
      <c r="G69" s="3480">
        <v>2006</v>
      </c>
      <c r="H69" s="2199">
        <v>1</v>
      </c>
      <c r="I69" s="2199">
        <v>2.29</v>
      </c>
      <c r="J69" s="2199">
        <v>3.72</v>
      </c>
      <c r="K69" s="2199">
        <v>0.75</v>
      </c>
      <c r="L69" s="2203">
        <v>0.04</v>
      </c>
      <c r="N69" s="2255">
        <f t="shared" si="237"/>
        <v>4.3778675988638847E-2</v>
      </c>
      <c r="O69" s="2256">
        <f t="shared" si="237"/>
        <v>3.9114251466784385E-2</v>
      </c>
      <c r="P69" s="2256">
        <f t="shared" si="238"/>
        <v>2.1433929911049188E-2</v>
      </c>
      <c r="Q69" s="2256">
        <f t="shared" si="238"/>
        <v>3.7526972511492629E-4</v>
      </c>
      <c r="R69" s="2201"/>
      <c r="S69" s="2212">
        <f>B69/B70-1</f>
        <v>4.3778675988638716E-2</v>
      </c>
      <c r="T69" s="2213">
        <f>C69/C70-1</f>
        <v>3.91142514667846E-2</v>
      </c>
      <c r="U69" s="2213">
        <f>E69/E70-1</f>
        <v>2.143392991104931E-2</v>
      </c>
      <c r="V69" s="2213">
        <f>F69/F70-1</f>
        <v>3.7526972511492396E-4</v>
      </c>
      <c r="X69" s="2254"/>
      <c r="Y69" s="2254"/>
      <c r="Z69" s="2254"/>
    </row>
    <row r="70" spans="1:26" ht="13.5" thickBot="1">
      <c r="A70" s="2197" t="s">
        <v>922</v>
      </c>
      <c r="B70" s="2221">
        <v>138</v>
      </c>
      <c r="C70" s="2221">
        <v>131</v>
      </c>
      <c r="D70" s="2221">
        <f t="shared" si="213"/>
        <v>131</v>
      </c>
      <c r="E70" s="2221">
        <v>155</v>
      </c>
      <c r="F70" s="2222">
        <v>114</v>
      </c>
      <c r="G70" s="3478">
        <v>2005</v>
      </c>
      <c r="H70" s="2214">
        <v>4</v>
      </c>
      <c r="I70" s="2214">
        <v>3.29</v>
      </c>
      <c r="J70" s="2214">
        <v>1.44</v>
      </c>
      <c r="K70" s="2214">
        <v>0.66</v>
      </c>
      <c r="L70" s="2215">
        <v>7.78</v>
      </c>
      <c r="N70" s="2252">
        <f t="shared" ref="N70:O73" si="241">I70/SUM(I$70:I$73)*(B$70/B$74-1)</f>
        <v>9.9404603216919935E-2</v>
      </c>
      <c r="O70" s="2253">
        <f t="shared" si="241"/>
        <v>4.7636550760861554E-2</v>
      </c>
      <c r="P70" s="2253">
        <f t="shared" ref="P70:Q73" si="242">K70/SUM(K$70:K$73)*(E$70/E$74-1)</f>
        <v>8.3756345177664976E-2</v>
      </c>
      <c r="Q70" s="2253">
        <f t="shared" si="242"/>
        <v>5.2148766661559584E-2</v>
      </c>
      <c r="R70" s="2201"/>
      <c r="S70" s="2210"/>
      <c r="T70" s="2211"/>
      <c r="U70" s="2211"/>
      <c r="V70" s="2211"/>
      <c r="X70" s="2254"/>
      <c r="Y70" s="2254"/>
      <c r="Z70" s="2254"/>
    </row>
    <row r="71" spans="1:26">
      <c r="A71" s="2197" t="s">
        <v>923</v>
      </c>
      <c r="B71" s="2198">
        <f t="shared" ref="B71:C73" si="243">B72+(B$70-B$74)*I71/SUM(I$70:I$73)</f>
        <v>125.9720430107527</v>
      </c>
      <c r="C71" s="2198">
        <f t="shared" si="243"/>
        <v>125.1883408071749</v>
      </c>
      <c r="D71" s="2198">
        <f t="shared" si="213"/>
        <v>125.1883408071749</v>
      </c>
      <c r="E71" s="2198">
        <f t="shared" ref="E71:F73" si="244">E72+(E$70-E$74)*K71/SUM(K$70:K$73)</f>
        <v>144.61421319796952</v>
      </c>
      <c r="F71" s="2198">
        <f t="shared" si="244"/>
        <v>108.42008196721311</v>
      </c>
      <c r="G71" s="3479">
        <v>2005</v>
      </c>
      <c r="H71" s="2219">
        <v>3</v>
      </c>
      <c r="I71" s="2219">
        <v>0.46</v>
      </c>
      <c r="J71" s="2219">
        <v>0.32</v>
      </c>
      <c r="K71" s="2219">
        <v>0.42</v>
      </c>
      <c r="L71" s="2220">
        <v>0.64</v>
      </c>
      <c r="N71" s="2252">
        <f t="shared" si="241"/>
        <v>1.3898515951301874E-2</v>
      </c>
      <c r="O71" s="2253">
        <f t="shared" si="241"/>
        <v>1.0585900169080346E-2</v>
      </c>
      <c r="P71" s="2253">
        <f t="shared" si="242"/>
        <v>5.3299492385786795E-2</v>
      </c>
      <c r="Q71" s="2253">
        <f t="shared" si="242"/>
        <v>4.2898728359123568E-3</v>
      </c>
      <c r="R71" s="2201"/>
      <c r="S71" s="2200"/>
      <c r="T71" s="2185"/>
      <c r="U71" s="2185"/>
      <c r="V71" s="2185"/>
      <c r="X71" s="2254"/>
      <c r="Y71" s="2254"/>
      <c r="Z71" s="2254"/>
    </row>
    <row r="72" spans="1:26">
      <c r="A72" s="2197" t="s">
        <v>924</v>
      </c>
      <c r="B72" s="2198">
        <f t="shared" si="243"/>
        <v>124.29032258064517</v>
      </c>
      <c r="C72" s="2198">
        <f t="shared" si="243"/>
        <v>123.8968609865471</v>
      </c>
      <c r="D72" s="2198">
        <f t="shared" si="213"/>
        <v>123.8968609865471</v>
      </c>
      <c r="E72" s="2198">
        <f t="shared" si="244"/>
        <v>138.00507614213197</v>
      </c>
      <c r="F72" s="2198">
        <f t="shared" si="244"/>
        <v>107.96106557377048</v>
      </c>
      <c r="G72" s="3479">
        <v>2005</v>
      </c>
      <c r="H72" s="2208">
        <v>2</v>
      </c>
      <c r="I72" s="2208">
        <v>0.47</v>
      </c>
      <c r="J72" s="2208">
        <v>0.1</v>
      </c>
      <c r="K72" s="2208">
        <v>0.52</v>
      </c>
      <c r="L72" s="2209">
        <v>0.79</v>
      </c>
      <c r="N72" s="2252">
        <f t="shared" si="241"/>
        <v>1.420065760241713E-2</v>
      </c>
      <c r="O72" s="2253">
        <f t="shared" si="241"/>
        <v>3.3080938028376083E-3</v>
      </c>
      <c r="P72" s="2253">
        <f t="shared" si="242"/>
        <v>6.598984771573603E-2</v>
      </c>
      <c r="Q72" s="2253">
        <f t="shared" si="242"/>
        <v>5.2953117818293153E-3</v>
      </c>
      <c r="R72" s="2201"/>
      <c r="S72" s="2200"/>
      <c r="T72" s="2185"/>
      <c r="U72" s="2185"/>
      <c r="V72" s="2185"/>
      <c r="X72" s="2254"/>
      <c r="Y72" s="2254"/>
      <c r="Z72" s="2254"/>
    </row>
    <row r="73" spans="1:26">
      <c r="A73" s="2197" t="s">
        <v>925</v>
      </c>
      <c r="B73" s="2198">
        <f t="shared" si="243"/>
        <v>122.57204301075269</v>
      </c>
      <c r="C73" s="2198">
        <f t="shared" si="243"/>
        <v>123.4932735426009</v>
      </c>
      <c r="D73" s="2198">
        <f t="shared" si="213"/>
        <v>123.4932735426009</v>
      </c>
      <c r="E73" s="2198">
        <f t="shared" si="244"/>
        <v>129.82233502538071</v>
      </c>
      <c r="F73" s="2198">
        <f t="shared" si="244"/>
        <v>107.39446721311475</v>
      </c>
      <c r="G73" s="3480">
        <v>2005</v>
      </c>
      <c r="H73" s="2199">
        <v>1</v>
      </c>
      <c r="I73" s="2199">
        <v>0.43</v>
      </c>
      <c r="J73" s="2199">
        <v>0.37</v>
      </c>
      <c r="K73" s="2199">
        <v>0.37</v>
      </c>
      <c r="L73" s="2203">
        <v>0.55000000000000004</v>
      </c>
      <c r="N73" s="2255">
        <f t="shared" si="241"/>
        <v>1.2992090997956099E-2</v>
      </c>
      <c r="O73" s="2256">
        <f t="shared" si="241"/>
        <v>1.2239947070499151E-2</v>
      </c>
      <c r="P73" s="2256">
        <f t="shared" si="242"/>
        <v>4.6954314720812178E-2</v>
      </c>
      <c r="Q73" s="2256">
        <f t="shared" si="242"/>
        <v>3.6866094683621815E-3</v>
      </c>
      <c r="R73" s="2201"/>
      <c r="S73" s="2212">
        <f>B73/B74-1</f>
        <v>1.2992090997956174E-2</v>
      </c>
      <c r="T73" s="2213">
        <f>C73/C74-1</f>
        <v>1.2239947070499246E-2</v>
      </c>
      <c r="U73" s="2213">
        <f>E73/E74-1</f>
        <v>4.695431472081224E-2</v>
      </c>
      <c r="V73" s="2213">
        <f>F73/F74-1</f>
        <v>3.6866094683620787E-3</v>
      </c>
      <c r="X73" s="2254"/>
      <c r="Y73" s="2254"/>
      <c r="Z73" s="2254"/>
    </row>
    <row r="74" spans="1:26" ht="13.5" thickBot="1">
      <c r="A74" s="2197" t="s">
        <v>926</v>
      </c>
      <c r="B74" s="2240">
        <v>121</v>
      </c>
      <c r="C74" s="2240">
        <v>122</v>
      </c>
      <c r="D74" s="2240">
        <f t="shared" si="213"/>
        <v>122</v>
      </c>
      <c r="E74" s="2240">
        <v>124</v>
      </c>
      <c r="F74" s="2241">
        <v>107</v>
      </c>
      <c r="G74" s="3478">
        <v>2004</v>
      </c>
      <c r="H74" s="2214">
        <v>4</v>
      </c>
      <c r="I74" s="2214">
        <v>0.33</v>
      </c>
      <c r="J74" s="2214">
        <v>0.5</v>
      </c>
      <c r="K74" s="2214">
        <v>0.5</v>
      </c>
      <c r="L74" s="2215">
        <v>0</v>
      </c>
      <c r="N74" s="2252">
        <f t="shared" ref="N74:O77" si="245">I74/SUM(I$74:I$77)*(B$74/B$78-1)</f>
        <v>1.3391770148526898E-2</v>
      </c>
      <c r="O74" s="2253">
        <f t="shared" si="245"/>
        <v>1.063264221158958E-2</v>
      </c>
      <c r="P74" s="2253">
        <f t="shared" ref="P74:Q77" si="246">K74/SUM(K$74:K$77)*(E$74/E$78-1)</f>
        <v>2.2244466688911134E-2</v>
      </c>
      <c r="Q74" s="2253">
        <f t="shared" si="246"/>
        <v>0</v>
      </c>
      <c r="R74" s="2201"/>
      <c r="S74" s="2210"/>
      <c r="T74" s="2211"/>
      <c r="U74" s="2211"/>
      <c r="V74" s="2211"/>
      <c r="X74" s="2254"/>
      <c r="Y74" s="2254"/>
      <c r="Z74" s="2254"/>
    </row>
    <row r="75" spans="1:26">
      <c r="A75" s="2197" t="s">
        <v>927</v>
      </c>
      <c r="B75" s="2198">
        <f t="shared" ref="B75:C77" si="247">B76+(B$74-B$78)*I75/SUM(I$74:I$77)</f>
        <v>119.51351351351352</v>
      </c>
      <c r="C75" s="2198">
        <f t="shared" si="247"/>
        <v>120.7878787878788</v>
      </c>
      <c r="D75" s="2198">
        <f t="shared" si="213"/>
        <v>120.7878787878788</v>
      </c>
      <c r="E75" s="2198">
        <f t="shared" ref="E75:F77" si="248">E76+(E$74-E$78)*K75/SUM(K$74:K$77)</f>
        <v>121.5975975975976</v>
      </c>
      <c r="F75" s="2198">
        <f t="shared" si="248"/>
        <v>107</v>
      </c>
      <c r="G75" s="3479">
        <v>2004</v>
      </c>
      <c r="H75" s="2219">
        <v>3</v>
      </c>
      <c r="I75" s="2219">
        <v>0.56000000000000005</v>
      </c>
      <c r="J75" s="2219">
        <v>0.8</v>
      </c>
      <c r="K75" s="2219">
        <v>0.83</v>
      </c>
      <c r="L75" s="2220">
        <v>0.06</v>
      </c>
      <c r="N75" s="2252">
        <f t="shared" si="245"/>
        <v>2.2725428130833527E-2</v>
      </c>
      <c r="O75" s="2253">
        <f t="shared" si="245"/>
        <v>1.7012227538543329E-2</v>
      </c>
      <c r="P75" s="2253">
        <f t="shared" si="246"/>
        <v>3.6925814703592477E-2</v>
      </c>
      <c r="Q75" s="2253">
        <f t="shared" si="246"/>
        <v>2.8846153846153744E-2</v>
      </c>
      <c r="R75" s="2201"/>
      <c r="S75" s="2200"/>
      <c r="T75" s="2185"/>
      <c r="U75" s="2185"/>
      <c r="V75" s="2185"/>
      <c r="X75" s="2254"/>
      <c r="Y75" s="2254"/>
      <c r="Z75" s="2254"/>
    </row>
    <row r="76" spans="1:26">
      <c r="A76" s="2197" t="s">
        <v>928</v>
      </c>
      <c r="B76" s="2198">
        <f t="shared" si="247"/>
        <v>116.99099099099099</v>
      </c>
      <c r="C76" s="2198">
        <f t="shared" si="247"/>
        <v>118.84848484848486</v>
      </c>
      <c r="D76" s="2198">
        <f t="shared" si="213"/>
        <v>118.84848484848486</v>
      </c>
      <c r="E76" s="2198">
        <f t="shared" si="248"/>
        <v>117.60960960960961</v>
      </c>
      <c r="F76" s="2198">
        <f t="shared" si="248"/>
        <v>104</v>
      </c>
      <c r="G76" s="3479">
        <v>2004</v>
      </c>
      <c r="H76" s="2208">
        <v>2</v>
      </c>
      <c r="I76" s="2208">
        <v>1</v>
      </c>
      <c r="J76" s="2208">
        <v>1.5</v>
      </c>
      <c r="K76" s="2208">
        <v>1.5</v>
      </c>
      <c r="L76" s="2209">
        <v>0</v>
      </c>
      <c r="N76" s="2252">
        <f t="shared" si="245"/>
        <v>4.0581121662202721E-2</v>
      </c>
      <c r="O76" s="2253">
        <f t="shared" si="245"/>
        <v>3.1897926634768738E-2</v>
      </c>
      <c r="P76" s="2253">
        <f t="shared" si="246"/>
        <v>6.6733400066733395E-2</v>
      </c>
      <c r="Q76" s="2253">
        <f t="shared" si="246"/>
        <v>0</v>
      </c>
      <c r="R76" s="2201"/>
      <c r="S76" s="2200"/>
      <c r="T76" s="2185"/>
      <c r="U76" s="2185"/>
      <c r="V76" s="2185"/>
      <c r="X76" s="2254"/>
      <c r="Y76" s="2254"/>
      <c r="Z76" s="2254"/>
    </row>
    <row r="77" spans="1:26" s="2246" customFormat="1" ht="13.5" thickBot="1">
      <c r="A77" s="2197" t="s">
        <v>929</v>
      </c>
      <c r="B77" s="2243">
        <f t="shared" si="247"/>
        <v>112.48648648648648</v>
      </c>
      <c r="C77" s="2243">
        <f t="shared" si="247"/>
        <v>115.21212121212122</v>
      </c>
      <c r="D77" s="2243">
        <f t="shared" si="213"/>
        <v>115.21212121212122</v>
      </c>
      <c r="E77" s="2243">
        <f t="shared" si="248"/>
        <v>110.4024024024024</v>
      </c>
      <c r="F77" s="2243">
        <f t="shared" si="248"/>
        <v>104</v>
      </c>
      <c r="G77" s="3480">
        <v>2004</v>
      </c>
      <c r="H77" s="2244">
        <v>1</v>
      </c>
      <c r="I77" s="2244">
        <v>0.33</v>
      </c>
      <c r="J77" s="2244">
        <v>0.5</v>
      </c>
      <c r="K77" s="2244">
        <v>0.5</v>
      </c>
      <c r="L77" s="2245">
        <v>0</v>
      </c>
      <c r="N77" s="2257">
        <f t="shared" si="245"/>
        <v>1.3391770148526898E-2</v>
      </c>
      <c r="O77" s="2258">
        <f t="shared" si="245"/>
        <v>1.063264221158958E-2</v>
      </c>
      <c r="P77" s="2258">
        <f t="shared" si="246"/>
        <v>2.2244466688911134E-2</v>
      </c>
      <c r="Q77" s="2258">
        <f t="shared" si="246"/>
        <v>0</v>
      </c>
      <c r="R77" s="2249"/>
      <c r="S77" s="2247">
        <f>B77/B78-1</f>
        <v>1.3391770148526883E-2</v>
      </c>
      <c r="T77" s="2248">
        <f>C77/C78-1</f>
        <v>1.063264221158966E-2</v>
      </c>
      <c r="U77" s="2248">
        <f>E77/E78-1</f>
        <v>2.2244466688911224E-2</v>
      </c>
      <c r="V77" s="2248">
        <f>F77/F78-1</f>
        <v>0</v>
      </c>
      <c r="X77" s="2259"/>
      <c r="Y77" s="2259"/>
      <c r="Z77" s="2259"/>
    </row>
    <row r="78" spans="1:26" ht="13.5" thickBot="1">
      <c r="A78" s="2197" t="s">
        <v>930</v>
      </c>
      <c r="B78" s="2260">
        <v>111</v>
      </c>
      <c r="C78" s="2260">
        <v>114</v>
      </c>
      <c r="D78" s="2260">
        <f t="shared" si="213"/>
        <v>114</v>
      </c>
      <c r="E78" s="2260">
        <v>108</v>
      </c>
      <c r="F78" s="2261">
        <v>104</v>
      </c>
      <c r="G78" s="3478">
        <v>2003</v>
      </c>
      <c r="H78" s="2250">
        <v>4</v>
      </c>
      <c r="I78" s="2262"/>
      <c r="J78" s="2262"/>
      <c r="K78" s="2262"/>
      <c r="L78" s="2262"/>
      <c r="N78" s="2263"/>
      <c r="O78" s="2262"/>
      <c r="P78" s="2262"/>
      <c r="Q78" s="2262"/>
      <c r="S78" s="2263"/>
      <c r="T78" s="2262"/>
      <c r="U78" s="2262"/>
      <c r="V78" s="2262"/>
      <c r="X78" s="2254"/>
      <c r="Y78" s="2254"/>
      <c r="Z78" s="2254"/>
    </row>
    <row r="79" spans="1:26">
      <c r="A79" s="2197" t="s">
        <v>931</v>
      </c>
      <c r="B79" s="2264">
        <f t="shared" ref="B79:C81" si="249">B80+(B$78-B$82)/4</f>
        <v>109.75</v>
      </c>
      <c r="C79" s="2264">
        <f t="shared" si="249"/>
        <v>112.25</v>
      </c>
      <c r="D79" s="2264">
        <f t="shared" si="213"/>
        <v>112.25</v>
      </c>
      <c r="E79" s="2264">
        <f t="shared" ref="E79:F81" si="250">E80+(E$78-E$82)/4</f>
        <v>107.25</v>
      </c>
      <c r="F79" s="2264">
        <f t="shared" si="250"/>
        <v>103.5</v>
      </c>
      <c r="G79" s="3479">
        <v>2003</v>
      </c>
      <c r="H79" s="2219">
        <v>3</v>
      </c>
      <c r="I79" s="2262"/>
      <c r="J79" s="2262"/>
      <c r="K79" s="2262"/>
      <c r="L79" s="2262"/>
      <c r="X79" s="2254"/>
      <c r="Y79" s="2254"/>
      <c r="Z79" s="2254"/>
    </row>
    <row r="80" spans="1:26">
      <c r="A80" s="2197" t="s">
        <v>932</v>
      </c>
      <c r="B80" s="2264">
        <f t="shared" si="249"/>
        <v>108.5</v>
      </c>
      <c r="C80" s="2264">
        <f t="shared" si="249"/>
        <v>110.5</v>
      </c>
      <c r="D80" s="2264">
        <f t="shared" si="213"/>
        <v>110.5</v>
      </c>
      <c r="E80" s="2264">
        <f t="shared" si="250"/>
        <v>106.5</v>
      </c>
      <c r="F80" s="2264">
        <f t="shared" si="250"/>
        <v>103</v>
      </c>
      <c r="G80" s="3479">
        <v>2003</v>
      </c>
      <c r="H80" s="2208">
        <v>2</v>
      </c>
      <c r="I80" s="2262"/>
      <c r="J80" s="2262"/>
      <c r="K80" s="2262"/>
      <c r="L80" s="2262"/>
      <c r="X80" s="2254"/>
      <c r="Y80" s="2254"/>
      <c r="Z80" s="2254"/>
    </row>
    <row r="81" spans="1:26" ht="13.5" thickBot="1">
      <c r="A81" s="2197" t="s">
        <v>933</v>
      </c>
      <c r="B81" s="2264">
        <f t="shared" si="249"/>
        <v>107.25</v>
      </c>
      <c r="C81" s="2264">
        <f t="shared" si="249"/>
        <v>108.75</v>
      </c>
      <c r="D81" s="2264">
        <f t="shared" si="213"/>
        <v>108.75</v>
      </c>
      <c r="E81" s="2264">
        <f t="shared" si="250"/>
        <v>105.75</v>
      </c>
      <c r="F81" s="2264">
        <f t="shared" si="250"/>
        <v>102.5</v>
      </c>
      <c r="G81" s="3480">
        <v>2003</v>
      </c>
      <c r="H81" s="2265">
        <v>1</v>
      </c>
      <c r="I81" s="2262"/>
      <c r="J81" s="2262"/>
      <c r="K81" s="2262"/>
      <c r="L81" s="2262"/>
      <c r="S81" s="2200"/>
      <c r="T81" s="2185"/>
      <c r="U81" s="2185"/>
      <c r="X81" s="2254"/>
      <c r="Y81" s="2254"/>
      <c r="Z81" s="2254"/>
    </row>
    <row r="82" spans="1:26" ht="13.5" thickBot="1">
      <c r="A82" s="2197" t="s">
        <v>934</v>
      </c>
      <c r="B82" s="2266">
        <v>106</v>
      </c>
      <c r="C82" s="2266">
        <v>107</v>
      </c>
      <c r="D82" s="2266">
        <f t="shared" si="213"/>
        <v>107</v>
      </c>
      <c r="E82" s="2266">
        <v>105</v>
      </c>
      <c r="F82" s="2267">
        <v>102</v>
      </c>
      <c r="G82" s="3478">
        <v>2002</v>
      </c>
      <c r="H82" s="2214">
        <v>4</v>
      </c>
      <c r="I82" s="2262"/>
      <c r="J82" s="2262"/>
      <c r="K82" s="2262"/>
      <c r="L82" s="2262"/>
      <c r="N82" s="2263"/>
      <c r="O82" s="2262"/>
      <c r="P82" s="2262"/>
      <c r="Q82" s="2262"/>
      <c r="S82" s="2263"/>
      <c r="T82" s="2262"/>
      <c r="U82" s="2262"/>
      <c r="V82" s="2262"/>
      <c r="X82" s="2254"/>
      <c r="Y82" s="2254"/>
      <c r="Z82" s="2254"/>
    </row>
    <row r="83" spans="1:26">
      <c r="A83" s="2197" t="s">
        <v>935</v>
      </c>
      <c r="B83" s="2264">
        <f t="shared" ref="B83:C85" si="251">B84+(B$82-B$86)/4</f>
        <v>105</v>
      </c>
      <c r="C83" s="2264">
        <f t="shared" si="251"/>
        <v>106</v>
      </c>
      <c r="D83" s="2264">
        <f t="shared" si="213"/>
        <v>106</v>
      </c>
      <c r="E83" s="2264">
        <f t="shared" ref="E83:F85" si="252">E84+(E$82-E$86)/4</f>
        <v>104.5</v>
      </c>
      <c r="F83" s="2264">
        <f t="shared" si="252"/>
        <v>101.5</v>
      </c>
      <c r="G83" s="3479">
        <v>2002</v>
      </c>
      <c r="H83" s="2219">
        <v>3</v>
      </c>
      <c r="I83" s="2262"/>
      <c r="J83" s="2262"/>
      <c r="K83" s="2262"/>
      <c r="L83" s="2262"/>
      <c r="X83" s="2254"/>
      <c r="Y83" s="2254"/>
      <c r="Z83" s="2254"/>
    </row>
    <row r="84" spans="1:26">
      <c r="A84" s="2197" t="s">
        <v>936</v>
      </c>
      <c r="B84" s="2264">
        <f t="shared" si="251"/>
        <v>104</v>
      </c>
      <c r="C84" s="2264">
        <f t="shared" si="251"/>
        <v>105</v>
      </c>
      <c r="D84" s="2264">
        <f t="shared" si="213"/>
        <v>105</v>
      </c>
      <c r="E84" s="2264">
        <f t="shared" si="252"/>
        <v>104</v>
      </c>
      <c r="F84" s="2264">
        <f t="shared" si="252"/>
        <v>101</v>
      </c>
      <c r="G84" s="3479">
        <v>2002</v>
      </c>
      <c r="H84" s="2208">
        <v>2</v>
      </c>
      <c r="I84" s="2262"/>
      <c r="J84" s="2262"/>
      <c r="K84" s="2262"/>
      <c r="L84" s="2262"/>
      <c r="X84" s="2254"/>
      <c r="Y84" s="2254"/>
      <c r="Z84" s="2254"/>
    </row>
    <row r="85" spans="1:26" s="2229" customFormat="1" ht="13.5" thickBot="1">
      <c r="A85" s="2225" t="s">
        <v>937</v>
      </c>
      <c r="B85" s="2232">
        <f t="shared" si="251"/>
        <v>103</v>
      </c>
      <c r="C85" s="2232">
        <f t="shared" si="251"/>
        <v>104</v>
      </c>
      <c r="D85" s="2232">
        <f t="shared" si="213"/>
        <v>104</v>
      </c>
      <c r="E85" s="2232">
        <f t="shared" si="252"/>
        <v>103.5</v>
      </c>
      <c r="F85" s="2232">
        <f t="shared" si="252"/>
        <v>100.5</v>
      </c>
      <c r="G85" s="3480">
        <v>2002</v>
      </c>
      <c r="H85" s="2268">
        <v>1</v>
      </c>
      <c r="I85" s="2269"/>
      <c r="J85" s="2269"/>
      <c r="K85" s="2269"/>
      <c r="L85" s="2269"/>
      <c r="N85" s="2270"/>
      <c r="S85" s="2270"/>
      <c r="X85" s="2271"/>
      <c r="Y85" s="2271"/>
      <c r="Z85" s="2271"/>
    </row>
    <row r="86" spans="1:26" ht="13.5" thickBot="1">
      <c r="B86" s="2272">
        <v>102</v>
      </c>
      <c r="C86" s="2273">
        <v>103</v>
      </c>
      <c r="D86" s="2273">
        <f t="shared" si="213"/>
        <v>103</v>
      </c>
      <c r="E86" s="2273">
        <v>103</v>
      </c>
      <c r="F86" s="2274">
        <v>100</v>
      </c>
      <c r="I86" s="2262"/>
      <c r="J86" s="2262"/>
      <c r="K86" s="2262"/>
      <c r="L86" s="2262"/>
      <c r="N86" s="2263"/>
      <c r="O86" s="2262"/>
      <c r="P86" s="2262"/>
      <c r="Q86" s="2262"/>
      <c r="S86" s="2263"/>
      <c r="T86" s="2262"/>
      <c r="U86" s="2262"/>
      <c r="V86" s="2262"/>
      <c r="X86" s="2211"/>
      <c r="Y86" s="2211"/>
      <c r="Z86" s="2211"/>
    </row>
    <row r="88" spans="1:26" s="2276" customFormat="1">
      <c r="A88" s="2275" t="s">
        <v>938</v>
      </c>
      <c r="G88" s="2277"/>
      <c r="N88" s="2277"/>
      <c r="S88" s="2277"/>
    </row>
    <row r="89" spans="1:26" s="2276" customFormat="1">
      <c r="A89" s="2276" t="s">
        <v>939</v>
      </c>
      <c r="G89" s="2277"/>
      <c r="N89" s="2277"/>
      <c r="S89" s="2277"/>
    </row>
    <row r="90" spans="1:26" s="2276" customFormat="1">
      <c r="A90" s="2276" t="s">
        <v>940</v>
      </c>
      <c r="G90" s="2277"/>
      <c r="I90" s="2278"/>
      <c r="J90" s="2278"/>
      <c r="K90" s="2278"/>
      <c r="L90" s="2278"/>
      <c r="N90" s="2279"/>
      <c r="O90" s="2278"/>
      <c r="P90" s="2278"/>
      <c r="Q90" s="2278"/>
      <c r="S90" s="2279"/>
      <c r="T90" s="2278"/>
      <c r="U90" s="2278"/>
      <c r="V90" s="2278"/>
    </row>
    <row r="91" spans="1:26" s="2276" customFormat="1">
      <c r="A91" s="2276" t="s">
        <v>941</v>
      </c>
      <c r="G91" s="2277"/>
      <c r="N91" s="2277"/>
      <c r="S91" s="2277"/>
    </row>
    <row r="98" spans="7:22" ht="13.5" thickBot="1"/>
    <row r="99" spans="7:22">
      <c r="G99" s="2184"/>
      <c r="S99" s="2280" t="s">
        <v>942</v>
      </c>
      <c r="T99" s="2219" t="s">
        <v>943</v>
      </c>
      <c r="U99" s="2219" t="s">
        <v>944</v>
      </c>
      <c r="V99" s="2219" t="s">
        <v>945</v>
      </c>
    </row>
    <row r="100" spans="7:22">
      <c r="G100" s="2184"/>
      <c r="N100" s="2210"/>
      <c r="O100" s="2211"/>
      <c r="P100" s="2211"/>
      <c r="Q100" s="2211"/>
      <c r="S100" s="2281">
        <v>2006</v>
      </c>
      <c r="T100" s="2208">
        <v>15.1</v>
      </c>
      <c r="U100" s="2208">
        <v>7.43</v>
      </c>
      <c r="V100" s="2208">
        <v>26.26</v>
      </c>
    </row>
    <row r="101" spans="7:22">
      <c r="G101" s="2184"/>
      <c r="N101" s="2210"/>
      <c r="O101" s="2211"/>
      <c r="P101" s="2211"/>
      <c r="Q101" s="2211"/>
      <c r="S101" s="2282">
        <v>2005</v>
      </c>
      <c r="T101" s="2199">
        <v>13.9</v>
      </c>
      <c r="U101" s="2199">
        <v>7.49</v>
      </c>
      <c r="V101" s="2199">
        <v>24.92</v>
      </c>
    </row>
    <row r="102" spans="7:22">
      <c r="G102" s="2184"/>
      <c r="N102" s="2210"/>
      <c r="O102" s="2211"/>
      <c r="P102" s="2211"/>
      <c r="Q102" s="2211"/>
      <c r="S102" s="2281">
        <v>2004</v>
      </c>
      <c r="T102" s="2208">
        <v>9.48</v>
      </c>
      <c r="U102" s="2208">
        <v>7.2</v>
      </c>
      <c r="V102" s="2208">
        <v>14.68</v>
      </c>
    </row>
    <row r="103" spans="7:22">
      <c r="G103" s="2184"/>
      <c r="N103" s="2210"/>
      <c r="O103" s="2211"/>
      <c r="P103" s="2211"/>
      <c r="Q103" s="2211"/>
      <c r="S103" s="2282">
        <v>2003</v>
      </c>
      <c r="T103" s="2199">
        <v>4.5</v>
      </c>
      <c r="U103" s="2199">
        <v>6.12</v>
      </c>
      <c r="V103" s="2199">
        <v>2.34</v>
      </c>
    </row>
    <row r="104" spans="7:22" ht="13.5" thickBot="1">
      <c r="G104" s="2184"/>
      <c r="N104" s="2210"/>
      <c r="O104" s="2211"/>
      <c r="P104" s="2211"/>
      <c r="Q104" s="2211"/>
      <c r="S104" s="2283">
        <v>2002</v>
      </c>
      <c r="T104" s="2214">
        <v>3.59</v>
      </c>
      <c r="U104" s="2214">
        <v>4.54</v>
      </c>
      <c r="V104" s="2214">
        <v>2.5499999999999998</v>
      </c>
    </row>
    <row r="105" spans="7:22">
      <c r="G105" s="2184"/>
      <c r="N105" s="2210"/>
      <c r="O105" s="2211"/>
      <c r="P105" s="2211"/>
      <c r="Q105" s="2211"/>
    </row>
    <row r="106" spans="7:22">
      <c r="G106" s="2184"/>
      <c r="N106" s="2210"/>
      <c r="O106" s="2211"/>
      <c r="P106" s="2211"/>
      <c r="Q106" s="2211"/>
    </row>
    <row r="107" spans="7:22">
      <c r="G107" s="2184"/>
      <c r="N107" s="2210"/>
      <c r="O107" s="2211"/>
      <c r="P107" s="2211"/>
      <c r="Q107" s="2211"/>
    </row>
    <row r="108" spans="7:22">
      <c r="G108" s="2184"/>
      <c r="N108" s="2210"/>
      <c r="O108" s="2211"/>
      <c r="P108" s="2211"/>
      <c r="Q108" s="2211"/>
    </row>
    <row r="109" spans="7:22">
      <c r="G109" s="2184"/>
      <c r="N109" s="2210"/>
      <c r="O109" s="2211"/>
      <c r="P109" s="2211"/>
      <c r="Q109" s="2211"/>
    </row>
    <row r="110" spans="7:22">
      <c r="G110" s="2184"/>
      <c r="N110" s="2210"/>
      <c r="O110" s="2211"/>
      <c r="P110" s="2211"/>
      <c r="Q110" s="2211"/>
    </row>
    <row r="111" spans="7:22">
      <c r="G111" s="2184"/>
      <c r="N111" s="2210"/>
      <c r="O111" s="2211"/>
      <c r="P111" s="2211"/>
      <c r="Q111" s="2211"/>
    </row>
    <row r="112" spans="7:22">
      <c r="G112" s="2184"/>
      <c r="N112" s="2210"/>
      <c r="O112" s="2211"/>
      <c r="P112" s="2211"/>
      <c r="Q112" s="2211"/>
    </row>
    <row r="113" spans="7:19">
      <c r="G113" s="2184"/>
      <c r="N113" s="2210"/>
      <c r="O113" s="2211"/>
      <c r="P113" s="2211"/>
      <c r="Q113" s="2211"/>
    </row>
    <row r="114" spans="7:19">
      <c r="G114" s="2184"/>
      <c r="N114" s="2210"/>
      <c r="O114" s="2211"/>
      <c r="P114" s="2211"/>
      <c r="Q114" s="2211"/>
    </row>
    <row r="115" spans="7:19">
      <c r="G115" s="2184"/>
      <c r="N115" s="2210"/>
      <c r="O115" s="2211"/>
      <c r="P115" s="2211"/>
      <c r="Q115" s="2211"/>
      <c r="S115" s="2184"/>
    </row>
    <row r="116" spans="7:19">
      <c r="G116" s="2184"/>
      <c r="N116" s="2210"/>
      <c r="O116" s="2211"/>
      <c r="P116" s="2211"/>
      <c r="Q116" s="2211"/>
      <c r="S116" s="2184"/>
    </row>
    <row r="117" spans="7:19">
      <c r="G117" s="2184"/>
      <c r="N117" s="2210"/>
      <c r="O117" s="2211"/>
      <c r="P117" s="2211"/>
      <c r="Q117" s="2211"/>
      <c r="S117" s="2184"/>
    </row>
    <row r="118" spans="7:19">
      <c r="G118" s="2184"/>
      <c r="N118" s="2210"/>
      <c r="O118" s="2211"/>
      <c r="P118" s="2211"/>
      <c r="Q118" s="2211"/>
      <c r="S118" s="2184"/>
    </row>
    <row r="119" spans="7:19">
      <c r="G119" s="2184"/>
      <c r="N119" s="2210"/>
      <c r="O119" s="2211"/>
      <c r="P119" s="2211"/>
      <c r="Q119" s="2211"/>
      <c r="S119" s="2184"/>
    </row>
    <row r="120" spans="7:19">
      <c r="G120" s="2184"/>
      <c r="N120" s="2210"/>
      <c r="O120" s="2211"/>
      <c r="P120" s="2211"/>
      <c r="Q120" s="2211"/>
      <c r="S120" s="218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2578</v>
      </c>
      <c r="C1" s="3490" t="s">
        <v>2579</v>
      </c>
      <c r="D1" s="3491"/>
      <c r="E1" s="3491"/>
      <c r="F1" s="3491"/>
      <c r="G1" s="3491"/>
      <c r="H1" s="3491"/>
      <c r="I1" s="3491"/>
      <c r="J1" s="3491"/>
      <c r="K1" s="3491"/>
      <c r="L1" s="3491"/>
      <c r="M1" s="3491"/>
      <c r="N1" s="3491"/>
      <c r="O1" s="3491"/>
      <c r="P1" s="3491"/>
      <c r="Q1" s="3491"/>
      <c r="R1" s="3491"/>
      <c r="S1" s="3492"/>
      <c r="T1" s="1036" t="s">
        <v>2580</v>
      </c>
    </row>
    <row r="2" spans="1:45" s="633" customFormat="1">
      <c r="A2" s="1037"/>
      <c r="B2" s="630" t="s">
        <v>2581</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c r="A5" s="1032"/>
      <c r="B5" s="1364" t="s">
        <v>2582</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7">D6-$T5</f>
        <v>100</v>
      </c>
      <c r="F6" s="1346">
        <f t="shared" si="7"/>
        <v>100</v>
      </c>
      <c r="G6" s="1346">
        <f t="shared" si="7"/>
        <v>100</v>
      </c>
      <c r="H6" s="1346">
        <f t="shared" si="7"/>
        <v>100</v>
      </c>
      <c r="I6" s="1346">
        <f t="shared" si="7"/>
        <v>100</v>
      </c>
      <c r="J6" s="1346">
        <f t="shared" si="7"/>
        <v>100</v>
      </c>
      <c r="K6" s="1346">
        <f t="shared" si="7"/>
        <v>100</v>
      </c>
      <c r="L6" s="1346">
        <f t="shared" si="7"/>
        <v>100</v>
      </c>
      <c r="M6" s="1346">
        <f t="shared" si="7"/>
        <v>100</v>
      </c>
      <c r="N6" s="1346">
        <f t="shared" si="7"/>
        <v>100</v>
      </c>
      <c r="O6" s="1346">
        <f t="shared" si="7"/>
        <v>100</v>
      </c>
      <c r="P6" s="1346">
        <f t="shared" si="7"/>
        <v>100</v>
      </c>
      <c r="Q6" s="1346">
        <f t="shared" si="7"/>
        <v>100</v>
      </c>
      <c r="R6" s="1346">
        <f t="shared" si="7"/>
        <v>100</v>
      </c>
      <c r="S6" s="1346">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c r="A7" s="1032"/>
      <c r="B7" s="1365" t="s">
        <v>2583</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8">D8-$T7</f>
        <v>100</v>
      </c>
      <c r="F8" s="1346">
        <f t="shared" si="8"/>
        <v>100</v>
      </c>
      <c r="G8" s="1346">
        <f t="shared" si="8"/>
        <v>100</v>
      </c>
      <c r="H8" s="1346">
        <f t="shared" si="8"/>
        <v>100</v>
      </c>
      <c r="I8" s="1346">
        <f t="shared" si="8"/>
        <v>100</v>
      </c>
      <c r="J8" s="1346">
        <f t="shared" si="8"/>
        <v>100</v>
      </c>
      <c r="K8" s="1346">
        <f t="shared" si="8"/>
        <v>100</v>
      </c>
      <c r="L8" s="1346">
        <f t="shared" si="8"/>
        <v>100</v>
      </c>
      <c r="M8" s="1346">
        <f t="shared" si="8"/>
        <v>100</v>
      </c>
      <c r="N8" s="1346">
        <f t="shared" si="8"/>
        <v>100</v>
      </c>
      <c r="O8" s="1346">
        <f t="shared" si="8"/>
        <v>100</v>
      </c>
      <c r="P8" s="1346">
        <f t="shared" si="8"/>
        <v>100</v>
      </c>
      <c r="Q8" s="1346">
        <f t="shared" si="8"/>
        <v>100</v>
      </c>
      <c r="R8" s="1346">
        <f t="shared" si="8"/>
        <v>100</v>
      </c>
      <c r="S8" s="1346">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c r="A9" s="1032"/>
      <c r="B9" s="1365" t="s">
        <v>2584</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9">D10-$T9</f>
        <v>100</v>
      </c>
      <c r="F10" s="1355">
        <f t="shared" si="9"/>
        <v>100</v>
      </c>
      <c r="G10" s="1355">
        <f t="shared" si="9"/>
        <v>100</v>
      </c>
      <c r="H10" s="1355">
        <f t="shared" si="9"/>
        <v>100</v>
      </c>
      <c r="I10" s="1355">
        <f t="shared" si="9"/>
        <v>100</v>
      </c>
      <c r="J10" s="1355">
        <f t="shared" si="9"/>
        <v>100</v>
      </c>
      <c r="K10" s="1355">
        <f t="shared" si="9"/>
        <v>100</v>
      </c>
      <c r="L10" s="1355">
        <f t="shared" si="9"/>
        <v>100</v>
      </c>
      <c r="M10" s="1355">
        <f t="shared" si="9"/>
        <v>100</v>
      </c>
      <c r="N10" s="1355">
        <f t="shared" si="9"/>
        <v>100</v>
      </c>
      <c r="O10" s="1355">
        <f t="shared" si="9"/>
        <v>100</v>
      </c>
      <c r="P10" s="1355">
        <f t="shared" si="9"/>
        <v>100</v>
      </c>
      <c r="Q10" s="1355">
        <f t="shared" si="9"/>
        <v>100</v>
      </c>
      <c r="R10" s="1355">
        <f t="shared" si="9"/>
        <v>100</v>
      </c>
      <c r="S10" s="1355">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c r="A11" s="1032"/>
      <c r="B11" s="1364" t="s">
        <v>2585</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c r="A13" s="1032"/>
      <c r="B13" s="1364" t="s">
        <v>2586</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c r="A15" s="1032"/>
      <c r="B15" s="1364" t="s">
        <v>2587</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c r="A17" s="2141" t="s">
        <v>2588</v>
      </c>
      <c r="B17" s="2142" t="s">
        <v>2589</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c r="A19" s="126"/>
      <c r="B19" s="156"/>
      <c r="C19" s="156"/>
      <c r="D19" s="2143" t="s">
        <v>2590</v>
      </c>
      <c r="E19" s="1382"/>
      <c r="F19" s="1382"/>
      <c r="G19" s="1382"/>
      <c r="H19" s="1103"/>
      <c r="I19" s="156"/>
      <c r="J19" s="156"/>
      <c r="K19" s="156"/>
      <c r="L19" s="156"/>
      <c r="M19" s="156"/>
      <c r="N19" s="156"/>
      <c r="O19" s="156"/>
      <c r="P19" s="156"/>
      <c r="Q19" s="156"/>
      <c r="R19" s="156"/>
      <c r="S19" s="126"/>
    </row>
    <row r="20" spans="1:45" ht="16.5" thickBot="1">
      <c r="A20" s="641" t="s">
        <v>2591</v>
      </c>
      <c r="B20" s="292" t="e">
        <f ca="1">IF(D20="——",S22,S22-F20)</f>
        <v>#REF!</v>
      </c>
      <c r="C20" s="156"/>
      <c r="D20" s="2144"/>
      <c r="E20" s="1383"/>
      <c r="F20" s="1036" t="e">
        <f ca="1">SUMIF(INDIRECT("'"&amp;H20&amp;"'"&amp;"!A:A"),"承租人权益价值",INDIRECT("'"&amp;H20&amp;"'"&amp;"!c:c"))</f>
        <v>#REF!</v>
      </c>
      <c r="G20" s="1036" t="s">
        <v>2592</v>
      </c>
      <c r="H20" s="2145"/>
      <c r="I20" s="156"/>
      <c r="J20" s="156"/>
      <c r="K20" s="156"/>
      <c r="L20" s="156"/>
      <c r="M20" s="156"/>
      <c r="N20" s="156"/>
      <c r="O20" s="156"/>
      <c r="P20" s="156"/>
      <c r="Q20" s="156"/>
      <c r="R20" s="156"/>
      <c r="S20" s="126"/>
    </row>
    <row r="21" spans="1:45" ht="15.75">
      <c r="A21" s="641" t="s">
        <v>2593</v>
      </c>
      <c r="B21" s="292" t="e">
        <f ca="1">ROUND(B20*10000/B22,0)</f>
        <v>#REF!</v>
      </c>
      <c r="C21" s="156"/>
      <c r="D21" s="156"/>
      <c r="E21" s="156"/>
      <c r="F21" s="156"/>
      <c r="G21" s="156"/>
      <c r="H21" s="156"/>
      <c r="I21" s="156"/>
      <c r="J21" s="156"/>
      <c r="K21" s="156"/>
      <c r="L21" s="156"/>
      <c r="M21" s="156"/>
      <c r="N21" s="156"/>
      <c r="O21" s="156"/>
      <c r="P21" s="156"/>
      <c r="Q21" s="156"/>
      <c r="R21" s="156"/>
      <c r="S21" s="126"/>
    </row>
    <row r="22" spans="1:45">
      <c r="A22" s="314" t="s">
        <v>2594</v>
      </c>
      <c r="B22" s="24">
        <f>SUM(B24:B10000)</f>
        <v>100</v>
      </c>
      <c r="C22" s="3487" t="s">
        <v>33</v>
      </c>
      <c r="D22" s="3488"/>
      <c r="E22" s="3488"/>
      <c r="F22" s="3488"/>
      <c r="G22" s="3488"/>
      <c r="H22" s="3488"/>
      <c r="I22" s="3488"/>
      <c r="J22" s="3488"/>
      <c r="K22" s="3488"/>
      <c r="L22" s="3488"/>
      <c r="M22" s="3488"/>
      <c r="N22" s="3488"/>
      <c r="O22" s="3488"/>
      <c r="P22" s="3488"/>
      <c r="Q22" s="3489"/>
      <c r="R22" s="24">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11" t="s">
        <v>2598</v>
      </c>
      <c r="S23" s="11" t="s">
        <v>2599</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c r="A24" s="642" t="s">
        <v>2600</v>
      </c>
      <c r="B24" s="642">
        <v>100</v>
      </c>
      <c r="C24" s="2734">
        <v>1</v>
      </c>
      <c r="D24" s="2735"/>
      <c r="E24" s="2734">
        <v>1</v>
      </c>
      <c r="F24" s="2735"/>
      <c r="G24" s="2734">
        <v>1</v>
      </c>
      <c r="H24" s="2735"/>
      <c r="I24" s="2734">
        <v>1</v>
      </c>
      <c r="J24" s="2735"/>
      <c r="K24" s="2734">
        <v>1</v>
      </c>
      <c r="L24" s="2735"/>
      <c r="M24" s="2734">
        <v>1</v>
      </c>
      <c r="N24" s="2735"/>
      <c r="O24" s="2734">
        <v>1</v>
      </c>
      <c r="P24" s="2735"/>
      <c r="Q24" s="2734">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154224</v>
      </c>
      <c r="C2" s="2" t="s">
        <v>133</v>
      </c>
      <c r="D2" s="197"/>
      <c r="E2" s="197"/>
      <c r="F2" s="197"/>
      <c r="G2" s="197"/>
    </row>
    <row r="3" spans="1:7" s="198" customFormat="1" ht="18" customHeight="1" thickBot="1">
      <c r="A3" s="201" t="s">
        <v>85</v>
      </c>
      <c r="B3" s="202">
        <f ca="1">ROUND(B2*10000/'数据-汇总表'!E3,0)</f>
        <v>8715</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160</v>
      </c>
      <c r="F9" s="219"/>
      <c r="G9" s="224"/>
    </row>
    <row r="10" spans="1:7" s="212" customFormat="1" ht="13.5" customHeight="1">
      <c r="A10" s="817" t="s">
        <v>620</v>
      </c>
      <c r="B10" s="222" t="s">
        <v>94</v>
      </c>
      <c r="C10" s="223">
        <f>ROUND(D10*E10/10000,0)</f>
        <v>3539</v>
      </c>
      <c r="D10" s="880">
        <f>'数据-汇总表'!E6</f>
        <v>176954.78</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3539</v>
      </c>
      <c r="D19" s="210">
        <f>'数据-汇总表'!E3</f>
        <v>176954.78</v>
      </c>
      <c r="E19" s="209">
        <f>'数据-取费表'!B31</f>
        <v>200</v>
      </c>
      <c r="F19" s="229"/>
      <c r="G19" s="1" t="s">
        <v>861</v>
      </c>
    </row>
    <row r="20" spans="1:7" s="212" customFormat="1" ht="13.5" customHeight="1">
      <c r="A20" s="815" t="s">
        <v>844</v>
      </c>
      <c r="B20" s="208" t="s">
        <v>104</v>
      </c>
      <c r="C20" s="230">
        <f>ROUND((C5+C19)*F20,0)</f>
        <v>724</v>
      </c>
      <c r="D20" s="230"/>
      <c r="E20" s="230"/>
      <c r="F20" s="231">
        <f>'数据-取费表'!B37</f>
        <v>0.03</v>
      </c>
      <c r="G20" s="1112" t="s">
        <v>855</v>
      </c>
    </row>
    <row r="21" spans="1:7" s="212" customFormat="1" ht="13.5" customHeight="1">
      <c r="A21" s="815" t="s">
        <v>846</v>
      </c>
      <c r="B21" s="208" t="s">
        <v>105</v>
      </c>
      <c r="C21" s="233">
        <f>F21</f>
        <v>0.03</v>
      </c>
      <c r="D21" s="234" t="s">
        <v>126</v>
      </c>
      <c r="E21" s="230"/>
      <c r="F21" s="231">
        <f>'数据-取费表'!B38</f>
        <v>0.03</v>
      </c>
      <c r="G21" s="232" t="s">
        <v>106</v>
      </c>
    </row>
    <row r="22" spans="1:7" s="212" customFormat="1" ht="13.5" customHeight="1">
      <c r="A22" s="815" t="s">
        <v>605</v>
      </c>
      <c r="B22" s="208" t="s">
        <v>107</v>
      </c>
      <c r="C22" s="1149">
        <f ca="1">ROUND(SUM(C23:C25),0)</f>
        <v>3179</v>
      </c>
      <c r="D22" s="233">
        <f ca="1">C26</f>
        <v>1.9E-3</v>
      </c>
      <c r="E22" s="234" t="s">
        <v>126</v>
      </c>
      <c r="F22" s="235">
        <f ca="1">'数据-取费表'!B40</f>
        <v>4.1499999999999995E-2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2674</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459</v>
      </c>
      <c r="D24" s="236"/>
      <c r="E24" s="236"/>
      <c r="F24" s="237"/>
      <c r="G24" s="238" t="s">
        <v>109</v>
      </c>
    </row>
    <row r="25" spans="1:7" s="212" customFormat="1" ht="24">
      <c r="A25" s="818" t="s">
        <v>612</v>
      </c>
      <c r="B25" s="213" t="s">
        <v>845</v>
      </c>
      <c r="C25" s="1150">
        <f ca="1">ROUND(IF('数据-取费表'!B22&lt;=1,C20*F22*'数据-取费表'!B23/2,C20*(POWER((1+F22),'数据-取费表'!B23/2)-1)),0)</f>
        <v>46</v>
      </c>
      <c r="D25" s="236"/>
      <c r="E25" s="239"/>
      <c r="F25" s="237"/>
      <c r="G25" s="240" t="s">
        <v>110</v>
      </c>
    </row>
    <row r="26" spans="1:7" s="212" customFormat="1">
      <c r="A26" s="818" t="s">
        <v>614</v>
      </c>
      <c r="B26" s="213" t="s">
        <v>847</v>
      </c>
      <c r="C26" s="236">
        <f ca="1">ROUND(IF('数据-取费表'!B22&lt;=1,F21*F22*'数据-取费表'!B23/2,F21*(POWER((1+F22),'数据-取费表'!B23/2)-1)),4)</f>
        <v>1.9E-3</v>
      </c>
      <c r="D26" s="236"/>
      <c r="E26" s="239"/>
      <c r="F26" s="237"/>
      <c r="G26" s="241"/>
    </row>
    <row r="27" spans="1:7" s="212" customFormat="1" ht="24.75">
      <c r="A27" s="815" t="s">
        <v>606</v>
      </c>
      <c r="B27" s="242" t="s">
        <v>112</v>
      </c>
      <c r="C27" s="243">
        <f>C28</f>
        <v>4228</v>
      </c>
      <c r="D27" s="233">
        <f>C29</f>
        <v>5.1000000000000004E-3</v>
      </c>
      <c r="E27" s="234" t="s">
        <v>126</v>
      </c>
      <c r="F27" s="244">
        <f>'数据-取费表'!Q16</f>
        <v>0.17</v>
      </c>
      <c r="G27" s="245" t="s">
        <v>856</v>
      </c>
    </row>
    <row r="28" spans="1:7" s="212" customFormat="1" ht="13.5" customHeight="1">
      <c r="A28" s="818" t="s">
        <v>613</v>
      </c>
      <c r="B28" s="246" t="s">
        <v>849</v>
      </c>
      <c r="C28" s="247">
        <f>ROUND((C5+C19+C20)*F27*'数据-取费表'!B21/'数据-取费表'!B20,0)</f>
        <v>4228</v>
      </c>
      <c r="D28" s="233"/>
      <c r="E28" s="234"/>
      <c r="F28" s="244"/>
      <c r="G28" s="245"/>
    </row>
    <row r="29" spans="1:7" s="212" customFormat="1" ht="13.5" customHeight="1">
      <c r="A29" s="818" t="s">
        <v>611</v>
      </c>
      <c r="B29" s="246" t="s">
        <v>850</v>
      </c>
      <c r="C29" s="236">
        <f>ROUND(C21*F27*'数据-取费表'!B21/'数据-取费表'!B20,4)</f>
        <v>5.1000000000000004E-3</v>
      </c>
      <c r="D29" s="233"/>
      <c r="E29" s="234"/>
      <c r="F29" s="244"/>
      <c r="G29" s="245"/>
    </row>
    <row r="30" spans="1:7" s="212" customFormat="1" ht="13.5" customHeight="1">
      <c r="A30" s="815" t="s">
        <v>607</v>
      </c>
      <c r="B30" s="208" t="s">
        <v>58</v>
      </c>
      <c r="C30" s="233">
        <f>F30</f>
        <v>5.6000000000000001E-2</v>
      </c>
      <c r="D30" s="234" t="s">
        <v>127</v>
      </c>
      <c r="E30" s="239"/>
      <c r="F30" s="235">
        <f>'数据-取费表'!B41</f>
        <v>5.6000000000000001E-2</v>
      </c>
      <c r="G30" s="232" t="s">
        <v>113</v>
      </c>
    </row>
    <row r="31" spans="1:7" ht="16.5" customHeight="1">
      <c r="A31" s="207">
        <v>1</v>
      </c>
      <c r="B31" s="208" t="s">
        <v>128</v>
      </c>
      <c r="C31" s="209">
        <f ca="1">ROUND((C5+C19+C20+C22+C27)/(1-C21-D22-D27-C30/(1+'数据-取费表'!B42)),0)</f>
        <v>35486</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97767</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88477</v>
      </c>
      <c r="D34" s="215"/>
      <c r="E34" s="218"/>
      <c r="F34" s="255">
        <f>IF('数据-取费表'!B24=0,1,'数据-取费表'!N16)</f>
        <v>1</v>
      </c>
      <c r="G34" s="217" t="s">
        <v>116</v>
      </c>
    </row>
    <row r="35" spans="1:7" ht="13.5" customHeight="1">
      <c r="A35" s="818" t="s">
        <v>615</v>
      </c>
      <c r="B35" s="213" t="s">
        <v>60</v>
      </c>
      <c r="C35" s="218">
        <f>ROUND(C34*F35,0)</f>
        <v>4424</v>
      </c>
      <c r="D35" s="218"/>
      <c r="E35" s="218"/>
      <c r="F35" s="257">
        <f>'数据-取费表'!B33</f>
        <v>0.05</v>
      </c>
      <c r="G35" s="217" t="s">
        <v>117</v>
      </c>
    </row>
    <row r="36" spans="1:7" ht="24">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3539</v>
      </c>
      <c r="D37" s="215">
        <f>'数据-汇总表'!E3</f>
        <v>176954.78</v>
      </c>
      <c r="E37" s="247">
        <f>'数据-取费表'!B35</f>
        <v>200</v>
      </c>
      <c r="F37" s="257"/>
      <c r="G37" s="259" t="s">
        <v>119</v>
      </c>
    </row>
    <row r="38" spans="1:7" ht="13.5" customHeight="1">
      <c r="A38" s="818" t="s">
        <v>618</v>
      </c>
      <c r="B38" s="213" t="s">
        <v>63</v>
      </c>
      <c r="C38" s="218">
        <f>ROUND(C34*F38,0)</f>
        <v>1327</v>
      </c>
      <c r="D38" s="218"/>
      <c r="E38" s="218"/>
      <c r="F38" s="257">
        <f>'数据-取费表'!B36</f>
        <v>1.4999999999999999E-2</v>
      </c>
      <c r="G38" s="217" t="s">
        <v>117</v>
      </c>
    </row>
    <row r="39" spans="1:7" s="212" customFormat="1" ht="13.5" customHeight="1">
      <c r="A39" s="815" t="s">
        <v>602</v>
      </c>
      <c r="B39" s="208" t="s">
        <v>104</v>
      </c>
      <c r="C39" s="230">
        <f>ROUND(C33*F20,0)</f>
        <v>2933</v>
      </c>
      <c r="D39" s="230"/>
      <c r="E39" s="230"/>
      <c r="F39" s="231"/>
      <c r="G39" s="1112" t="s">
        <v>858</v>
      </c>
    </row>
    <row r="40" spans="1:7" s="212" customFormat="1" ht="13.5" customHeight="1">
      <c r="A40" s="815" t="s">
        <v>603</v>
      </c>
      <c r="B40" s="208" t="s">
        <v>105</v>
      </c>
      <c r="C40" s="260">
        <f>F21</f>
        <v>0.03</v>
      </c>
      <c r="D40" s="234" t="s">
        <v>129</v>
      </c>
      <c r="E40" s="230"/>
      <c r="F40" s="231"/>
      <c r="G40" s="232" t="s">
        <v>120</v>
      </c>
    </row>
    <row r="41" spans="1:7" s="212" customFormat="1" ht="13.5" customHeight="1">
      <c r="A41" s="815" t="s">
        <v>604</v>
      </c>
      <c r="B41" s="208" t="s">
        <v>107</v>
      </c>
      <c r="C41" s="230">
        <f ca="1">ROUND(SUM(C42:C43),0)</f>
        <v>6333</v>
      </c>
      <c r="D41" s="233">
        <f ca="1">C44</f>
        <v>1.9E-3</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6149</v>
      </c>
      <c r="D42" s="236"/>
      <c r="E42" s="236"/>
      <c r="F42" s="237"/>
      <c r="G42" s="3340" t="s">
        <v>121</v>
      </c>
    </row>
    <row r="43" spans="1:7" ht="13.5" customHeight="1">
      <c r="A43" s="818" t="s">
        <v>611</v>
      </c>
      <c r="B43" s="213" t="s">
        <v>851</v>
      </c>
      <c r="C43" s="236">
        <f ca="1">ROUND(IF('数据-取费表'!B22&lt;=1,C39*F22*'数据-取费表'!B21/2,C39*(POWER((1+F22),'数据-取费表'!B21/2)-1)),0)</f>
        <v>184</v>
      </c>
      <c r="D43" s="236"/>
      <c r="E43" s="236"/>
      <c r="F43" s="237"/>
      <c r="G43" s="3341"/>
    </row>
    <row r="44" spans="1:7" ht="13.5" customHeight="1">
      <c r="A44" s="818" t="s">
        <v>612</v>
      </c>
      <c r="B44" s="213" t="s">
        <v>853</v>
      </c>
      <c r="C44" s="236">
        <f ca="1">ROUND(IF('数据-取费表'!B22&lt;=1,C40*F22*'数据-取费表'!B21/2,C40*(POWER((1+F22),'数据-取费表'!B21/2)-1)),4)</f>
        <v>1.9E-3</v>
      </c>
      <c r="D44" s="236"/>
      <c r="E44" s="236"/>
      <c r="F44" s="237"/>
      <c r="G44" s="3342"/>
    </row>
    <row r="45" spans="1:7" s="212" customFormat="1" ht="13.5" customHeight="1">
      <c r="A45" s="815" t="s">
        <v>605</v>
      </c>
      <c r="B45" s="242" t="s">
        <v>112</v>
      </c>
      <c r="C45" s="243">
        <f>C46</f>
        <v>17119</v>
      </c>
      <c r="D45" s="233">
        <f>C47</f>
        <v>5.1000000000000004E-3</v>
      </c>
      <c r="E45" s="234" t="s">
        <v>129</v>
      </c>
      <c r="F45" s="244"/>
      <c r="G45" s="245" t="s">
        <v>859</v>
      </c>
    </row>
    <row r="46" spans="1:7" s="212" customFormat="1" ht="13.5" customHeight="1">
      <c r="A46" s="818" t="s">
        <v>613</v>
      </c>
      <c r="B46" s="246" t="s">
        <v>852</v>
      </c>
      <c r="C46" s="247">
        <f>ROUND((C33+C39)*F27,0)</f>
        <v>17119</v>
      </c>
      <c r="D46" s="261"/>
      <c r="E46" s="234"/>
      <c r="F46" s="244"/>
      <c r="G46" s="245"/>
    </row>
    <row r="47" spans="1:7" s="212" customFormat="1" ht="13.5" customHeight="1">
      <c r="A47" s="818" t="s">
        <v>611</v>
      </c>
      <c r="B47" s="246" t="s">
        <v>854</v>
      </c>
      <c r="C47" s="236">
        <f>ROUND(C40*F27,4)</f>
        <v>5.1000000000000004E-3</v>
      </c>
      <c r="D47" s="261"/>
      <c r="E47" s="234"/>
      <c r="F47" s="244"/>
      <c r="G47" s="245"/>
    </row>
    <row r="48" spans="1:7" s="212" customFormat="1" ht="13.5" customHeight="1">
      <c r="A48" s="815" t="s">
        <v>606</v>
      </c>
      <c r="B48" s="208" t="s">
        <v>122</v>
      </c>
      <c r="C48" s="260">
        <f>F30</f>
        <v>5.6000000000000001E-2</v>
      </c>
      <c r="D48" s="234" t="s">
        <v>130</v>
      </c>
      <c r="E48" s="230"/>
      <c r="F48" s="235"/>
      <c r="G48" s="232" t="s">
        <v>123</v>
      </c>
    </row>
    <row r="49" spans="1:7" ht="16.5" customHeight="1">
      <c r="A49" s="815" t="s">
        <v>607</v>
      </c>
      <c r="B49" s="208" t="s">
        <v>131</v>
      </c>
      <c r="C49" s="230">
        <f ca="1">ROUND((C33+C39+C41+C45)/(1-C40-D41-D45-C48/(1+'数据-取费表'!B42)),0)</f>
        <v>136481</v>
      </c>
      <c r="D49" s="230"/>
      <c r="E49" s="230"/>
      <c r="F49" s="262"/>
      <c r="G49" s="232" t="s">
        <v>860</v>
      </c>
    </row>
    <row r="50" spans="1:7" s="256" customFormat="1" ht="24">
      <c r="A50" s="815" t="s">
        <v>608</v>
      </c>
      <c r="B50" s="208" t="s">
        <v>124</v>
      </c>
      <c r="C50" s="230"/>
      <c r="D50" s="230"/>
      <c r="E50" s="230"/>
      <c r="F50" s="262">
        <f>IF('数据-取费表'!B24=0,'数据-取费表'!N16,1)</f>
        <v>0.87</v>
      </c>
      <c r="G50" s="245" t="s">
        <v>125</v>
      </c>
    </row>
    <row r="51" spans="1:7" ht="16.5" customHeight="1">
      <c r="A51" s="815" t="s">
        <v>609</v>
      </c>
      <c r="B51" s="208" t="s">
        <v>132</v>
      </c>
      <c r="C51" s="230">
        <f ca="1">ROUND(C49*F50,0)</f>
        <v>118738</v>
      </c>
      <c r="D51" s="230"/>
      <c r="E51" s="230"/>
      <c r="F51" s="262"/>
      <c r="G51" s="232" t="s">
        <v>64</v>
      </c>
    </row>
    <row r="52" spans="1:7" s="206" customFormat="1" ht="16.5" thickBot="1">
      <c r="A52" s="263" t="s">
        <v>65</v>
      </c>
      <c r="B52" s="264"/>
      <c r="C52" s="265">
        <f ca="1">C31+C51</f>
        <v>154224</v>
      </c>
      <c r="D52" s="264"/>
      <c r="E52" s="264"/>
      <c r="F52" s="264"/>
      <c r="G52" s="266"/>
    </row>
    <row r="55" spans="1:7" ht="15">
      <c r="B55" s="268" t="s">
        <v>66</v>
      </c>
      <c r="C55" s="269"/>
    </row>
    <row r="56" spans="1:7">
      <c r="B56" s="271" t="s">
        <v>67</v>
      </c>
      <c r="C56" s="272">
        <f ca="1">ROUND(C51/C52,3)</f>
        <v>0.77</v>
      </c>
    </row>
    <row r="57" spans="1:7">
      <c r="B57" s="271" t="s">
        <v>68</v>
      </c>
      <c r="C57" s="273">
        <f ca="1">1-C56</f>
        <v>0.22999999999999998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1" customWidth="1"/>
    <col min="2" max="9" width="12.125" style="651" customWidth="1"/>
    <col min="10" max="16384" width="9" style="651"/>
  </cols>
  <sheetData>
    <row r="1" spans="1:9" ht="18.75" thickBot="1">
      <c r="A1" s="3141" t="str">
        <f>IF(项目基本情况!B9="房地产市场价值","估价结果一览表","结果表-2")</f>
        <v>结果表-2</v>
      </c>
      <c r="B1" s="3141"/>
      <c r="C1" s="3141"/>
      <c r="D1" s="3141"/>
      <c r="E1" s="3141"/>
      <c r="F1" s="3141"/>
      <c r="G1" s="3141"/>
      <c r="H1" s="3141"/>
      <c r="I1" s="3141"/>
    </row>
    <row r="2" spans="1:9" ht="30" customHeight="1" thickTop="1">
      <c r="A2" s="3142" t="s">
        <v>1365</v>
      </c>
      <c r="B2" s="3142" t="s">
        <v>1366</v>
      </c>
      <c r="C2" s="3142" t="s">
        <v>1367</v>
      </c>
      <c r="D2" s="3142" t="str">
        <f>结果表!D116</f>
        <v>出让国有建设用地使用权价值</v>
      </c>
      <c r="E2" s="3142"/>
      <c r="F2" s="3142" t="str">
        <f>结果表!F116</f>
        <v>建筑物价值</v>
      </c>
      <c r="G2" s="3142"/>
      <c r="H2" s="3142" t="str">
        <f>IF(项目基本情况!B9="房地产市场价值","房地产市场价值","房地产价值")</f>
        <v>房地产价值</v>
      </c>
      <c r="I2" s="3142"/>
    </row>
    <row r="3" spans="1:9" ht="15">
      <c r="A3" s="3143"/>
      <c r="B3" s="3143"/>
      <c r="C3" s="3143"/>
      <c r="D3" s="886" t="s">
        <v>1362</v>
      </c>
      <c r="E3" s="886" t="s">
        <v>1368</v>
      </c>
      <c r="F3" s="886" t="s">
        <v>1362</v>
      </c>
      <c r="G3" s="886" t="s">
        <v>1363</v>
      </c>
      <c r="H3" s="886" t="s">
        <v>1362</v>
      </c>
      <c r="I3" s="886" t="s">
        <v>1363</v>
      </c>
    </row>
    <row r="4" spans="1:9" ht="30">
      <c r="A4" s="1533" t="str">
        <f>项目基本情况!S2</f>
        <v>北京市丰台区南四环西路186号四区1号楼房地产</v>
      </c>
      <c r="B4" s="886">
        <f>项目基本情况!C17</f>
        <v>176954.78</v>
      </c>
      <c r="C4" s="886">
        <f>项目基本情况!C18</f>
        <v>45717.88</v>
      </c>
      <c r="D4" s="886">
        <f ca="1">结果表!D118</f>
        <v>316358</v>
      </c>
      <c r="E4" s="886">
        <f ca="1">结果表!E118</f>
        <v>17878</v>
      </c>
      <c r="F4" s="886">
        <f ca="1">结果表!F118</f>
        <v>113476</v>
      </c>
      <c r="G4" s="886">
        <f ca="1">结果表!G118</f>
        <v>6413</v>
      </c>
      <c r="H4" s="886">
        <f ca="1">结果表!H118</f>
        <v>429834</v>
      </c>
      <c r="I4" s="886">
        <f ca="1">结果表!I118</f>
        <v>24291</v>
      </c>
    </row>
    <row r="5" spans="1:9" ht="30" customHeight="1">
      <c r="A5" s="3143" t="s">
        <v>1364</v>
      </c>
      <c r="B5" s="3143"/>
      <c r="C5" s="3143"/>
      <c r="D5" s="3144" t="str">
        <f ca="1">结果表!D119</f>
        <v>叁拾壹亿陆仟叁佰伍拾捌万元整</v>
      </c>
      <c r="E5" s="3144"/>
      <c r="F5" s="3144" t="str">
        <f ca="1">结果表!F119</f>
        <v>壹拾壹亿叁仟肆佰柒拾陆万元整</v>
      </c>
      <c r="G5" s="3144"/>
      <c r="H5" s="3144" t="str">
        <f ca="1">结果表!H119</f>
        <v>肆拾贰亿玖仟捌佰叁拾肆万元整</v>
      </c>
      <c r="I5" s="3144"/>
    </row>
    <row r="6" spans="1:9" ht="15.75">
      <c r="A6" s="3145" t="str">
        <f>结果表!A120</f>
        <v>估价师知悉的法定优先受偿款</v>
      </c>
      <c r="B6" s="3145"/>
      <c r="C6" s="3145"/>
      <c r="D6" s="3145">
        <f>结果表!D120</f>
        <v>0</v>
      </c>
      <c r="E6" s="3145"/>
      <c r="F6" s="3145"/>
      <c r="G6" s="3145"/>
      <c r="H6" s="3145"/>
      <c r="I6" s="3145"/>
    </row>
    <row r="7" spans="1:9" ht="15">
      <c r="A7" s="3143" t="s">
        <v>1364</v>
      </c>
      <c r="B7" s="3143"/>
      <c r="C7" s="3143"/>
      <c r="D7" s="3146" t="str">
        <f>结果表!D121</f>
        <v>零元整</v>
      </c>
      <c r="E7" s="3147"/>
      <c r="F7" s="3147"/>
      <c r="G7" s="3147"/>
      <c r="H7" s="3147"/>
      <c r="I7" s="3148"/>
    </row>
    <row r="8" spans="1:9" ht="15.75">
      <c r="A8" s="3145" t="str">
        <f>结果表!A122</f>
        <v>房地产抵押价值</v>
      </c>
      <c r="B8" s="3145"/>
      <c r="C8" s="3145"/>
      <c r="D8" s="3145">
        <f ca="1">结果表!D122</f>
        <v>429834</v>
      </c>
      <c r="E8" s="3145"/>
      <c r="F8" s="3145"/>
      <c r="G8" s="3145"/>
      <c r="H8" s="3145"/>
      <c r="I8" s="3145"/>
    </row>
    <row r="9" spans="1:9" ht="15">
      <c r="A9" s="3143" t="s">
        <v>1364</v>
      </c>
      <c r="B9" s="3143"/>
      <c r="C9" s="3143"/>
      <c r="D9" s="3144" t="str">
        <f ca="1">结果表!D123</f>
        <v>肆拾贰亿玖仟捌佰叁拾肆万元整</v>
      </c>
      <c r="E9" s="3144"/>
      <c r="F9" s="3144"/>
      <c r="G9" s="3144"/>
      <c r="H9" s="3144"/>
      <c r="I9" s="3144"/>
    </row>
    <row r="10" spans="1:9" ht="15.75">
      <c r="A10" s="3145" t="str">
        <f>结果表!A124</f>
        <v/>
      </c>
      <c r="B10" s="3145"/>
      <c r="C10" s="3145"/>
      <c r="D10" s="3145" t="str">
        <f>结果表!D124</f>
        <v>——</v>
      </c>
      <c r="E10" s="3145"/>
      <c r="F10" s="3145"/>
      <c r="G10" s="3145"/>
      <c r="H10" s="3145"/>
      <c r="I10" s="3145"/>
    </row>
    <row r="11" spans="1:9" ht="15">
      <c r="A11" s="3143" t="s">
        <v>1364</v>
      </c>
      <c r="B11" s="3143"/>
      <c r="C11" s="3143"/>
      <c r="D11" s="3144" t="e">
        <f>结果表!D125</f>
        <v>#VALUE!</v>
      </c>
      <c r="E11" s="3144"/>
      <c r="F11" s="3144"/>
      <c r="G11" s="3144"/>
      <c r="H11" s="3144"/>
      <c r="I11" s="3144"/>
    </row>
    <row r="12" spans="1:9" ht="15.75">
      <c r="A12" s="3145" t="str">
        <f>结果表!A126</f>
        <v/>
      </c>
      <c r="B12" s="3145"/>
      <c r="C12" s="3145"/>
      <c r="D12" s="3145" t="str">
        <f>结果表!D126</f>
        <v>——</v>
      </c>
      <c r="E12" s="3145"/>
      <c r="F12" s="3145"/>
      <c r="G12" s="3145"/>
      <c r="H12" s="3145"/>
      <c r="I12" s="3145"/>
    </row>
    <row r="13" spans="1:9" ht="15.75" thickBot="1">
      <c r="A13" s="3149" t="s">
        <v>1364</v>
      </c>
      <c r="B13" s="3149"/>
      <c r="C13" s="3149"/>
      <c r="D13" s="3150" t="e">
        <f>结果表!D127</f>
        <v>#VALUE!</v>
      </c>
      <c r="E13" s="3150"/>
      <c r="F13" s="3150"/>
      <c r="G13" s="3150"/>
      <c r="H13" s="3150"/>
      <c r="I13" s="3150"/>
    </row>
    <row r="14" spans="1:9" ht="15" thickTop="1">
      <c r="A14" s="3151" t="s">
        <v>1369</v>
      </c>
      <c r="B14" s="3151"/>
      <c r="C14" s="3151"/>
      <c r="D14" s="3151"/>
      <c r="E14" s="3151"/>
      <c r="F14" s="3151"/>
      <c r="G14" s="3151"/>
      <c r="H14" s="3151"/>
      <c r="I14" s="3151"/>
    </row>
    <row r="16" spans="1:9" ht="18.75">
      <c r="A16" s="1534"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50" customWidth="1"/>
    <col min="2" max="5" width="10.25" style="709" customWidth="1"/>
    <col min="6" max="6" width="9" style="709"/>
    <col min="7" max="8" width="9" style="723"/>
    <col min="9" max="16384" width="9" style="709"/>
  </cols>
  <sheetData>
    <row r="1" spans="1:19">
      <c r="A1" s="3493" t="s">
        <v>156</v>
      </c>
      <c r="B1" s="3493"/>
      <c r="C1" s="3493"/>
      <c r="D1" s="3493"/>
      <c r="E1" s="3493"/>
      <c r="F1" s="3493"/>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25" thickBot="1">
      <c r="A2" s="3494" t="s">
        <v>169</v>
      </c>
      <c r="B2" s="3494"/>
      <c r="C2" s="3494"/>
      <c r="D2" s="3494"/>
      <c r="E2" s="3494"/>
      <c r="F2" s="3494"/>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495"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496"/>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50" customWidth="1"/>
    <col min="2" max="2" width="10.25" style="709" customWidth="1"/>
  </cols>
  <sheetData>
    <row r="1" spans="1:6">
      <c r="A1" s="3493" t="s">
        <v>658</v>
      </c>
      <c r="B1" s="3493"/>
    </row>
    <row r="2" spans="1:6" ht="14.25" thickBot="1">
      <c r="A2" s="895"/>
      <c r="B2" s="895"/>
    </row>
    <row r="3" spans="1:6" ht="14.25" thickBot="1">
      <c r="A3" s="895"/>
      <c r="B3" s="895"/>
      <c r="C3" s="898" t="s">
        <v>661</v>
      </c>
      <c r="D3" s="898" t="s">
        <v>662</v>
      </c>
      <c r="E3" s="898" t="s">
        <v>663</v>
      </c>
      <c r="F3" s="898" t="s">
        <v>664</v>
      </c>
    </row>
    <row r="4" spans="1:6" ht="14.25" thickBot="1">
      <c r="A4" s="896" t="s">
        <v>659</v>
      </c>
      <c r="B4" s="897" t="s">
        <v>660</v>
      </c>
      <c r="C4" s="898"/>
      <c r="D4" s="898"/>
      <c r="E4" s="898"/>
      <c r="F4" s="898"/>
    </row>
    <row r="5" spans="1:6" ht="14.25" thickBot="1">
      <c r="A5" s="735" t="s">
        <v>665</v>
      </c>
      <c r="B5" s="736" t="s">
        <v>666</v>
      </c>
      <c r="C5" s="899">
        <v>8.8999999999999996E-2</v>
      </c>
      <c r="D5" s="899">
        <v>7.3999999999999996E-2</v>
      </c>
      <c r="E5" s="899">
        <v>7.4999999999999997E-2</v>
      </c>
      <c r="F5" s="900">
        <v>0.1</v>
      </c>
    </row>
    <row r="6" spans="1:6" ht="14.25" thickBot="1">
      <c r="A6" s="735" t="s">
        <v>211</v>
      </c>
      <c r="B6" s="729" t="s">
        <v>667</v>
      </c>
      <c r="C6" s="901">
        <v>0.1</v>
      </c>
      <c r="D6" s="901">
        <v>9.0999999999999998E-2</v>
      </c>
      <c r="E6" s="901">
        <v>9.0999999999999998E-2</v>
      </c>
      <c r="F6" s="902">
        <v>0.1</v>
      </c>
    </row>
    <row r="7" spans="1:6" ht="14.25" thickBot="1">
      <c r="A7" s="735" t="s">
        <v>211</v>
      </c>
      <c r="B7" s="739" t="s">
        <v>200</v>
      </c>
      <c r="C7" s="901">
        <v>8.5999999999999993E-2</v>
      </c>
      <c r="D7" s="901">
        <v>9.6000000000000002E-2</v>
      </c>
      <c r="E7" s="901">
        <v>7.5999999999999998E-2</v>
      </c>
      <c r="F7" s="902">
        <v>0.1</v>
      </c>
    </row>
    <row r="8" spans="1:6" ht="14.25" thickBot="1">
      <c r="A8" s="735" t="s">
        <v>211</v>
      </c>
      <c r="B8" s="729" t="s">
        <v>212</v>
      </c>
      <c r="C8" s="901">
        <v>9.9000000000000005E-2</v>
      </c>
      <c r="D8" s="901">
        <v>9.8000000000000004E-2</v>
      </c>
      <c r="E8" s="901">
        <v>9.8000000000000004E-2</v>
      </c>
      <c r="F8" s="902">
        <v>0.1</v>
      </c>
    </row>
    <row r="9" spans="1:6" ht="14.25" thickBot="1">
      <c r="A9" s="745" t="s">
        <v>211</v>
      </c>
      <c r="B9" s="740" t="s">
        <v>224</v>
      </c>
      <c r="C9" s="903">
        <v>0.05</v>
      </c>
      <c r="D9" s="911"/>
      <c r="E9" s="911"/>
      <c r="F9" s="912"/>
    </row>
    <row r="10" spans="1:6" ht="14.25" thickBot="1">
      <c r="A10" s="735" t="s">
        <v>268</v>
      </c>
      <c r="B10" s="736" t="s">
        <v>668</v>
      </c>
      <c r="C10" s="899">
        <v>8.8999999999999996E-2</v>
      </c>
      <c r="D10" s="899">
        <v>7.2999999999999995E-2</v>
      </c>
      <c r="E10" s="899">
        <v>8.2000000000000003E-2</v>
      </c>
      <c r="F10" s="900">
        <v>0.1</v>
      </c>
    </row>
    <row r="11" spans="1:6" ht="14.25" thickBot="1">
      <c r="A11" s="735" t="s">
        <v>268</v>
      </c>
      <c r="B11" s="739" t="s">
        <v>187</v>
      </c>
      <c r="C11" s="901">
        <v>8.8999999999999996E-2</v>
      </c>
      <c r="D11" s="901">
        <v>7.2999999999999995E-2</v>
      </c>
      <c r="E11" s="901">
        <v>8.2000000000000003E-2</v>
      </c>
      <c r="F11" s="902">
        <v>0.1</v>
      </c>
    </row>
    <row r="12" spans="1:6" ht="14.25" thickBot="1">
      <c r="A12" s="735" t="s">
        <v>268</v>
      </c>
      <c r="B12" s="739" t="s">
        <v>138</v>
      </c>
      <c r="C12" s="901">
        <v>6.0999999999999999E-2</v>
      </c>
      <c r="D12" s="901">
        <v>7.0999999999999994E-2</v>
      </c>
      <c r="E12" s="901">
        <v>9.6000000000000002E-2</v>
      </c>
      <c r="F12" s="902">
        <v>0.1</v>
      </c>
    </row>
    <row r="13" spans="1:6" ht="14.25" thickBot="1">
      <c r="A13" s="735" t="s">
        <v>268</v>
      </c>
      <c r="B13" s="739" t="s">
        <v>213</v>
      </c>
      <c r="C13" s="901">
        <v>6.9000000000000006E-2</v>
      </c>
      <c r="D13" s="901">
        <v>6.5000000000000002E-2</v>
      </c>
      <c r="E13" s="901">
        <v>6.6000000000000003E-2</v>
      </c>
      <c r="F13" s="902">
        <v>0.1</v>
      </c>
    </row>
    <row r="14" spans="1:6" ht="14.25" thickBot="1">
      <c r="A14" s="735" t="s">
        <v>268</v>
      </c>
      <c r="B14" s="739" t="s">
        <v>225</v>
      </c>
      <c r="C14" s="901">
        <v>0.1</v>
      </c>
      <c r="D14" s="901">
        <v>6.5000000000000002E-2</v>
      </c>
      <c r="E14" s="901">
        <v>7.0000000000000007E-2</v>
      </c>
      <c r="F14" s="902">
        <v>0.1</v>
      </c>
    </row>
    <row r="15" spans="1:6" ht="14.25" thickBot="1">
      <c r="A15" s="735" t="s">
        <v>268</v>
      </c>
      <c r="B15" s="739" t="s">
        <v>236</v>
      </c>
      <c r="C15" s="901">
        <v>9.8000000000000004E-2</v>
      </c>
      <c r="D15" s="901">
        <v>8.8999999999999996E-2</v>
      </c>
      <c r="E15" s="901">
        <v>8.8999999999999996E-2</v>
      </c>
      <c r="F15" s="902">
        <v>0.1</v>
      </c>
    </row>
    <row r="16" spans="1:6" ht="14.25" thickBot="1">
      <c r="A16" s="735" t="s">
        <v>268</v>
      </c>
      <c r="B16" s="739" t="s">
        <v>247</v>
      </c>
      <c r="C16" s="901">
        <v>7.0000000000000007E-2</v>
      </c>
      <c r="D16" s="901">
        <v>9.2999999999999999E-2</v>
      </c>
      <c r="E16" s="901">
        <v>9.6000000000000002E-2</v>
      </c>
      <c r="F16" s="902">
        <v>0.1</v>
      </c>
    </row>
    <row r="17" spans="1:6" ht="14.25" thickBot="1">
      <c r="A17" s="735" t="s">
        <v>268</v>
      </c>
      <c r="B17" s="739" t="s">
        <v>258</v>
      </c>
      <c r="C17" s="901">
        <v>9.5000000000000001E-2</v>
      </c>
      <c r="D17" s="901">
        <v>0.1</v>
      </c>
      <c r="E17" s="901">
        <v>0.1</v>
      </c>
      <c r="F17" s="913"/>
    </row>
    <row r="18" spans="1:6" ht="14.25" thickBot="1">
      <c r="A18" s="735" t="s">
        <v>268</v>
      </c>
      <c r="B18" s="739" t="s">
        <v>270</v>
      </c>
      <c r="C18" s="901">
        <v>7.3999999999999996E-2</v>
      </c>
      <c r="D18" s="901">
        <v>9.9000000000000005E-2</v>
      </c>
      <c r="E18" s="901">
        <v>0.1</v>
      </c>
      <c r="F18" s="913"/>
    </row>
    <row r="19" spans="1:6" ht="14.25" thickBot="1">
      <c r="A19" s="735" t="s">
        <v>268</v>
      </c>
      <c r="B19" s="739" t="s">
        <v>280</v>
      </c>
      <c r="C19" s="901">
        <v>9.9000000000000005E-2</v>
      </c>
      <c r="D19" s="901">
        <v>7.5999999999999998E-2</v>
      </c>
      <c r="E19" s="901">
        <v>8.6999999999999994E-2</v>
      </c>
      <c r="F19" s="913"/>
    </row>
    <row r="20" spans="1:6" ht="14.25" thickBot="1">
      <c r="A20" s="735" t="s">
        <v>268</v>
      </c>
      <c r="B20" s="739" t="s">
        <v>290</v>
      </c>
      <c r="C20" s="901">
        <v>9.8000000000000004E-2</v>
      </c>
      <c r="D20" s="901">
        <v>8.5000000000000006E-2</v>
      </c>
      <c r="E20" s="901">
        <v>8.2000000000000003E-2</v>
      </c>
      <c r="F20" s="913"/>
    </row>
    <row r="21" spans="1:6" ht="14.25" thickBot="1">
      <c r="A21" s="735" t="s">
        <v>268</v>
      </c>
      <c r="B21" s="739" t="s">
        <v>300</v>
      </c>
      <c r="C21" s="901">
        <v>6.6000000000000003E-2</v>
      </c>
      <c r="D21" s="901">
        <v>6.4000000000000001E-2</v>
      </c>
      <c r="E21" s="901">
        <v>6.5000000000000002E-2</v>
      </c>
      <c r="F21" s="913"/>
    </row>
    <row r="22" spans="1:6" ht="14.25" thickBot="1">
      <c r="A22" s="735" t="s">
        <v>268</v>
      </c>
      <c r="B22" s="739" t="s">
        <v>669</v>
      </c>
      <c r="C22" s="901">
        <v>0.08</v>
      </c>
      <c r="D22" s="901">
        <v>9.8000000000000004E-2</v>
      </c>
      <c r="E22" s="901">
        <v>9.8000000000000004E-2</v>
      </c>
      <c r="F22" s="913"/>
    </row>
    <row r="23" spans="1:6" ht="14.25" thickBot="1">
      <c r="A23" s="735" t="s">
        <v>268</v>
      </c>
      <c r="B23" s="739" t="s">
        <v>321</v>
      </c>
      <c r="C23" s="901">
        <v>9.9000000000000005E-2</v>
      </c>
      <c r="D23" s="901">
        <v>9.8000000000000004E-2</v>
      </c>
      <c r="E23" s="901">
        <v>9.0999999999999998E-2</v>
      </c>
      <c r="F23" s="913"/>
    </row>
    <row r="24" spans="1:6" ht="14.25" thickBot="1">
      <c r="A24" s="735" t="s">
        <v>268</v>
      </c>
      <c r="B24" s="739" t="s">
        <v>332</v>
      </c>
      <c r="C24" s="901">
        <v>8.8999999999999996E-2</v>
      </c>
      <c r="D24" s="901">
        <v>9.7000000000000003E-2</v>
      </c>
      <c r="E24" s="901">
        <v>7.0000000000000007E-2</v>
      </c>
      <c r="F24" s="913"/>
    </row>
    <row r="25" spans="1:6" ht="14.25" thickBot="1">
      <c r="A25" s="735" t="s">
        <v>268</v>
      </c>
      <c r="B25" s="739" t="s">
        <v>342</v>
      </c>
      <c r="C25" s="901">
        <v>8.8999999999999996E-2</v>
      </c>
      <c r="D25" s="901">
        <v>0.1</v>
      </c>
      <c r="E25" s="901">
        <v>8.1000000000000003E-2</v>
      </c>
      <c r="F25" s="913"/>
    </row>
    <row r="26" spans="1:6" ht="14.25" thickBot="1">
      <c r="A26" s="735" t="s">
        <v>268</v>
      </c>
      <c r="B26" s="739" t="s">
        <v>352</v>
      </c>
      <c r="C26" s="914"/>
      <c r="D26" s="901">
        <v>9.6000000000000002E-2</v>
      </c>
      <c r="E26" s="901">
        <v>9.2999999999999999E-2</v>
      </c>
      <c r="F26" s="913"/>
    </row>
    <row r="27" spans="1:6" ht="14.25" thickBot="1">
      <c r="A27" s="735" t="s">
        <v>268</v>
      </c>
      <c r="B27" s="739" t="s">
        <v>362</v>
      </c>
      <c r="C27" s="914"/>
      <c r="D27" s="901">
        <v>7.5999999999999998E-2</v>
      </c>
      <c r="E27" s="901">
        <v>9.1999999999999998E-2</v>
      </c>
      <c r="F27" s="913"/>
    </row>
    <row r="28" spans="1:6" ht="14.25" thickBot="1">
      <c r="A28" s="745" t="s">
        <v>268</v>
      </c>
      <c r="B28" s="740" t="s">
        <v>372</v>
      </c>
      <c r="C28" s="911"/>
      <c r="D28" s="903">
        <v>7.5999999999999998E-2</v>
      </c>
      <c r="E28" s="903">
        <v>9.1999999999999998E-2</v>
      </c>
      <c r="F28" s="912"/>
    </row>
    <row r="29" spans="1:6" ht="14.25" thickBot="1">
      <c r="A29" s="735" t="s">
        <v>441</v>
      </c>
      <c r="B29" s="736" t="s">
        <v>670</v>
      </c>
      <c r="C29" s="899">
        <v>6.4000000000000001E-2</v>
      </c>
      <c r="D29" s="899">
        <v>6.5000000000000002E-2</v>
      </c>
      <c r="E29" s="899">
        <v>6.9000000000000006E-2</v>
      </c>
      <c r="F29" s="900">
        <v>0.1</v>
      </c>
    </row>
    <row r="30" spans="1:6" ht="14.25" thickBot="1">
      <c r="A30" s="735" t="s">
        <v>441</v>
      </c>
      <c r="B30" s="739" t="s">
        <v>188</v>
      </c>
      <c r="C30" s="901">
        <v>6.4000000000000001E-2</v>
      </c>
      <c r="D30" s="901">
        <v>9.9000000000000005E-2</v>
      </c>
      <c r="E30" s="901">
        <v>0.1</v>
      </c>
      <c r="F30" s="902">
        <v>0.1</v>
      </c>
    </row>
    <row r="31" spans="1:6" ht="14.25" thickBot="1">
      <c r="A31" s="735" t="s">
        <v>441</v>
      </c>
      <c r="B31" s="739" t="s">
        <v>201</v>
      </c>
      <c r="C31" s="901">
        <v>0.1</v>
      </c>
      <c r="D31" s="901">
        <v>9.5000000000000001E-2</v>
      </c>
      <c r="E31" s="901">
        <v>8.8999999999999996E-2</v>
      </c>
      <c r="F31" s="902">
        <v>0.1</v>
      </c>
    </row>
    <row r="32" spans="1:6" ht="14.25" thickBot="1">
      <c r="A32" s="735" t="s">
        <v>441</v>
      </c>
      <c r="B32" s="739" t="s">
        <v>214</v>
      </c>
      <c r="C32" s="901">
        <v>0.05</v>
      </c>
      <c r="D32" s="901">
        <v>0.05</v>
      </c>
      <c r="E32" s="901">
        <v>8.7999999999999995E-2</v>
      </c>
      <c r="F32" s="902">
        <v>0.1</v>
      </c>
    </row>
    <row r="33" spans="1:6" ht="14.25" thickBot="1">
      <c r="A33" s="735" t="s">
        <v>441</v>
      </c>
      <c r="B33" s="739" t="s">
        <v>226</v>
      </c>
      <c r="C33" s="901">
        <v>7.4999999999999997E-2</v>
      </c>
      <c r="D33" s="901">
        <v>9.4E-2</v>
      </c>
      <c r="E33" s="901">
        <v>9.7000000000000003E-2</v>
      </c>
      <c r="F33" s="902">
        <v>0.1</v>
      </c>
    </row>
    <row r="34" spans="1:6" ht="14.25" thickBot="1">
      <c r="A34" s="735" t="s">
        <v>441</v>
      </c>
      <c r="B34" s="739" t="s">
        <v>237</v>
      </c>
      <c r="C34" s="901">
        <v>9.8000000000000004E-2</v>
      </c>
      <c r="D34" s="901">
        <v>8.5999999999999993E-2</v>
      </c>
      <c r="E34" s="901">
        <v>9.7000000000000003E-2</v>
      </c>
      <c r="F34" s="902">
        <v>0.1</v>
      </c>
    </row>
    <row r="35" spans="1:6" ht="14.25" thickBot="1">
      <c r="A35" s="735" t="s">
        <v>441</v>
      </c>
      <c r="B35" s="739" t="s">
        <v>248</v>
      </c>
      <c r="C35" s="901">
        <v>5.8999999999999997E-2</v>
      </c>
      <c r="D35" s="901">
        <v>6.5000000000000002E-2</v>
      </c>
      <c r="E35" s="901">
        <v>7.0000000000000007E-2</v>
      </c>
      <c r="F35" s="902">
        <v>0.1</v>
      </c>
    </row>
    <row r="36" spans="1:6" ht="14.25" thickBot="1">
      <c r="A36" s="735" t="s">
        <v>441</v>
      </c>
      <c r="B36" s="739" t="s">
        <v>259</v>
      </c>
      <c r="C36" s="901">
        <v>6.3E-2</v>
      </c>
      <c r="D36" s="901">
        <v>0.1</v>
      </c>
      <c r="E36" s="901">
        <v>0.1</v>
      </c>
      <c r="F36" s="902">
        <v>0.1</v>
      </c>
    </row>
    <row r="37" spans="1:6" ht="14.25" thickBot="1">
      <c r="A37" s="735" t="s">
        <v>441</v>
      </c>
      <c r="B37" s="739" t="s">
        <v>271</v>
      </c>
      <c r="C37" s="901">
        <v>7.3999999999999996E-2</v>
      </c>
      <c r="D37" s="901">
        <v>0.1</v>
      </c>
      <c r="E37" s="901">
        <v>0.1</v>
      </c>
      <c r="F37" s="902">
        <v>0.1</v>
      </c>
    </row>
    <row r="38" spans="1:6" ht="14.25" thickBot="1">
      <c r="A38" s="735" t="s">
        <v>441</v>
      </c>
      <c r="B38" s="739" t="s">
        <v>281</v>
      </c>
      <c r="C38" s="901">
        <v>0.1</v>
      </c>
      <c r="D38" s="901">
        <v>9.6000000000000002E-2</v>
      </c>
      <c r="E38" s="901">
        <v>9.6000000000000002E-2</v>
      </c>
      <c r="F38" s="913"/>
    </row>
    <row r="39" spans="1:6" ht="14.25" thickBot="1">
      <c r="A39" s="735" t="s">
        <v>441</v>
      </c>
      <c r="B39" s="739" t="s">
        <v>291</v>
      </c>
      <c r="C39" s="901">
        <v>0.1</v>
      </c>
      <c r="D39" s="901">
        <v>9.6000000000000002E-2</v>
      </c>
      <c r="E39" s="901">
        <v>9.6000000000000002E-2</v>
      </c>
      <c r="F39" s="913"/>
    </row>
    <row r="40" spans="1:6" ht="14.25" thickBot="1">
      <c r="A40" s="735" t="s">
        <v>441</v>
      </c>
      <c r="B40" s="739" t="s">
        <v>301</v>
      </c>
      <c r="C40" s="901">
        <v>9.6000000000000002E-2</v>
      </c>
      <c r="D40" s="901">
        <v>0.1</v>
      </c>
      <c r="E40" s="901">
        <v>9.9000000000000005E-2</v>
      </c>
      <c r="F40" s="913"/>
    </row>
    <row r="41" spans="1:6" ht="14.25" thickBot="1">
      <c r="A41" s="735" t="s">
        <v>441</v>
      </c>
      <c r="B41" s="739" t="s">
        <v>311</v>
      </c>
      <c r="C41" s="901">
        <v>9.6000000000000002E-2</v>
      </c>
      <c r="D41" s="901">
        <v>9.8000000000000004E-2</v>
      </c>
      <c r="E41" s="901">
        <v>9.8000000000000004E-2</v>
      </c>
      <c r="F41" s="913"/>
    </row>
    <row r="42" spans="1:6" ht="14.25" thickBot="1">
      <c r="A42" s="735" t="s">
        <v>441</v>
      </c>
      <c r="B42" s="739" t="s">
        <v>322</v>
      </c>
      <c r="C42" s="901">
        <v>0.1</v>
      </c>
      <c r="D42" s="901">
        <v>8.7999999999999995E-2</v>
      </c>
      <c r="E42" s="901">
        <v>0.1</v>
      </c>
      <c r="F42" s="913"/>
    </row>
    <row r="43" spans="1:6" ht="14.25" thickBot="1">
      <c r="A43" s="735" t="s">
        <v>441</v>
      </c>
      <c r="B43" s="739" t="s">
        <v>333</v>
      </c>
      <c r="C43" s="901">
        <v>9.8000000000000004E-2</v>
      </c>
      <c r="D43" s="901">
        <v>9.7000000000000003E-2</v>
      </c>
      <c r="E43" s="901">
        <v>9.6000000000000002E-2</v>
      </c>
      <c r="F43" s="913"/>
    </row>
    <row r="44" spans="1:6" ht="14.25" thickBot="1">
      <c r="A44" s="735" t="s">
        <v>441</v>
      </c>
      <c r="B44" s="739" t="s">
        <v>343</v>
      </c>
      <c r="C44" s="901">
        <v>8.5999999999999993E-2</v>
      </c>
      <c r="D44" s="901">
        <v>7.9000000000000001E-2</v>
      </c>
      <c r="E44" s="901">
        <v>7.0999999999999994E-2</v>
      </c>
      <c r="F44" s="913"/>
    </row>
    <row r="45" spans="1:6" ht="14.25" thickBot="1">
      <c r="A45" s="735" t="s">
        <v>441</v>
      </c>
      <c r="B45" s="739" t="s">
        <v>353</v>
      </c>
      <c r="C45" s="901">
        <v>9.8000000000000004E-2</v>
      </c>
      <c r="D45" s="901">
        <v>9.6000000000000002E-2</v>
      </c>
      <c r="E45" s="901">
        <v>9.6000000000000002E-2</v>
      </c>
      <c r="F45" s="913"/>
    </row>
    <row r="46" spans="1:6" ht="14.25" thickBot="1">
      <c r="A46" s="735" t="s">
        <v>441</v>
      </c>
      <c r="B46" s="739" t="s">
        <v>363</v>
      </c>
      <c r="C46" s="901">
        <v>8.5999999999999993E-2</v>
      </c>
      <c r="D46" s="901">
        <v>9.8000000000000004E-2</v>
      </c>
      <c r="E46" s="901">
        <v>8.7999999999999995E-2</v>
      </c>
      <c r="F46" s="913"/>
    </row>
    <row r="47" spans="1:6" ht="14.25" thickBot="1">
      <c r="A47" s="735" t="s">
        <v>441</v>
      </c>
      <c r="B47" s="739" t="s">
        <v>373</v>
      </c>
      <c r="C47" s="901">
        <v>9.6000000000000002E-2</v>
      </c>
      <c r="D47" s="914"/>
      <c r="E47" s="901">
        <v>6.9000000000000006E-2</v>
      </c>
      <c r="F47" s="913"/>
    </row>
    <row r="48" spans="1:6" ht="14.25" thickBot="1">
      <c r="A48" s="745" t="s">
        <v>441</v>
      </c>
      <c r="B48" s="740" t="s">
        <v>382</v>
      </c>
      <c r="C48" s="903">
        <v>9.8000000000000004E-2</v>
      </c>
      <c r="D48" s="911"/>
      <c r="E48" s="903">
        <v>9.5000000000000001E-2</v>
      </c>
      <c r="F48" s="912"/>
    </row>
    <row r="49" spans="1:6" ht="14.25" thickBot="1">
      <c r="A49" s="735" t="s">
        <v>137</v>
      </c>
      <c r="B49" s="736" t="s">
        <v>671</v>
      </c>
      <c r="C49" s="899">
        <v>9.7000000000000003E-2</v>
      </c>
      <c r="D49" s="899">
        <v>9.5000000000000001E-2</v>
      </c>
      <c r="E49" s="899">
        <v>9.7000000000000003E-2</v>
      </c>
      <c r="F49" s="900">
        <v>0.1</v>
      </c>
    </row>
    <row r="50" spans="1:6" ht="14.25" thickBot="1">
      <c r="A50" s="735" t="s">
        <v>137</v>
      </c>
      <c r="B50" s="729" t="s">
        <v>189</v>
      </c>
      <c r="C50" s="901">
        <v>7.4999999999999997E-2</v>
      </c>
      <c r="D50" s="901">
        <v>9.5000000000000001E-2</v>
      </c>
      <c r="E50" s="901">
        <v>0.1</v>
      </c>
      <c r="F50" s="902">
        <v>0.1</v>
      </c>
    </row>
    <row r="51" spans="1:6" ht="14.25" thickBot="1">
      <c r="A51" s="735" t="s">
        <v>137</v>
      </c>
      <c r="B51" s="729" t="s">
        <v>202</v>
      </c>
      <c r="C51" s="901">
        <v>9.8000000000000004E-2</v>
      </c>
      <c r="D51" s="901">
        <v>8.8999999999999996E-2</v>
      </c>
      <c r="E51" s="901">
        <v>0.1</v>
      </c>
      <c r="F51" s="902">
        <v>0.1</v>
      </c>
    </row>
    <row r="52" spans="1:6" ht="14.25" thickBot="1">
      <c r="A52" s="735" t="s">
        <v>137</v>
      </c>
      <c r="B52" s="729" t="s">
        <v>215</v>
      </c>
      <c r="C52" s="901">
        <v>9.8000000000000004E-2</v>
      </c>
      <c r="D52" s="901">
        <v>9.7000000000000003E-2</v>
      </c>
      <c r="E52" s="901">
        <v>8.1000000000000003E-2</v>
      </c>
      <c r="F52" s="902">
        <v>0.1</v>
      </c>
    </row>
    <row r="53" spans="1:6" ht="14.25" thickBot="1">
      <c r="A53" s="735" t="s">
        <v>137</v>
      </c>
      <c r="B53" s="729" t="s">
        <v>227</v>
      </c>
      <c r="C53" s="901">
        <v>9.7000000000000003E-2</v>
      </c>
      <c r="D53" s="901">
        <v>7.5999999999999998E-2</v>
      </c>
      <c r="E53" s="901">
        <v>7.0999999999999994E-2</v>
      </c>
      <c r="F53" s="902">
        <v>0.1</v>
      </c>
    </row>
    <row r="54" spans="1:6" ht="14.25" thickBot="1">
      <c r="A54" s="735" t="s">
        <v>137</v>
      </c>
      <c r="B54" s="729" t="s">
        <v>238</v>
      </c>
      <c r="C54" s="901">
        <v>7.5999999999999998E-2</v>
      </c>
      <c r="D54" s="901">
        <v>0.1</v>
      </c>
      <c r="E54" s="901">
        <v>9.9000000000000005E-2</v>
      </c>
      <c r="F54" s="902">
        <v>0.1</v>
      </c>
    </row>
    <row r="55" spans="1:6" ht="14.25" thickBot="1">
      <c r="A55" s="735" t="s">
        <v>137</v>
      </c>
      <c r="B55" s="729" t="s">
        <v>249</v>
      </c>
      <c r="C55" s="901">
        <v>0.1</v>
      </c>
      <c r="D55" s="901">
        <v>0.1</v>
      </c>
      <c r="E55" s="901">
        <v>9.6000000000000002E-2</v>
      </c>
      <c r="F55" s="902">
        <v>0.1</v>
      </c>
    </row>
    <row r="56" spans="1:6" ht="14.25" thickBot="1">
      <c r="A56" s="735" t="s">
        <v>137</v>
      </c>
      <c r="B56" s="729" t="s">
        <v>260</v>
      </c>
      <c r="C56" s="901">
        <v>0.1</v>
      </c>
      <c r="D56" s="901">
        <v>9.6000000000000002E-2</v>
      </c>
      <c r="E56" s="901">
        <v>5.1999999999999998E-2</v>
      </c>
      <c r="F56" s="902">
        <v>0.1</v>
      </c>
    </row>
    <row r="57" spans="1:6" ht="14.25" thickBot="1">
      <c r="A57" s="735" t="s">
        <v>137</v>
      </c>
      <c r="B57" s="729" t="s">
        <v>272</v>
      </c>
      <c r="C57" s="901">
        <v>9.7000000000000003E-2</v>
      </c>
      <c r="D57" s="901">
        <v>9.6000000000000002E-2</v>
      </c>
      <c r="E57" s="901">
        <v>9.6000000000000002E-2</v>
      </c>
      <c r="F57" s="902">
        <v>0.1</v>
      </c>
    </row>
    <row r="58" spans="1:6" ht="14.25" thickBot="1">
      <c r="A58" s="735" t="s">
        <v>137</v>
      </c>
      <c r="B58" s="729" t="s">
        <v>282</v>
      </c>
      <c r="C58" s="901">
        <v>9.6000000000000002E-2</v>
      </c>
      <c r="D58" s="901">
        <v>9.9000000000000005E-2</v>
      </c>
      <c r="E58" s="901">
        <v>9.6000000000000002E-2</v>
      </c>
      <c r="F58" s="902">
        <v>0.1</v>
      </c>
    </row>
    <row r="59" spans="1:6" ht="14.25" thickBot="1">
      <c r="A59" s="735" t="s">
        <v>137</v>
      </c>
      <c r="B59" s="729" t="s">
        <v>292</v>
      </c>
      <c r="C59" s="901">
        <v>7.1999999999999995E-2</v>
      </c>
      <c r="D59" s="901">
        <v>9.6000000000000002E-2</v>
      </c>
      <c r="E59" s="901">
        <v>7.0999999999999994E-2</v>
      </c>
      <c r="F59" s="902">
        <v>0.1</v>
      </c>
    </row>
    <row r="60" spans="1:6" ht="14.25" thickBot="1">
      <c r="A60" s="735" t="s">
        <v>137</v>
      </c>
      <c r="B60" s="729" t="s">
        <v>302</v>
      </c>
      <c r="C60" s="901">
        <v>9.6000000000000002E-2</v>
      </c>
      <c r="D60" s="901">
        <v>8.8999999999999996E-2</v>
      </c>
      <c r="E60" s="901">
        <v>9.6000000000000002E-2</v>
      </c>
      <c r="F60" s="902">
        <v>0.1</v>
      </c>
    </row>
    <row r="61" spans="1:6" ht="14.25" thickBot="1">
      <c r="A61" s="735" t="s">
        <v>137</v>
      </c>
      <c r="B61" s="729" t="s">
        <v>312</v>
      </c>
      <c r="C61" s="901">
        <v>8.8999999999999996E-2</v>
      </c>
      <c r="D61" s="901">
        <v>9.8000000000000004E-2</v>
      </c>
      <c r="E61" s="901">
        <v>8.7999999999999995E-2</v>
      </c>
      <c r="F61" s="913"/>
    </row>
    <row r="62" spans="1:6" ht="14.25" thickBot="1">
      <c r="A62" s="735" t="s">
        <v>137</v>
      </c>
      <c r="B62" s="729" t="s">
        <v>323</v>
      </c>
      <c r="C62" s="901">
        <v>9.8000000000000004E-2</v>
      </c>
      <c r="D62" s="901">
        <v>9.2999999999999999E-2</v>
      </c>
      <c r="E62" s="901">
        <v>9.7000000000000003E-2</v>
      </c>
      <c r="F62" s="913"/>
    </row>
    <row r="63" spans="1:6" ht="14.25" thickBot="1">
      <c r="A63" s="735" t="s">
        <v>137</v>
      </c>
      <c r="B63" s="729" t="s">
        <v>334</v>
      </c>
      <c r="C63" s="901">
        <v>9.6000000000000002E-2</v>
      </c>
      <c r="D63" s="901">
        <v>9.8000000000000004E-2</v>
      </c>
      <c r="E63" s="901">
        <v>0.09</v>
      </c>
      <c r="F63" s="913"/>
    </row>
    <row r="64" spans="1:6" ht="14.25" thickBot="1">
      <c r="A64" s="735" t="s">
        <v>137</v>
      </c>
      <c r="B64" s="729" t="s">
        <v>344</v>
      </c>
      <c r="C64" s="901">
        <v>9.9000000000000005E-2</v>
      </c>
      <c r="D64" s="901">
        <v>9.7000000000000003E-2</v>
      </c>
      <c r="E64" s="901">
        <v>9.9000000000000005E-2</v>
      </c>
      <c r="F64" s="913"/>
    </row>
    <row r="65" spans="1:6" ht="14.25" thickBot="1">
      <c r="A65" s="735" t="s">
        <v>137</v>
      </c>
      <c r="B65" s="729" t="s">
        <v>354</v>
      </c>
      <c r="C65" s="901">
        <v>9.8000000000000004E-2</v>
      </c>
      <c r="D65" s="901">
        <v>9.6000000000000002E-2</v>
      </c>
      <c r="E65" s="901">
        <v>9.6000000000000002E-2</v>
      </c>
      <c r="F65" s="913"/>
    </row>
    <row r="66" spans="1:6" ht="14.25" thickBot="1">
      <c r="A66" s="735" t="s">
        <v>137</v>
      </c>
      <c r="B66" s="729" t="s">
        <v>364</v>
      </c>
      <c r="C66" s="901">
        <v>9.6000000000000002E-2</v>
      </c>
      <c r="D66" s="901">
        <v>9.1999999999999998E-2</v>
      </c>
      <c r="E66" s="901">
        <v>9.6000000000000002E-2</v>
      </c>
      <c r="F66" s="913"/>
    </row>
    <row r="67" spans="1:6" ht="14.25" thickBot="1">
      <c r="A67" s="735" t="s">
        <v>137</v>
      </c>
      <c r="B67" s="729" t="s">
        <v>374</v>
      </c>
      <c r="C67" s="901">
        <v>9.4E-2</v>
      </c>
      <c r="D67" s="901">
        <v>0.1</v>
      </c>
      <c r="E67" s="901">
        <v>8.7999999999999995E-2</v>
      </c>
      <c r="F67" s="913"/>
    </row>
    <row r="68" spans="1:6" ht="14.25" thickBot="1">
      <c r="A68" s="735" t="s">
        <v>137</v>
      </c>
      <c r="B68" s="729" t="s">
        <v>383</v>
      </c>
      <c r="C68" s="901">
        <v>0.1</v>
      </c>
      <c r="D68" s="901">
        <v>8.7999999999999995E-2</v>
      </c>
      <c r="E68" s="901">
        <v>9.7000000000000003E-2</v>
      </c>
      <c r="F68" s="913"/>
    </row>
    <row r="69" spans="1:6" ht="14.25" thickBot="1">
      <c r="A69" s="735" t="s">
        <v>137</v>
      </c>
      <c r="B69" s="729" t="s">
        <v>392</v>
      </c>
      <c r="C69" s="901">
        <v>6.4000000000000001E-2</v>
      </c>
      <c r="D69" s="901">
        <v>0.1</v>
      </c>
      <c r="E69" s="901">
        <v>0.1</v>
      </c>
      <c r="F69" s="913"/>
    </row>
    <row r="70" spans="1:6" ht="14.25" thickBot="1">
      <c r="A70" s="735" t="s">
        <v>137</v>
      </c>
      <c r="B70" s="729" t="s">
        <v>400</v>
      </c>
      <c r="C70" s="901">
        <v>9.0999999999999998E-2</v>
      </c>
      <c r="D70" s="914"/>
      <c r="E70" s="914"/>
      <c r="F70" s="913"/>
    </row>
    <row r="71" spans="1:6" ht="14.25" thickBot="1">
      <c r="A71" s="735" t="s">
        <v>137</v>
      </c>
      <c r="B71" s="729" t="s">
        <v>407</v>
      </c>
      <c r="C71" s="901">
        <v>0.1</v>
      </c>
      <c r="D71" s="914"/>
      <c r="E71" s="914"/>
      <c r="F71" s="913"/>
    </row>
    <row r="72" spans="1:6" ht="14.25" thickBot="1">
      <c r="A72" s="735" t="s">
        <v>137</v>
      </c>
      <c r="B72" s="729" t="s">
        <v>672</v>
      </c>
      <c r="C72" s="914"/>
      <c r="D72" s="914"/>
      <c r="E72" s="914"/>
      <c r="F72" s="902">
        <v>0.05</v>
      </c>
    </row>
    <row r="73" spans="1:6" ht="14.25" thickBot="1">
      <c r="A73" s="735" t="s">
        <v>137</v>
      </c>
      <c r="B73" s="729" t="s">
        <v>673</v>
      </c>
      <c r="C73" s="914"/>
      <c r="D73" s="914"/>
      <c r="E73" s="914"/>
      <c r="F73" s="902">
        <v>0.05</v>
      </c>
    </row>
    <row r="74" spans="1:6" ht="14.25" thickBot="1">
      <c r="A74" s="735" t="s">
        <v>137</v>
      </c>
      <c r="B74" s="729" t="s">
        <v>674</v>
      </c>
      <c r="C74" s="914"/>
      <c r="D74" s="914"/>
      <c r="E74" s="914"/>
      <c r="F74" s="902">
        <v>0.05</v>
      </c>
    </row>
    <row r="75" spans="1:6" ht="14.25" thickBot="1">
      <c r="A75" s="745" t="s">
        <v>137</v>
      </c>
      <c r="B75" s="741" t="s">
        <v>675</v>
      </c>
      <c r="C75" s="911"/>
      <c r="D75" s="911"/>
      <c r="E75" s="911"/>
      <c r="F75" s="904">
        <v>0.05</v>
      </c>
    </row>
    <row r="76" spans="1:6" ht="14.25" thickBot="1">
      <c r="A76" s="735" t="s">
        <v>522</v>
      </c>
      <c r="B76" s="736" t="s">
        <v>676</v>
      </c>
      <c r="C76" s="899">
        <v>0.1</v>
      </c>
      <c r="D76" s="899">
        <v>0.1</v>
      </c>
      <c r="E76" s="899">
        <v>0.1</v>
      </c>
      <c r="F76" s="900">
        <v>0.1</v>
      </c>
    </row>
    <row r="77" spans="1:6" ht="14.25" thickBot="1">
      <c r="A77" s="735" t="s">
        <v>522</v>
      </c>
      <c r="B77" s="729" t="s">
        <v>190</v>
      </c>
      <c r="C77" s="901">
        <v>8.7999999999999995E-2</v>
      </c>
      <c r="D77" s="901">
        <v>8.6999999999999994E-2</v>
      </c>
      <c r="E77" s="901">
        <v>7.9000000000000001E-2</v>
      </c>
      <c r="F77" s="902">
        <v>0.1</v>
      </c>
    </row>
    <row r="78" spans="1:6" ht="14.25" thickBot="1">
      <c r="A78" s="735" t="s">
        <v>522</v>
      </c>
      <c r="B78" s="729" t="s">
        <v>203</v>
      </c>
      <c r="C78" s="901">
        <v>8.6999999999999994E-2</v>
      </c>
      <c r="D78" s="901">
        <v>8.4000000000000005E-2</v>
      </c>
      <c r="E78" s="901">
        <v>9.6000000000000002E-2</v>
      </c>
      <c r="F78" s="902">
        <v>0.1</v>
      </c>
    </row>
    <row r="79" spans="1:6" ht="14.25" thickBot="1">
      <c r="A79" s="735" t="s">
        <v>522</v>
      </c>
      <c r="B79" s="729" t="s">
        <v>216</v>
      </c>
      <c r="C79" s="901">
        <v>9.8000000000000004E-2</v>
      </c>
      <c r="D79" s="901">
        <v>9.8000000000000004E-2</v>
      </c>
      <c r="E79" s="901">
        <v>9.0999999999999998E-2</v>
      </c>
      <c r="F79" s="902">
        <v>0.1</v>
      </c>
    </row>
    <row r="80" spans="1:6" ht="14.25" thickBot="1">
      <c r="A80" s="735" t="s">
        <v>522</v>
      </c>
      <c r="B80" s="729" t="s">
        <v>228</v>
      </c>
      <c r="C80" s="901">
        <v>9.6000000000000002E-2</v>
      </c>
      <c r="D80" s="901">
        <v>9.6000000000000002E-2</v>
      </c>
      <c r="E80" s="901">
        <v>0.1</v>
      </c>
      <c r="F80" s="902">
        <v>0.1</v>
      </c>
    </row>
    <row r="81" spans="1:6" ht="14.25" thickBot="1">
      <c r="A81" s="735" t="s">
        <v>522</v>
      </c>
      <c r="B81" s="729" t="s">
        <v>239</v>
      </c>
      <c r="C81" s="901">
        <v>9.9000000000000005E-2</v>
      </c>
      <c r="D81" s="901">
        <v>9.9000000000000005E-2</v>
      </c>
      <c r="E81" s="901">
        <v>9.8000000000000004E-2</v>
      </c>
      <c r="F81" s="902">
        <v>0.1</v>
      </c>
    </row>
    <row r="82" spans="1:6" ht="14.25" thickBot="1">
      <c r="A82" s="735" t="s">
        <v>522</v>
      </c>
      <c r="B82" s="729" t="s">
        <v>250</v>
      </c>
      <c r="C82" s="901">
        <v>9.9000000000000005E-2</v>
      </c>
      <c r="D82" s="901">
        <v>9.9000000000000005E-2</v>
      </c>
      <c r="E82" s="901">
        <v>9.7000000000000003E-2</v>
      </c>
      <c r="F82" s="902">
        <v>0.1</v>
      </c>
    </row>
    <row r="83" spans="1:6" ht="14.25" thickBot="1">
      <c r="A83" s="735" t="s">
        <v>522</v>
      </c>
      <c r="B83" s="729" t="s">
        <v>261</v>
      </c>
      <c r="C83" s="901">
        <v>9.8000000000000004E-2</v>
      </c>
      <c r="D83" s="901">
        <v>9.8000000000000004E-2</v>
      </c>
      <c r="E83" s="901">
        <v>9.8000000000000004E-2</v>
      </c>
      <c r="F83" s="902">
        <v>0.1</v>
      </c>
    </row>
    <row r="84" spans="1:6" ht="14.25" thickBot="1">
      <c r="A84" s="735" t="s">
        <v>522</v>
      </c>
      <c r="B84" s="729" t="s">
        <v>273</v>
      </c>
      <c r="C84" s="901">
        <v>9.9000000000000005E-2</v>
      </c>
      <c r="D84" s="901">
        <v>9.9000000000000005E-2</v>
      </c>
      <c r="E84" s="901">
        <v>9.9000000000000005E-2</v>
      </c>
      <c r="F84" s="902">
        <v>0.1</v>
      </c>
    </row>
    <row r="85" spans="1:6" ht="14.25" thickBot="1">
      <c r="A85" s="735" t="s">
        <v>522</v>
      </c>
      <c r="B85" s="729" t="s">
        <v>283</v>
      </c>
      <c r="C85" s="901">
        <v>9.9000000000000005E-2</v>
      </c>
      <c r="D85" s="901">
        <v>9.9000000000000005E-2</v>
      </c>
      <c r="E85" s="901">
        <v>9.9000000000000005E-2</v>
      </c>
      <c r="F85" s="902">
        <v>0.1</v>
      </c>
    </row>
    <row r="86" spans="1:6" ht="14.25" thickBot="1">
      <c r="A86" s="735" t="s">
        <v>522</v>
      </c>
      <c r="B86" s="729" t="s">
        <v>293</v>
      </c>
      <c r="C86" s="901">
        <v>0.1</v>
      </c>
      <c r="D86" s="901">
        <v>0.1</v>
      </c>
      <c r="E86" s="901">
        <v>7.6999999999999999E-2</v>
      </c>
      <c r="F86" s="902">
        <v>0.1</v>
      </c>
    </row>
    <row r="87" spans="1:6" ht="14.25" thickBot="1">
      <c r="A87" s="735" t="s">
        <v>522</v>
      </c>
      <c r="B87" s="729" t="s">
        <v>303</v>
      </c>
      <c r="C87" s="901">
        <v>0.1</v>
      </c>
      <c r="D87" s="901">
        <v>0.1</v>
      </c>
      <c r="E87" s="901">
        <v>9.8000000000000004E-2</v>
      </c>
      <c r="F87" s="913"/>
    </row>
    <row r="88" spans="1:6" ht="14.25" thickBot="1">
      <c r="A88" s="735" t="s">
        <v>522</v>
      </c>
      <c r="B88" s="729" t="s">
        <v>313</v>
      </c>
      <c r="C88" s="901">
        <v>9.1999999999999998E-2</v>
      </c>
      <c r="D88" s="901">
        <v>8.5000000000000006E-2</v>
      </c>
      <c r="E88" s="901">
        <v>9.6000000000000002E-2</v>
      </c>
      <c r="F88" s="913"/>
    </row>
    <row r="89" spans="1:6" ht="14.25" thickBot="1">
      <c r="A89" s="735" t="s">
        <v>522</v>
      </c>
      <c r="B89" s="729" t="s">
        <v>324</v>
      </c>
      <c r="C89" s="901">
        <v>0.1</v>
      </c>
      <c r="D89" s="901">
        <v>0.1</v>
      </c>
      <c r="E89" s="901">
        <v>9.7000000000000003E-2</v>
      </c>
      <c r="F89" s="913"/>
    </row>
    <row r="90" spans="1:6" ht="14.25" thickBot="1">
      <c r="A90" s="735" t="s">
        <v>522</v>
      </c>
      <c r="B90" s="729" t="s">
        <v>335</v>
      </c>
      <c r="C90" s="901">
        <v>9.8000000000000004E-2</v>
      </c>
      <c r="D90" s="901">
        <v>9.8000000000000004E-2</v>
      </c>
      <c r="E90" s="901">
        <v>8.7999999999999995E-2</v>
      </c>
      <c r="F90" s="913"/>
    </row>
    <row r="91" spans="1:6" ht="14.25" thickBot="1">
      <c r="A91" s="735" t="s">
        <v>522</v>
      </c>
      <c r="B91" s="729" t="s">
        <v>345</v>
      </c>
      <c r="C91" s="901">
        <v>9.9000000000000005E-2</v>
      </c>
      <c r="D91" s="901">
        <v>9.9000000000000005E-2</v>
      </c>
      <c r="E91" s="901">
        <v>9.0999999999999998E-2</v>
      </c>
      <c r="F91" s="913"/>
    </row>
    <row r="92" spans="1:6" ht="14.25" thickBot="1">
      <c r="A92" s="735" t="s">
        <v>522</v>
      </c>
      <c r="B92" s="729" t="s">
        <v>355</v>
      </c>
      <c r="C92" s="901">
        <v>9.6000000000000002E-2</v>
      </c>
      <c r="D92" s="901">
        <v>9.6000000000000002E-2</v>
      </c>
      <c r="E92" s="901">
        <v>7.2999999999999995E-2</v>
      </c>
      <c r="F92" s="913"/>
    </row>
    <row r="93" spans="1:6" ht="14.25" thickBot="1">
      <c r="A93" s="735" t="s">
        <v>522</v>
      </c>
      <c r="B93" s="729" t="s">
        <v>365</v>
      </c>
      <c r="C93" s="901">
        <v>9.6000000000000002E-2</v>
      </c>
      <c r="D93" s="901">
        <v>9.6000000000000002E-2</v>
      </c>
      <c r="E93" s="901">
        <v>9.9000000000000005E-2</v>
      </c>
      <c r="F93" s="913"/>
    </row>
    <row r="94" spans="1:6" ht="14.25" thickBot="1">
      <c r="A94" s="735" t="s">
        <v>522</v>
      </c>
      <c r="B94" s="729" t="s">
        <v>375</v>
      </c>
      <c r="C94" s="901">
        <v>7.5999999999999998E-2</v>
      </c>
      <c r="D94" s="901">
        <v>7.3999999999999996E-2</v>
      </c>
      <c r="E94" s="901">
        <v>9.7000000000000003E-2</v>
      </c>
      <c r="F94" s="913"/>
    </row>
    <row r="95" spans="1:6" ht="14.25" thickBot="1">
      <c r="A95" s="735" t="s">
        <v>522</v>
      </c>
      <c r="B95" s="729" t="s">
        <v>384</v>
      </c>
      <c r="C95" s="901">
        <v>9.9000000000000005E-2</v>
      </c>
      <c r="D95" s="901">
        <v>9.4E-2</v>
      </c>
      <c r="E95" s="901">
        <v>9.6000000000000002E-2</v>
      </c>
      <c r="F95" s="913"/>
    </row>
    <row r="96" spans="1:6" ht="14.25" thickBot="1">
      <c r="A96" s="735" t="s">
        <v>522</v>
      </c>
      <c r="B96" s="729" t="s">
        <v>393</v>
      </c>
      <c r="C96" s="901">
        <v>9.9000000000000005E-2</v>
      </c>
      <c r="D96" s="901">
        <v>9.9000000000000005E-2</v>
      </c>
      <c r="E96" s="901">
        <v>9.9000000000000005E-2</v>
      </c>
      <c r="F96" s="913"/>
    </row>
    <row r="97" spans="1:6" ht="14.25" thickBot="1">
      <c r="A97" s="735" t="s">
        <v>522</v>
      </c>
      <c r="B97" s="729" t="s">
        <v>401</v>
      </c>
      <c r="C97" s="901">
        <v>9.8000000000000004E-2</v>
      </c>
      <c r="D97" s="901">
        <v>9.8000000000000004E-2</v>
      </c>
      <c r="E97" s="901">
        <v>9.7000000000000003E-2</v>
      </c>
      <c r="F97" s="913"/>
    </row>
    <row r="98" spans="1:6" ht="14.25" thickBot="1">
      <c r="A98" s="735" t="s">
        <v>522</v>
      </c>
      <c r="B98" s="729" t="s">
        <v>408</v>
      </c>
      <c r="C98" s="901">
        <v>0.1</v>
      </c>
      <c r="D98" s="901">
        <v>0.1</v>
      </c>
      <c r="E98" s="901">
        <v>9.7000000000000003E-2</v>
      </c>
      <c r="F98" s="913"/>
    </row>
    <row r="99" spans="1:6" ht="14.25" thickBot="1">
      <c r="A99" s="735" t="s">
        <v>522</v>
      </c>
      <c r="B99" s="729" t="s">
        <v>415</v>
      </c>
      <c r="C99" s="901">
        <v>0.1</v>
      </c>
      <c r="D99" s="901">
        <v>0.1</v>
      </c>
      <c r="E99" s="914"/>
      <c r="F99" s="913"/>
    </row>
    <row r="100" spans="1:6" ht="14.25" thickBot="1">
      <c r="A100" s="735" t="s">
        <v>522</v>
      </c>
      <c r="B100" s="729" t="s">
        <v>422</v>
      </c>
      <c r="C100" s="901">
        <v>0.09</v>
      </c>
      <c r="D100" s="901">
        <v>8.8999999999999996E-2</v>
      </c>
      <c r="E100" s="914"/>
      <c r="F100" s="913"/>
    </row>
    <row r="101" spans="1:6" ht="14.25" thickBot="1">
      <c r="A101" s="735" t="s">
        <v>522</v>
      </c>
      <c r="B101" s="729" t="s">
        <v>429</v>
      </c>
      <c r="C101" s="901">
        <v>9.8000000000000004E-2</v>
      </c>
      <c r="D101" s="901">
        <v>9.7000000000000003E-2</v>
      </c>
      <c r="E101" s="914"/>
      <c r="F101" s="913"/>
    </row>
    <row r="102" spans="1:6" ht="14.25" thickBot="1">
      <c r="A102" s="735" t="s">
        <v>522</v>
      </c>
      <c r="B102" s="729" t="s">
        <v>677</v>
      </c>
      <c r="C102" s="914"/>
      <c r="D102" s="914"/>
      <c r="E102" s="914"/>
      <c r="F102" s="902">
        <v>0.05</v>
      </c>
    </row>
    <row r="103" spans="1:6" ht="24.75" thickBot="1">
      <c r="A103" s="735" t="s">
        <v>522</v>
      </c>
      <c r="B103" s="729" t="s">
        <v>678</v>
      </c>
      <c r="C103" s="914"/>
      <c r="D103" s="914"/>
      <c r="E103" s="914"/>
      <c r="F103" s="902">
        <v>0.05</v>
      </c>
    </row>
    <row r="104" spans="1:6" ht="14.25" thickBot="1">
      <c r="A104" s="735" t="s">
        <v>522</v>
      </c>
      <c r="B104" s="729" t="s">
        <v>679</v>
      </c>
      <c r="C104" s="914"/>
      <c r="D104" s="914"/>
      <c r="E104" s="914"/>
      <c r="F104" s="902">
        <v>0.05</v>
      </c>
    </row>
    <row r="105" spans="1:6" ht="14.25" thickBot="1">
      <c r="A105" s="735" t="s">
        <v>522</v>
      </c>
      <c r="B105" s="729" t="s">
        <v>680</v>
      </c>
      <c r="C105" s="914"/>
      <c r="D105" s="914"/>
      <c r="E105" s="914"/>
      <c r="F105" s="902">
        <v>0.05</v>
      </c>
    </row>
    <row r="106" spans="1:6" ht="14.25" thickBot="1">
      <c r="A106" s="735" t="s">
        <v>522</v>
      </c>
      <c r="B106" s="729" t="s">
        <v>681</v>
      </c>
      <c r="C106" s="914"/>
      <c r="D106" s="914"/>
      <c r="E106" s="914"/>
      <c r="F106" s="902">
        <v>0.05</v>
      </c>
    </row>
    <row r="107" spans="1:6" ht="24.75" thickBot="1">
      <c r="A107" s="735" t="s">
        <v>522</v>
      </c>
      <c r="B107" s="729" t="s">
        <v>682</v>
      </c>
      <c r="C107" s="914"/>
      <c r="D107" s="914"/>
      <c r="E107" s="914"/>
      <c r="F107" s="902">
        <v>0.05</v>
      </c>
    </row>
    <row r="108" spans="1:6" ht="24.75" thickBot="1">
      <c r="A108" s="735" t="s">
        <v>522</v>
      </c>
      <c r="B108" s="729" t="s">
        <v>683</v>
      </c>
      <c r="C108" s="914"/>
      <c r="D108" s="914"/>
      <c r="E108" s="914"/>
      <c r="F108" s="902">
        <v>0.05</v>
      </c>
    </row>
    <row r="109" spans="1:6" ht="24.75" thickBot="1">
      <c r="A109" s="745" t="s">
        <v>522</v>
      </c>
      <c r="B109" s="741" t="s">
        <v>684</v>
      </c>
      <c r="C109" s="911"/>
      <c r="D109" s="911"/>
      <c r="E109" s="911"/>
      <c r="F109" s="904">
        <v>0.05</v>
      </c>
    </row>
    <row r="110" spans="1:6" ht="14.25" thickBot="1">
      <c r="A110" s="735" t="s">
        <v>56</v>
      </c>
      <c r="B110" s="736" t="s">
        <v>685</v>
      </c>
      <c r="C110" s="899">
        <v>0.129</v>
      </c>
      <c r="D110" s="899">
        <v>0.129</v>
      </c>
      <c r="E110" s="899">
        <v>0.126</v>
      </c>
      <c r="F110" s="900">
        <v>0.13</v>
      </c>
    </row>
    <row r="111" spans="1:6" ht="14.25" thickBot="1">
      <c r="A111" s="735" t="s">
        <v>56</v>
      </c>
      <c r="B111" s="729" t="s">
        <v>191</v>
      </c>
      <c r="C111" s="901">
        <v>0.11</v>
      </c>
      <c r="D111" s="901">
        <v>0.11</v>
      </c>
      <c r="E111" s="901">
        <v>9.9000000000000005E-2</v>
      </c>
      <c r="F111" s="902">
        <v>0.128</v>
      </c>
    </row>
    <row r="112" spans="1:6" ht="14.25" thickBot="1">
      <c r="A112" s="735" t="s">
        <v>56</v>
      </c>
      <c r="B112" s="729" t="s">
        <v>204</v>
      </c>
      <c r="C112" s="901">
        <v>0.125</v>
      </c>
      <c r="D112" s="901">
        <v>0.125</v>
      </c>
      <c r="E112" s="901">
        <v>0.12</v>
      </c>
      <c r="F112" s="902">
        <v>0.125</v>
      </c>
    </row>
    <row r="113" spans="1:6" ht="14.25" thickBot="1">
      <c r="A113" s="735" t="s">
        <v>56</v>
      </c>
      <c r="B113" s="729" t="s">
        <v>217</v>
      </c>
      <c r="C113" s="901">
        <v>0.13</v>
      </c>
      <c r="D113" s="901">
        <v>0.13</v>
      </c>
      <c r="E113" s="901">
        <v>0.13</v>
      </c>
      <c r="F113" s="902">
        <v>0.13</v>
      </c>
    </row>
    <row r="114" spans="1:6" ht="14.25" thickBot="1">
      <c r="A114" s="735" t="s">
        <v>56</v>
      </c>
      <c r="B114" s="729" t="s">
        <v>229</v>
      </c>
      <c r="C114" s="901">
        <v>0.123</v>
      </c>
      <c r="D114" s="901">
        <v>0.123</v>
      </c>
      <c r="E114" s="901">
        <v>0.12</v>
      </c>
      <c r="F114" s="902">
        <v>0.13</v>
      </c>
    </row>
    <row r="115" spans="1:6" ht="14.25" thickBot="1">
      <c r="A115" s="735" t="s">
        <v>56</v>
      </c>
      <c r="B115" s="729" t="s">
        <v>240</v>
      </c>
      <c r="C115" s="901">
        <v>0.125</v>
      </c>
      <c r="D115" s="901">
        <v>0.125</v>
      </c>
      <c r="E115" s="901">
        <v>0.11700000000000001</v>
      </c>
      <c r="F115" s="902">
        <v>0.13</v>
      </c>
    </row>
    <row r="116" spans="1:6" ht="14.25" thickBot="1">
      <c r="A116" s="735" t="s">
        <v>56</v>
      </c>
      <c r="B116" s="729" t="s">
        <v>251</v>
      </c>
      <c r="C116" s="901">
        <v>0.11700000000000001</v>
      </c>
      <c r="D116" s="901">
        <v>0.11700000000000001</v>
      </c>
      <c r="E116" s="901">
        <v>8.7999999999999995E-2</v>
      </c>
      <c r="F116" s="902">
        <v>0.13</v>
      </c>
    </row>
    <row r="117" spans="1:6" ht="14.25" thickBot="1">
      <c r="A117" s="735" t="s">
        <v>56</v>
      </c>
      <c r="B117" s="729" t="s">
        <v>262</v>
      </c>
      <c r="C117" s="901">
        <v>0.13</v>
      </c>
      <c r="D117" s="901">
        <v>0.13</v>
      </c>
      <c r="E117" s="901">
        <v>0.129</v>
      </c>
      <c r="F117" s="902">
        <v>0.13</v>
      </c>
    </row>
    <row r="118" spans="1:6" ht="14.25" thickBot="1">
      <c r="A118" s="735" t="s">
        <v>56</v>
      </c>
      <c r="B118" s="729" t="s">
        <v>274</v>
      </c>
      <c r="C118" s="901">
        <v>0.123</v>
      </c>
      <c r="D118" s="901">
        <v>0.123</v>
      </c>
      <c r="E118" s="901">
        <v>0.11600000000000001</v>
      </c>
      <c r="F118" s="902">
        <v>0.13</v>
      </c>
    </row>
    <row r="119" spans="1:6" ht="14.25" thickBot="1">
      <c r="A119" s="735" t="s">
        <v>56</v>
      </c>
      <c r="B119" s="729" t="s">
        <v>284</v>
      </c>
      <c r="C119" s="901">
        <v>0.127</v>
      </c>
      <c r="D119" s="901">
        <v>0.127</v>
      </c>
      <c r="E119" s="901">
        <v>0.124</v>
      </c>
      <c r="F119" s="902">
        <v>0.13</v>
      </c>
    </row>
    <row r="120" spans="1:6" ht="14.25" thickBot="1">
      <c r="A120" s="735" t="s">
        <v>56</v>
      </c>
      <c r="B120" s="729" t="s">
        <v>294</v>
      </c>
      <c r="C120" s="901">
        <v>0.125</v>
      </c>
      <c r="D120" s="901">
        <v>0.125</v>
      </c>
      <c r="E120" s="901">
        <v>0.122</v>
      </c>
      <c r="F120" s="902">
        <v>0.13</v>
      </c>
    </row>
    <row r="121" spans="1:6" ht="14.25" thickBot="1">
      <c r="A121" s="735" t="s">
        <v>56</v>
      </c>
      <c r="B121" s="729" t="s">
        <v>304</v>
      </c>
      <c r="C121" s="901">
        <v>0.13</v>
      </c>
      <c r="D121" s="901">
        <v>0.13</v>
      </c>
      <c r="E121" s="901">
        <v>0.13</v>
      </c>
      <c r="F121" s="902">
        <v>0.13</v>
      </c>
    </row>
    <row r="122" spans="1:6" ht="14.25" thickBot="1">
      <c r="A122" s="735" t="s">
        <v>56</v>
      </c>
      <c r="B122" s="729" t="s">
        <v>314</v>
      </c>
      <c r="C122" s="901">
        <v>0.13</v>
      </c>
      <c r="D122" s="901">
        <v>0.13</v>
      </c>
      <c r="E122" s="901">
        <v>0.125</v>
      </c>
      <c r="F122" s="902">
        <v>0.13</v>
      </c>
    </row>
    <row r="123" spans="1:6" ht="14.25" thickBot="1">
      <c r="A123" s="735" t="s">
        <v>56</v>
      </c>
      <c r="B123" s="729" t="s">
        <v>325</v>
      </c>
      <c r="C123" s="901">
        <v>0.129</v>
      </c>
      <c r="D123" s="901">
        <v>0.129</v>
      </c>
      <c r="E123" s="901">
        <v>0.123</v>
      </c>
      <c r="F123" s="902">
        <v>0.13</v>
      </c>
    </row>
    <row r="124" spans="1:6" ht="14.25" thickBot="1">
      <c r="A124" s="735" t="s">
        <v>56</v>
      </c>
      <c r="B124" s="729" t="s">
        <v>336</v>
      </c>
      <c r="C124" s="901">
        <v>0.10199999999999999</v>
      </c>
      <c r="D124" s="901">
        <v>0.10100000000000001</v>
      </c>
      <c r="E124" s="901">
        <v>0.08</v>
      </c>
      <c r="F124" s="913"/>
    </row>
    <row r="125" spans="1:6" ht="14.25" thickBot="1">
      <c r="A125" s="735" t="s">
        <v>56</v>
      </c>
      <c r="B125" s="729" t="s">
        <v>346</v>
      </c>
      <c r="C125" s="901">
        <v>0.13</v>
      </c>
      <c r="D125" s="901">
        <v>0.13</v>
      </c>
      <c r="E125" s="901">
        <v>0.129</v>
      </c>
      <c r="F125" s="913"/>
    </row>
    <row r="126" spans="1:6" ht="14.25" thickBot="1">
      <c r="A126" s="735" t="s">
        <v>56</v>
      </c>
      <c r="B126" s="729" t="s">
        <v>356</v>
      </c>
      <c r="C126" s="901">
        <v>0.13</v>
      </c>
      <c r="D126" s="901">
        <v>0.13</v>
      </c>
      <c r="E126" s="901">
        <v>0.126</v>
      </c>
      <c r="F126" s="913"/>
    </row>
    <row r="127" spans="1:6" ht="14.25" thickBot="1">
      <c r="A127" s="735" t="s">
        <v>56</v>
      </c>
      <c r="B127" s="729" t="s">
        <v>366</v>
      </c>
      <c r="C127" s="901">
        <v>0.125</v>
      </c>
      <c r="D127" s="901">
        <v>0.125</v>
      </c>
      <c r="E127" s="901">
        <v>0.121</v>
      </c>
      <c r="F127" s="913"/>
    </row>
    <row r="128" spans="1:6" ht="14.25" thickBot="1">
      <c r="A128" s="735" t="s">
        <v>56</v>
      </c>
      <c r="B128" s="729" t="s">
        <v>376</v>
      </c>
      <c r="C128" s="901">
        <v>0.12</v>
      </c>
      <c r="D128" s="901">
        <v>0.12</v>
      </c>
      <c r="E128" s="901">
        <v>0.105</v>
      </c>
      <c r="F128" s="913"/>
    </row>
    <row r="129" spans="1:6" ht="14.25" thickBot="1">
      <c r="A129" s="735" t="s">
        <v>56</v>
      </c>
      <c r="B129" s="729" t="s">
        <v>385</v>
      </c>
      <c r="C129" s="901">
        <v>0.13</v>
      </c>
      <c r="D129" s="901">
        <v>0.13</v>
      </c>
      <c r="E129" s="901">
        <v>0.126</v>
      </c>
      <c r="F129" s="913"/>
    </row>
    <row r="130" spans="1:6" ht="14.25" thickBot="1">
      <c r="A130" s="735" t="s">
        <v>56</v>
      </c>
      <c r="B130" s="729" t="s">
        <v>394</v>
      </c>
      <c r="C130" s="901">
        <v>0.125</v>
      </c>
      <c r="D130" s="901">
        <v>0.125</v>
      </c>
      <c r="E130" s="901">
        <v>0.122</v>
      </c>
      <c r="F130" s="913"/>
    </row>
    <row r="131" spans="1:6" ht="14.25" thickBot="1">
      <c r="A131" s="735" t="s">
        <v>56</v>
      </c>
      <c r="B131" s="729" t="s">
        <v>402</v>
      </c>
      <c r="C131" s="901">
        <v>0.127</v>
      </c>
      <c r="D131" s="901">
        <v>0.126</v>
      </c>
      <c r="E131" s="901">
        <v>0.123</v>
      </c>
      <c r="F131" s="913"/>
    </row>
    <row r="132" spans="1:6" ht="14.25" thickBot="1">
      <c r="A132" s="735" t="s">
        <v>56</v>
      </c>
      <c r="B132" s="729" t="s">
        <v>409</v>
      </c>
      <c r="C132" s="901">
        <v>9.0999999999999998E-2</v>
      </c>
      <c r="D132" s="901">
        <v>0.121</v>
      </c>
      <c r="E132" s="901">
        <v>9.9000000000000005E-2</v>
      </c>
      <c r="F132" s="913"/>
    </row>
    <row r="133" spans="1:6" ht="14.25" thickBot="1">
      <c r="A133" s="735" t="s">
        <v>56</v>
      </c>
      <c r="B133" s="729" t="s">
        <v>416</v>
      </c>
      <c r="C133" s="901">
        <v>0.13</v>
      </c>
      <c r="D133" s="901">
        <v>0.13</v>
      </c>
      <c r="E133" s="901">
        <v>0.129</v>
      </c>
      <c r="F133" s="913"/>
    </row>
    <row r="134" spans="1:6" ht="14.25" thickBot="1">
      <c r="A134" s="735" t="s">
        <v>56</v>
      </c>
      <c r="B134" s="729" t="s">
        <v>686</v>
      </c>
      <c r="C134" s="901">
        <v>6.8000000000000005E-2</v>
      </c>
      <c r="D134" s="901">
        <v>6.5000000000000002E-2</v>
      </c>
      <c r="E134" s="901">
        <v>6.5000000000000002E-2</v>
      </c>
      <c r="F134" s="902">
        <v>0.13</v>
      </c>
    </row>
    <row r="135" spans="1:6" ht="14.25" thickBot="1">
      <c r="A135" s="735" t="s">
        <v>56</v>
      </c>
      <c r="B135" s="729" t="s">
        <v>430</v>
      </c>
      <c r="C135" s="901">
        <v>0.123</v>
      </c>
      <c r="D135" s="901">
        <v>0.123</v>
      </c>
      <c r="E135" s="901">
        <v>0.11</v>
      </c>
      <c r="F135" s="913"/>
    </row>
    <row r="136" spans="1:6" ht="14.25" thickBot="1">
      <c r="A136" s="735" t="s">
        <v>56</v>
      </c>
      <c r="B136" s="729" t="s">
        <v>437</v>
      </c>
      <c r="C136" s="901">
        <v>0.13</v>
      </c>
      <c r="D136" s="901">
        <v>0.13</v>
      </c>
      <c r="E136" s="901">
        <v>0.125</v>
      </c>
      <c r="F136" s="913"/>
    </row>
    <row r="137" spans="1:6" ht="14.25" thickBot="1">
      <c r="A137" s="735" t="s">
        <v>56</v>
      </c>
      <c r="B137" s="729" t="s">
        <v>444</v>
      </c>
      <c r="C137" s="901">
        <v>0.121</v>
      </c>
      <c r="D137" s="901">
        <v>0.122</v>
      </c>
      <c r="E137" s="901">
        <v>0.115</v>
      </c>
      <c r="F137" s="913"/>
    </row>
    <row r="138" spans="1:6" ht="14.25" thickBot="1">
      <c r="A138" s="735" t="s">
        <v>56</v>
      </c>
      <c r="B138" s="729" t="s">
        <v>687</v>
      </c>
      <c r="C138" s="901">
        <v>0.105</v>
      </c>
      <c r="D138" s="901">
        <v>0.125</v>
      </c>
      <c r="E138" s="901">
        <v>0.112</v>
      </c>
      <c r="F138" s="913"/>
    </row>
    <row r="139" spans="1:6" ht="14.25" thickBot="1">
      <c r="A139" s="735" t="s">
        <v>56</v>
      </c>
      <c r="B139" s="729" t="s">
        <v>688</v>
      </c>
      <c r="C139" s="901">
        <v>0.127</v>
      </c>
      <c r="D139" s="901">
        <v>0.127</v>
      </c>
      <c r="E139" s="901">
        <v>0.122</v>
      </c>
      <c r="F139" s="902">
        <v>0.13</v>
      </c>
    </row>
    <row r="140" spans="1:6" ht="14.25" thickBot="1">
      <c r="A140" s="735" t="s">
        <v>56</v>
      </c>
      <c r="B140" s="729" t="s">
        <v>689</v>
      </c>
      <c r="C140" s="901">
        <v>0.125</v>
      </c>
      <c r="D140" s="901">
        <v>0.125</v>
      </c>
      <c r="E140" s="901">
        <v>0.11899999999999999</v>
      </c>
      <c r="F140" s="902">
        <v>0.13</v>
      </c>
    </row>
    <row r="141" spans="1:6" ht="14.25" thickBot="1">
      <c r="A141" s="735" t="s">
        <v>56</v>
      </c>
      <c r="B141" s="729" t="s">
        <v>463</v>
      </c>
      <c r="C141" s="901">
        <v>0.125</v>
      </c>
      <c r="D141" s="901">
        <v>0.125</v>
      </c>
      <c r="E141" s="901">
        <v>0.11700000000000001</v>
      </c>
      <c r="F141" s="913"/>
    </row>
    <row r="142" spans="1:6" ht="14.25" thickBot="1">
      <c r="A142" s="735" t="s">
        <v>56</v>
      </c>
      <c r="B142" s="729" t="s">
        <v>468</v>
      </c>
      <c r="C142" s="901">
        <v>0.125</v>
      </c>
      <c r="D142" s="901">
        <v>0.125</v>
      </c>
      <c r="E142" s="901">
        <v>0.115</v>
      </c>
      <c r="F142" s="913"/>
    </row>
    <row r="143" spans="1:6" ht="14.25" thickBot="1">
      <c r="A143" s="735" t="s">
        <v>56</v>
      </c>
      <c r="B143" s="729" t="s">
        <v>473</v>
      </c>
      <c r="C143" s="901">
        <v>0.121</v>
      </c>
      <c r="D143" s="901">
        <v>0.121</v>
      </c>
      <c r="E143" s="901">
        <v>0.108</v>
      </c>
      <c r="F143" s="913"/>
    </row>
    <row r="144" spans="1:6" ht="14.25" thickBot="1">
      <c r="A144" s="735" t="s">
        <v>56</v>
      </c>
      <c r="B144" s="905" t="s">
        <v>690</v>
      </c>
      <c r="C144" s="906">
        <v>0.126</v>
      </c>
      <c r="D144" s="906">
        <v>0.126</v>
      </c>
      <c r="E144" s="906">
        <v>0.121</v>
      </c>
      <c r="F144" s="913"/>
    </row>
    <row r="145" spans="1:6" ht="14.25" thickBot="1">
      <c r="A145" s="745" t="s">
        <v>56</v>
      </c>
      <c r="B145" s="907" t="s">
        <v>691</v>
      </c>
      <c r="C145" s="915"/>
      <c r="D145" s="915"/>
      <c r="E145" s="915"/>
      <c r="F145" s="908">
        <v>0.05</v>
      </c>
    </row>
    <row r="146" spans="1:6" ht="24.75" thickBot="1">
      <c r="A146" s="909" t="s">
        <v>56</v>
      </c>
      <c r="B146" s="739" t="s">
        <v>692</v>
      </c>
      <c r="C146" s="914"/>
      <c r="D146" s="914"/>
      <c r="E146" s="914"/>
      <c r="F146" s="910">
        <v>0.05</v>
      </c>
    </row>
    <row r="147" spans="1:6" ht="24.75" thickBot="1">
      <c r="A147" s="735" t="s">
        <v>56</v>
      </c>
      <c r="B147" s="729" t="s">
        <v>693</v>
      </c>
      <c r="C147" s="914"/>
      <c r="D147" s="914"/>
      <c r="E147" s="914"/>
      <c r="F147" s="902">
        <v>0.05</v>
      </c>
    </row>
    <row r="148" spans="1:6" ht="24.75" thickBot="1">
      <c r="A148" s="735" t="s">
        <v>56</v>
      </c>
      <c r="B148" s="729" t="s">
        <v>694</v>
      </c>
      <c r="C148" s="914"/>
      <c r="D148" s="914"/>
      <c r="E148" s="914"/>
      <c r="F148" s="902">
        <v>0.05</v>
      </c>
    </row>
    <row r="149" spans="1:6" ht="24.75" thickBot="1">
      <c r="A149" s="735" t="s">
        <v>56</v>
      </c>
      <c r="B149" s="729" t="s">
        <v>695</v>
      </c>
      <c r="C149" s="914"/>
      <c r="D149" s="914"/>
      <c r="E149" s="914"/>
      <c r="F149" s="902">
        <v>0.05</v>
      </c>
    </row>
    <row r="150" spans="1:6" ht="24.75" thickBot="1">
      <c r="A150" s="735" t="s">
        <v>56</v>
      </c>
      <c r="B150" s="729" t="s">
        <v>696</v>
      </c>
      <c r="C150" s="914"/>
      <c r="D150" s="914"/>
      <c r="E150" s="914"/>
      <c r="F150" s="902">
        <v>0.05</v>
      </c>
    </row>
    <row r="151" spans="1:6" ht="24.75" thickBot="1">
      <c r="A151" s="735" t="s">
        <v>56</v>
      </c>
      <c r="B151" s="729" t="s">
        <v>697</v>
      </c>
      <c r="C151" s="914"/>
      <c r="D151" s="914"/>
      <c r="E151" s="914"/>
      <c r="F151" s="902">
        <v>0.05</v>
      </c>
    </row>
    <row r="152" spans="1:6" ht="24.75" thickBot="1">
      <c r="A152" s="735" t="s">
        <v>56</v>
      </c>
      <c r="B152" s="729" t="s">
        <v>506</v>
      </c>
      <c r="C152" s="914"/>
      <c r="D152" s="914"/>
      <c r="E152" s="914"/>
      <c r="F152" s="902">
        <v>0.05</v>
      </c>
    </row>
    <row r="153" spans="1:6" ht="14.25" thickBot="1">
      <c r="A153" s="735" t="s">
        <v>56</v>
      </c>
      <c r="B153" s="729" t="s">
        <v>698</v>
      </c>
      <c r="C153" s="914"/>
      <c r="D153" s="914"/>
      <c r="E153" s="914"/>
      <c r="F153" s="902">
        <v>0.05</v>
      </c>
    </row>
    <row r="154" spans="1:6" ht="14.25" thickBot="1">
      <c r="A154" s="735" t="s">
        <v>56</v>
      </c>
      <c r="B154" s="729" t="s">
        <v>699</v>
      </c>
      <c r="C154" s="914"/>
      <c r="D154" s="914"/>
      <c r="E154" s="914"/>
      <c r="F154" s="902">
        <v>0.05</v>
      </c>
    </row>
    <row r="155" spans="1:6" ht="24.75" thickBot="1">
      <c r="A155" s="735" t="s">
        <v>56</v>
      </c>
      <c r="B155" s="729" t="s">
        <v>700</v>
      </c>
      <c r="C155" s="914"/>
      <c r="D155" s="914"/>
      <c r="E155" s="914"/>
      <c r="F155" s="902">
        <v>0.05</v>
      </c>
    </row>
    <row r="156" spans="1:6" ht="24.75" thickBot="1">
      <c r="A156" s="735" t="s">
        <v>56</v>
      </c>
      <c r="B156" s="729" t="s">
        <v>701</v>
      </c>
      <c r="C156" s="914"/>
      <c r="D156" s="914"/>
      <c r="E156" s="914"/>
      <c r="F156" s="902">
        <v>0.05</v>
      </c>
    </row>
    <row r="157" spans="1:6" ht="14.25" thickBot="1">
      <c r="A157" s="745" t="s">
        <v>56</v>
      </c>
      <c r="B157" s="741" t="s">
        <v>702</v>
      </c>
      <c r="C157" s="911"/>
      <c r="D157" s="911"/>
      <c r="E157" s="911"/>
      <c r="F157" s="904">
        <v>0.05</v>
      </c>
    </row>
    <row r="158" spans="1:6" ht="14.25" thickBot="1">
      <c r="A158" s="735" t="s">
        <v>525</v>
      </c>
      <c r="B158" s="736" t="s">
        <v>703</v>
      </c>
      <c r="C158" s="899">
        <v>0.13</v>
      </c>
      <c r="D158" s="899">
        <v>0.13</v>
      </c>
      <c r="E158" s="899">
        <v>0.13</v>
      </c>
      <c r="F158" s="900">
        <v>0.13</v>
      </c>
    </row>
    <row r="159" spans="1:6" ht="14.25" thickBot="1">
      <c r="A159" s="735" t="s">
        <v>525</v>
      </c>
      <c r="B159" s="729" t="s">
        <v>192</v>
      </c>
      <c r="C159" s="901">
        <v>0.13</v>
      </c>
      <c r="D159" s="901">
        <v>0.13</v>
      </c>
      <c r="E159" s="901">
        <v>0.13</v>
      </c>
      <c r="F159" s="902">
        <v>0.13</v>
      </c>
    </row>
    <row r="160" spans="1:6" ht="14.25" thickBot="1">
      <c r="A160" s="735" t="s">
        <v>525</v>
      </c>
      <c r="B160" s="729" t="s">
        <v>205</v>
      </c>
      <c r="C160" s="901">
        <v>0.13</v>
      </c>
      <c r="D160" s="901">
        <v>0.13</v>
      </c>
      <c r="E160" s="901">
        <v>0.129</v>
      </c>
      <c r="F160" s="902">
        <v>0.13</v>
      </c>
    </row>
    <row r="161" spans="1:6" ht="14.25" thickBot="1">
      <c r="A161" s="735" t="s">
        <v>525</v>
      </c>
      <c r="B161" s="729" t="s">
        <v>218</v>
      </c>
      <c r="C161" s="901">
        <v>0.128</v>
      </c>
      <c r="D161" s="901">
        <v>0.128</v>
      </c>
      <c r="E161" s="901">
        <v>0.125</v>
      </c>
      <c r="F161" s="902">
        <v>0.13</v>
      </c>
    </row>
    <row r="162" spans="1:6" ht="14.25" thickBot="1">
      <c r="A162" s="735" t="s">
        <v>525</v>
      </c>
      <c r="B162" s="729" t="s">
        <v>230</v>
      </c>
      <c r="C162" s="901">
        <v>0.122</v>
      </c>
      <c r="D162" s="901">
        <v>0.122</v>
      </c>
      <c r="E162" s="901">
        <v>0.126</v>
      </c>
      <c r="F162" s="902">
        <v>0.122</v>
      </c>
    </row>
    <row r="163" spans="1:6" ht="14.25" thickBot="1">
      <c r="A163" s="735" t="s">
        <v>525</v>
      </c>
      <c r="B163" s="729" t="s">
        <v>241</v>
      </c>
      <c r="C163" s="901">
        <v>0.13</v>
      </c>
      <c r="D163" s="901">
        <v>0.13</v>
      </c>
      <c r="E163" s="901">
        <v>0.125</v>
      </c>
      <c r="F163" s="902">
        <v>0.13</v>
      </c>
    </row>
    <row r="164" spans="1:6" ht="14.25" thickBot="1">
      <c r="A164" s="735" t="s">
        <v>525</v>
      </c>
      <c r="B164" s="729" t="s">
        <v>252</v>
      </c>
      <c r="C164" s="901">
        <v>0.13</v>
      </c>
      <c r="D164" s="901">
        <v>0.13</v>
      </c>
      <c r="E164" s="901">
        <v>0.13</v>
      </c>
      <c r="F164" s="902">
        <v>0.13</v>
      </c>
    </row>
    <row r="165" spans="1:6" ht="14.25" thickBot="1">
      <c r="A165" s="735" t="s">
        <v>525</v>
      </c>
      <c r="B165" s="729" t="s">
        <v>263</v>
      </c>
      <c r="C165" s="901">
        <v>0.13</v>
      </c>
      <c r="D165" s="901">
        <v>0.13</v>
      </c>
      <c r="E165" s="901">
        <v>0.124</v>
      </c>
      <c r="F165" s="902">
        <v>0.13</v>
      </c>
    </row>
    <row r="166" spans="1:6" ht="14.25" thickBot="1">
      <c r="A166" s="735" t="s">
        <v>525</v>
      </c>
      <c r="B166" s="729" t="s">
        <v>275</v>
      </c>
      <c r="C166" s="901">
        <v>0.13</v>
      </c>
      <c r="D166" s="901">
        <v>0.13</v>
      </c>
      <c r="E166" s="901">
        <v>0.13</v>
      </c>
      <c r="F166" s="902">
        <v>0.13</v>
      </c>
    </row>
    <row r="167" spans="1:6" ht="14.25" thickBot="1">
      <c r="A167" s="735" t="s">
        <v>525</v>
      </c>
      <c r="B167" s="729" t="s">
        <v>285</v>
      </c>
      <c r="C167" s="901">
        <v>0.125</v>
      </c>
      <c r="D167" s="901">
        <v>0.125</v>
      </c>
      <c r="E167" s="901">
        <v>0.121</v>
      </c>
      <c r="F167" s="913"/>
    </row>
    <row r="168" spans="1:6" ht="14.25" thickBot="1">
      <c r="A168" s="735" t="s">
        <v>525</v>
      </c>
      <c r="B168" s="729" t="s">
        <v>295</v>
      </c>
      <c r="C168" s="901">
        <v>0.13</v>
      </c>
      <c r="D168" s="901">
        <v>0.13</v>
      </c>
      <c r="E168" s="901">
        <v>0.126</v>
      </c>
      <c r="F168" s="913"/>
    </row>
    <row r="169" spans="1:6" ht="14.25" thickBot="1">
      <c r="A169" s="735" t="s">
        <v>525</v>
      </c>
      <c r="B169" s="729" t="s">
        <v>305</v>
      </c>
      <c r="C169" s="901">
        <v>0.128</v>
      </c>
      <c r="D169" s="901">
        <v>0.129</v>
      </c>
      <c r="E169" s="901">
        <v>0.13</v>
      </c>
      <c r="F169" s="913"/>
    </row>
    <row r="170" spans="1:6" ht="14.25" thickBot="1">
      <c r="A170" s="735" t="s">
        <v>525</v>
      </c>
      <c r="B170" s="729" t="s">
        <v>315</v>
      </c>
      <c r="C170" s="901">
        <v>0.14099999999999999</v>
      </c>
      <c r="D170" s="901">
        <v>0.13</v>
      </c>
      <c r="E170" s="901">
        <v>0.125</v>
      </c>
      <c r="F170" s="913"/>
    </row>
    <row r="171" spans="1:6" ht="14.25" thickBot="1">
      <c r="A171" s="735" t="s">
        <v>525</v>
      </c>
      <c r="B171" s="729" t="s">
        <v>704</v>
      </c>
      <c r="C171" s="901">
        <v>0.127</v>
      </c>
      <c r="D171" s="901">
        <v>0.126</v>
      </c>
      <c r="E171" s="901">
        <v>0.126</v>
      </c>
      <c r="F171" s="902">
        <v>0.11799999999999999</v>
      </c>
    </row>
    <row r="172" spans="1:6" ht="14.25" thickBot="1">
      <c r="A172" s="735" t="s">
        <v>525</v>
      </c>
      <c r="B172" s="729" t="s">
        <v>705</v>
      </c>
      <c r="C172" s="901">
        <v>0.13</v>
      </c>
      <c r="D172" s="901">
        <v>0.13</v>
      </c>
      <c r="E172" s="901">
        <v>0.13</v>
      </c>
      <c r="F172" s="913"/>
    </row>
    <row r="173" spans="1:6" ht="14.25" thickBot="1">
      <c r="A173" s="735" t="s">
        <v>525</v>
      </c>
      <c r="B173" s="729" t="s">
        <v>347</v>
      </c>
      <c r="C173" s="901">
        <v>0.13</v>
      </c>
      <c r="D173" s="901">
        <v>0.13</v>
      </c>
      <c r="E173" s="901">
        <v>0.13</v>
      </c>
      <c r="F173" s="913"/>
    </row>
    <row r="174" spans="1:6" ht="14.25" thickBot="1">
      <c r="A174" s="735" t="s">
        <v>525</v>
      </c>
      <c r="B174" s="729" t="s">
        <v>706</v>
      </c>
      <c r="C174" s="901">
        <v>0.13</v>
      </c>
      <c r="D174" s="901">
        <v>0.13</v>
      </c>
      <c r="E174" s="901">
        <v>0.13</v>
      </c>
      <c r="F174" s="902">
        <v>0.13</v>
      </c>
    </row>
    <row r="175" spans="1:6" ht="14.25" thickBot="1">
      <c r="A175" s="735" t="s">
        <v>525</v>
      </c>
      <c r="B175" s="729" t="s">
        <v>707</v>
      </c>
      <c r="C175" s="901">
        <v>0.13</v>
      </c>
      <c r="D175" s="901">
        <v>0.13</v>
      </c>
      <c r="E175" s="901">
        <v>0.13</v>
      </c>
      <c r="F175" s="902">
        <v>0.13</v>
      </c>
    </row>
    <row r="176" spans="1:6" ht="14.25" thickBot="1">
      <c r="A176" s="735" t="s">
        <v>525</v>
      </c>
      <c r="B176" s="729" t="s">
        <v>377</v>
      </c>
      <c r="C176" s="901">
        <v>0.13</v>
      </c>
      <c r="D176" s="901">
        <v>0.13</v>
      </c>
      <c r="E176" s="901">
        <v>0.13</v>
      </c>
      <c r="F176" s="902">
        <v>0.13</v>
      </c>
    </row>
    <row r="177" spans="1:6" ht="14.25" thickBot="1">
      <c r="A177" s="735" t="s">
        <v>525</v>
      </c>
      <c r="B177" s="729" t="s">
        <v>708</v>
      </c>
      <c r="C177" s="901">
        <v>0.13</v>
      </c>
      <c r="D177" s="901">
        <v>0.13</v>
      </c>
      <c r="E177" s="901">
        <v>0.13</v>
      </c>
      <c r="F177" s="902">
        <v>0.13</v>
      </c>
    </row>
    <row r="178" spans="1:6" ht="14.25" thickBot="1">
      <c r="A178" s="735" t="s">
        <v>525</v>
      </c>
      <c r="B178" s="729" t="s">
        <v>395</v>
      </c>
      <c r="C178" s="901">
        <v>0.13</v>
      </c>
      <c r="D178" s="901">
        <v>0.13</v>
      </c>
      <c r="E178" s="901">
        <v>0.13</v>
      </c>
      <c r="F178" s="902">
        <v>0.127</v>
      </c>
    </row>
    <row r="179" spans="1:6" ht="14.25" thickBot="1">
      <c r="A179" s="735" t="s">
        <v>525</v>
      </c>
      <c r="B179" s="729" t="s">
        <v>403</v>
      </c>
      <c r="C179" s="901">
        <v>0.13</v>
      </c>
      <c r="D179" s="901">
        <v>0.13</v>
      </c>
      <c r="E179" s="901">
        <v>0.13</v>
      </c>
      <c r="F179" s="913"/>
    </row>
    <row r="180" spans="1:6" ht="14.25" thickBot="1">
      <c r="A180" s="735" t="s">
        <v>525</v>
      </c>
      <c r="B180" s="729" t="s">
        <v>709</v>
      </c>
      <c r="C180" s="901">
        <v>0.13</v>
      </c>
      <c r="D180" s="901">
        <v>0.13</v>
      </c>
      <c r="E180" s="901">
        <v>0.125</v>
      </c>
      <c r="F180" s="902">
        <v>0.13</v>
      </c>
    </row>
    <row r="181" spans="1:6" ht="14.25" thickBot="1">
      <c r="A181" s="735" t="s">
        <v>525</v>
      </c>
      <c r="B181" s="729" t="s">
        <v>417</v>
      </c>
      <c r="C181" s="901">
        <v>0.122</v>
      </c>
      <c r="D181" s="901">
        <v>0.123</v>
      </c>
      <c r="E181" s="901">
        <v>0.126</v>
      </c>
      <c r="F181" s="902">
        <v>0.121</v>
      </c>
    </row>
    <row r="182" spans="1:6" ht="14.25" thickBot="1">
      <c r="A182" s="735" t="s">
        <v>525</v>
      </c>
      <c r="B182" s="729" t="s">
        <v>424</v>
      </c>
      <c r="C182" s="901">
        <v>0.125</v>
      </c>
      <c r="D182" s="901">
        <v>0.125</v>
      </c>
      <c r="E182" s="901">
        <v>0.11700000000000001</v>
      </c>
      <c r="F182" s="902">
        <v>0.13</v>
      </c>
    </row>
    <row r="183" spans="1:6" ht="14.25" thickBot="1">
      <c r="A183" s="735" t="s">
        <v>525</v>
      </c>
      <c r="B183" s="729" t="s">
        <v>431</v>
      </c>
      <c r="C183" s="901">
        <v>0.127</v>
      </c>
      <c r="D183" s="901">
        <v>0.127</v>
      </c>
      <c r="E183" s="901">
        <v>0.128</v>
      </c>
      <c r="F183" s="913"/>
    </row>
    <row r="184" spans="1:6" ht="14.25" thickBot="1">
      <c r="A184" s="735" t="s">
        <v>525</v>
      </c>
      <c r="B184" s="729" t="s">
        <v>438</v>
      </c>
      <c r="C184" s="901">
        <v>0.125</v>
      </c>
      <c r="D184" s="901">
        <v>0.125</v>
      </c>
      <c r="E184" s="901">
        <v>0.127</v>
      </c>
      <c r="F184" s="913"/>
    </row>
    <row r="185" spans="1:6" ht="14.25" thickBot="1">
      <c r="A185" s="735" t="s">
        <v>525</v>
      </c>
      <c r="B185" s="729" t="s">
        <v>710</v>
      </c>
      <c r="C185" s="901">
        <v>0.127</v>
      </c>
      <c r="D185" s="901">
        <v>0.127</v>
      </c>
      <c r="E185" s="901">
        <v>0.128</v>
      </c>
      <c r="F185" s="902">
        <v>0.13</v>
      </c>
    </row>
    <row r="186" spans="1:6" ht="24.75" thickBot="1">
      <c r="A186" s="735" t="s">
        <v>525</v>
      </c>
      <c r="B186" s="729" t="s">
        <v>711</v>
      </c>
      <c r="C186" s="914"/>
      <c r="D186" s="914"/>
      <c r="E186" s="914"/>
      <c r="F186" s="902">
        <v>0.05</v>
      </c>
    </row>
    <row r="187" spans="1:6" ht="14.25" thickBot="1">
      <c r="A187" s="735" t="s">
        <v>525</v>
      </c>
      <c r="B187" s="729" t="s">
        <v>712</v>
      </c>
      <c r="C187" s="914"/>
      <c r="D187" s="914"/>
      <c r="E187" s="914"/>
      <c r="F187" s="902">
        <v>0.05</v>
      </c>
    </row>
    <row r="188" spans="1:6" ht="14.25" thickBot="1">
      <c r="A188" s="735" t="s">
        <v>525</v>
      </c>
      <c r="B188" s="729" t="s">
        <v>713</v>
      </c>
      <c r="C188" s="914"/>
      <c r="D188" s="914"/>
      <c r="E188" s="914"/>
      <c r="F188" s="902">
        <v>0.05</v>
      </c>
    </row>
    <row r="189" spans="1:6" ht="24.75" thickBot="1">
      <c r="A189" s="735" t="s">
        <v>525</v>
      </c>
      <c r="B189" s="729" t="s">
        <v>714</v>
      </c>
      <c r="C189" s="914"/>
      <c r="D189" s="914"/>
      <c r="E189" s="914"/>
      <c r="F189" s="902">
        <v>0.05</v>
      </c>
    </row>
    <row r="190" spans="1:6" ht="24.75" thickBot="1">
      <c r="A190" s="735" t="s">
        <v>525</v>
      </c>
      <c r="B190" s="729" t="s">
        <v>715</v>
      </c>
      <c r="C190" s="914"/>
      <c r="D190" s="914"/>
      <c r="E190" s="914"/>
      <c r="F190" s="902">
        <v>0.05</v>
      </c>
    </row>
    <row r="191" spans="1:6" ht="24.75" thickBot="1">
      <c r="A191" s="735" t="s">
        <v>525</v>
      </c>
      <c r="B191" s="729" t="s">
        <v>716</v>
      </c>
      <c r="C191" s="914"/>
      <c r="D191" s="914"/>
      <c r="E191" s="914"/>
      <c r="F191" s="902">
        <v>0.05</v>
      </c>
    </row>
    <row r="192" spans="1:6" ht="24.75" thickBot="1">
      <c r="A192" s="735" t="s">
        <v>525</v>
      </c>
      <c r="B192" s="729" t="s">
        <v>717</v>
      </c>
      <c r="C192" s="914"/>
      <c r="D192" s="914"/>
      <c r="E192" s="914"/>
      <c r="F192" s="902">
        <v>0.05</v>
      </c>
    </row>
    <row r="193" spans="1:6" ht="24.75" thickBot="1">
      <c r="A193" s="735" t="s">
        <v>525</v>
      </c>
      <c r="B193" s="729" t="s">
        <v>718</v>
      </c>
      <c r="C193" s="914"/>
      <c r="D193" s="914"/>
      <c r="E193" s="914"/>
      <c r="F193" s="902">
        <v>0.05</v>
      </c>
    </row>
    <row r="194" spans="1:6" ht="24.75" thickBot="1">
      <c r="A194" s="735" t="s">
        <v>525</v>
      </c>
      <c r="B194" s="729" t="s">
        <v>719</v>
      </c>
      <c r="C194" s="914"/>
      <c r="D194" s="914"/>
      <c r="E194" s="914"/>
      <c r="F194" s="902">
        <v>0.05</v>
      </c>
    </row>
    <row r="195" spans="1:6" ht="14.25" thickBot="1">
      <c r="A195" s="735" t="s">
        <v>525</v>
      </c>
      <c r="B195" s="729" t="s">
        <v>720</v>
      </c>
      <c r="C195" s="914"/>
      <c r="D195" s="914"/>
      <c r="E195" s="914"/>
      <c r="F195" s="902">
        <v>0.05</v>
      </c>
    </row>
    <row r="196" spans="1:6" ht="24.75" thickBot="1">
      <c r="A196" s="735" t="s">
        <v>525</v>
      </c>
      <c r="B196" s="729" t="s">
        <v>721</v>
      </c>
      <c r="C196" s="914"/>
      <c r="D196" s="914"/>
      <c r="E196" s="914"/>
      <c r="F196" s="902">
        <v>0.05</v>
      </c>
    </row>
    <row r="197" spans="1:6" ht="24.75" thickBot="1">
      <c r="A197" s="735" t="s">
        <v>525</v>
      </c>
      <c r="B197" s="729" t="s">
        <v>722</v>
      </c>
      <c r="C197" s="914"/>
      <c r="D197" s="914"/>
      <c r="E197" s="914"/>
      <c r="F197" s="902">
        <v>0.05</v>
      </c>
    </row>
    <row r="198" spans="1:6" ht="24.75" thickBot="1">
      <c r="A198" s="735" t="s">
        <v>525</v>
      </c>
      <c r="B198" s="729" t="s">
        <v>723</v>
      </c>
      <c r="C198" s="914"/>
      <c r="D198" s="914"/>
      <c r="E198" s="914"/>
      <c r="F198" s="902">
        <v>0.05</v>
      </c>
    </row>
    <row r="199" spans="1:6" ht="24.75" thickBot="1">
      <c r="A199" s="735" t="s">
        <v>525</v>
      </c>
      <c r="B199" s="729" t="s">
        <v>724</v>
      </c>
      <c r="C199" s="914"/>
      <c r="D199" s="914"/>
      <c r="E199" s="914"/>
      <c r="F199" s="902">
        <v>0.05</v>
      </c>
    </row>
    <row r="200" spans="1:6" ht="24.75" thickBot="1">
      <c r="A200" s="735" t="s">
        <v>525</v>
      </c>
      <c r="B200" s="729" t="s">
        <v>725</v>
      </c>
      <c r="C200" s="914"/>
      <c r="D200" s="914"/>
      <c r="E200" s="914"/>
      <c r="F200" s="902">
        <v>0.05</v>
      </c>
    </row>
    <row r="201" spans="1:6" ht="24.75" thickBot="1">
      <c r="A201" s="735" t="s">
        <v>525</v>
      </c>
      <c r="B201" s="729" t="s">
        <v>726</v>
      </c>
      <c r="C201" s="914"/>
      <c r="D201" s="914"/>
      <c r="E201" s="914"/>
      <c r="F201" s="902">
        <v>0.05</v>
      </c>
    </row>
    <row r="202" spans="1:6" ht="24.75" thickBot="1">
      <c r="A202" s="735" t="s">
        <v>525</v>
      </c>
      <c r="B202" s="729" t="s">
        <v>727</v>
      </c>
      <c r="C202" s="914"/>
      <c r="D202" s="914"/>
      <c r="E202" s="914"/>
      <c r="F202" s="902">
        <v>0.05</v>
      </c>
    </row>
    <row r="203" spans="1:6" ht="24.75" thickBot="1">
      <c r="A203" s="735" t="s">
        <v>525</v>
      </c>
      <c r="B203" s="729" t="s">
        <v>728</v>
      </c>
      <c r="C203" s="914"/>
      <c r="D203" s="914"/>
      <c r="E203" s="914"/>
      <c r="F203" s="902">
        <v>0.05</v>
      </c>
    </row>
    <row r="204" spans="1:6" ht="14.25" thickBot="1">
      <c r="A204" s="735" t="s">
        <v>525</v>
      </c>
      <c r="B204" s="729" t="s">
        <v>729</v>
      </c>
      <c r="C204" s="914"/>
      <c r="D204" s="914"/>
      <c r="E204" s="914"/>
      <c r="F204" s="902">
        <v>0.05</v>
      </c>
    </row>
    <row r="205" spans="1:6" ht="14.25" thickBot="1">
      <c r="A205" s="745" t="s">
        <v>525</v>
      </c>
      <c r="B205" s="741" t="s">
        <v>730</v>
      </c>
      <c r="C205" s="911"/>
      <c r="D205" s="911"/>
      <c r="E205" s="911"/>
      <c r="F205" s="904">
        <v>0.05</v>
      </c>
    </row>
    <row r="206" spans="1:6" ht="14.25" thickBot="1">
      <c r="A206" s="735" t="s">
        <v>527</v>
      </c>
      <c r="B206" s="736" t="s">
        <v>731</v>
      </c>
      <c r="C206" s="899">
        <v>0.15</v>
      </c>
      <c r="D206" s="899">
        <v>0.15</v>
      </c>
      <c r="E206" s="899">
        <v>0.15</v>
      </c>
      <c r="F206" s="900">
        <v>0.15</v>
      </c>
    </row>
    <row r="207" spans="1:6" ht="14.25" thickBot="1">
      <c r="A207" s="735" t="s">
        <v>527</v>
      </c>
      <c r="B207" s="729" t="s">
        <v>193</v>
      </c>
      <c r="C207" s="901">
        <v>0.15</v>
      </c>
      <c r="D207" s="901">
        <v>0.15</v>
      </c>
      <c r="E207" s="901">
        <v>0.15</v>
      </c>
      <c r="F207" s="902">
        <v>0.14399999999999999</v>
      </c>
    </row>
    <row r="208" spans="1:6" ht="14.25" thickBot="1">
      <c r="A208" s="735" t="s">
        <v>527</v>
      </c>
      <c r="B208" s="729" t="s">
        <v>206</v>
      </c>
      <c r="C208" s="901">
        <v>0.15</v>
      </c>
      <c r="D208" s="901">
        <v>0.15</v>
      </c>
      <c r="E208" s="901">
        <v>0.15</v>
      </c>
      <c r="F208" s="902">
        <v>0.15</v>
      </c>
    </row>
    <row r="209" spans="1:6" ht="14.25" thickBot="1">
      <c r="A209" s="735" t="s">
        <v>527</v>
      </c>
      <c r="B209" s="729" t="s">
        <v>219</v>
      </c>
      <c r="C209" s="901">
        <v>0.13700000000000001</v>
      </c>
      <c r="D209" s="901">
        <v>0.13700000000000001</v>
      </c>
      <c r="E209" s="901">
        <v>0.14000000000000001</v>
      </c>
      <c r="F209" s="902">
        <v>0.11700000000000001</v>
      </c>
    </row>
    <row r="210" spans="1:6" ht="14.25" thickBot="1">
      <c r="A210" s="735" t="s">
        <v>527</v>
      </c>
      <c r="B210" s="729" t="s">
        <v>732</v>
      </c>
      <c r="C210" s="901">
        <v>0.15</v>
      </c>
      <c r="D210" s="901">
        <v>0.15</v>
      </c>
      <c r="E210" s="901">
        <v>0.15</v>
      </c>
      <c r="F210" s="902">
        <v>0.13800000000000001</v>
      </c>
    </row>
    <row r="211" spans="1:6" ht="14.25" thickBot="1">
      <c r="A211" s="735" t="s">
        <v>527</v>
      </c>
      <c r="B211" s="729" t="s">
        <v>733</v>
      </c>
      <c r="C211" s="901">
        <v>0.13700000000000001</v>
      </c>
      <c r="D211" s="901">
        <v>0.13500000000000001</v>
      </c>
      <c r="E211" s="901">
        <v>0.13600000000000001</v>
      </c>
      <c r="F211" s="902">
        <v>0.1</v>
      </c>
    </row>
    <row r="212" spans="1:6" ht="14.25" thickBot="1">
      <c r="A212" s="735" t="s">
        <v>527</v>
      </c>
      <c r="B212" s="729" t="s">
        <v>734</v>
      </c>
      <c r="C212" s="901">
        <v>0.15</v>
      </c>
      <c r="D212" s="901">
        <v>0.15</v>
      </c>
      <c r="E212" s="901">
        <v>0.14799999999999999</v>
      </c>
      <c r="F212" s="902">
        <v>0.13600000000000001</v>
      </c>
    </row>
    <row r="213" spans="1:6" ht="14.25" thickBot="1">
      <c r="A213" s="735" t="s">
        <v>527</v>
      </c>
      <c r="B213" s="729" t="s">
        <v>264</v>
      </c>
      <c r="C213" s="901">
        <v>0.15</v>
      </c>
      <c r="D213" s="901">
        <v>0.15</v>
      </c>
      <c r="E213" s="901">
        <v>0.15</v>
      </c>
      <c r="F213" s="902">
        <v>0.13800000000000001</v>
      </c>
    </row>
    <row r="214" spans="1:6" ht="14.25" thickBot="1">
      <c r="A214" s="735" t="s">
        <v>527</v>
      </c>
      <c r="B214" s="729" t="s">
        <v>276</v>
      </c>
      <c r="C214" s="901">
        <v>9.0999999999999998E-2</v>
      </c>
      <c r="D214" s="901">
        <v>0.09</v>
      </c>
      <c r="E214" s="901">
        <v>9.1999999999999998E-2</v>
      </c>
      <c r="F214" s="913"/>
    </row>
    <row r="215" spans="1:6" ht="14.25" thickBot="1">
      <c r="A215" s="735" t="s">
        <v>527</v>
      </c>
      <c r="B215" s="729" t="s">
        <v>735</v>
      </c>
      <c r="C215" s="901">
        <v>0.15</v>
      </c>
      <c r="D215" s="901">
        <v>0.15</v>
      </c>
      <c r="E215" s="901">
        <v>0.15</v>
      </c>
      <c r="F215" s="902">
        <v>0.15</v>
      </c>
    </row>
    <row r="216" spans="1:6" ht="14.25" thickBot="1">
      <c r="A216" s="735" t="s">
        <v>527</v>
      </c>
      <c r="B216" s="729" t="s">
        <v>296</v>
      </c>
      <c r="C216" s="901">
        <v>0.14699999999999999</v>
      </c>
      <c r="D216" s="901">
        <v>0.14699999999999999</v>
      </c>
      <c r="E216" s="901">
        <v>0.15</v>
      </c>
      <c r="F216" s="902">
        <v>0.14000000000000001</v>
      </c>
    </row>
    <row r="217" spans="1:6" ht="14.25" thickBot="1">
      <c r="A217" s="735" t="s">
        <v>527</v>
      </c>
      <c r="B217" s="729" t="s">
        <v>306</v>
      </c>
      <c r="C217" s="901">
        <v>0.15</v>
      </c>
      <c r="D217" s="901">
        <v>0.15</v>
      </c>
      <c r="E217" s="901">
        <v>0.15</v>
      </c>
      <c r="F217" s="902">
        <v>0.15</v>
      </c>
    </row>
    <row r="218" spans="1:6" ht="14.25" thickBot="1">
      <c r="A218" s="735" t="s">
        <v>527</v>
      </c>
      <c r="B218" s="729" t="s">
        <v>736</v>
      </c>
      <c r="C218" s="901">
        <v>0.15</v>
      </c>
      <c r="D218" s="901">
        <v>0.15</v>
      </c>
      <c r="E218" s="901">
        <v>0.15</v>
      </c>
      <c r="F218" s="902">
        <v>0.15</v>
      </c>
    </row>
    <row r="219" spans="1:6" ht="14.25" thickBot="1">
      <c r="A219" s="735" t="s">
        <v>527</v>
      </c>
      <c r="B219" s="729" t="s">
        <v>327</v>
      </c>
      <c r="C219" s="901">
        <v>0.15</v>
      </c>
      <c r="D219" s="901">
        <v>0.15</v>
      </c>
      <c r="E219" s="901">
        <v>0.15</v>
      </c>
      <c r="F219" s="902">
        <v>0.14799999999999999</v>
      </c>
    </row>
    <row r="220" spans="1:6" ht="14.25" thickBot="1">
      <c r="A220" s="735" t="s">
        <v>527</v>
      </c>
      <c r="B220" s="729" t="s">
        <v>737</v>
      </c>
      <c r="C220" s="901">
        <v>0.15</v>
      </c>
      <c r="D220" s="901">
        <v>0.15</v>
      </c>
      <c r="E220" s="901">
        <v>0.15</v>
      </c>
      <c r="F220" s="902">
        <v>0.15</v>
      </c>
    </row>
    <row r="221" spans="1:6" ht="14.25" thickBot="1">
      <c r="A221" s="735" t="s">
        <v>527</v>
      </c>
      <c r="B221" s="729" t="s">
        <v>348</v>
      </c>
      <c r="C221" s="901"/>
      <c r="D221" s="914"/>
      <c r="E221" s="914"/>
      <c r="F221" s="902">
        <v>0.14799999999999999</v>
      </c>
    </row>
    <row r="222" spans="1:6" ht="14.25" thickBot="1">
      <c r="A222" s="735" t="s">
        <v>527</v>
      </c>
      <c r="B222" s="729" t="s">
        <v>358</v>
      </c>
      <c r="C222" s="901"/>
      <c r="D222" s="914"/>
      <c r="E222" s="914"/>
      <c r="F222" s="902">
        <v>0.1</v>
      </c>
    </row>
    <row r="223" spans="1:6" ht="14.25" thickBot="1">
      <c r="A223" s="735" t="s">
        <v>527</v>
      </c>
      <c r="B223" s="729" t="s">
        <v>368</v>
      </c>
      <c r="C223" s="901"/>
      <c r="D223" s="914"/>
      <c r="E223" s="914"/>
      <c r="F223" s="902">
        <v>0.15</v>
      </c>
    </row>
    <row r="224" spans="1:6" ht="14.25" thickBot="1">
      <c r="A224" s="735" t="s">
        <v>527</v>
      </c>
      <c r="B224" s="729" t="s">
        <v>378</v>
      </c>
      <c r="C224" s="901"/>
      <c r="D224" s="914"/>
      <c r="E224" s="914"/>
      <c r="F224" s="902">
        <v>0.15</v>
      </c>
    </row>
    <row r="225" spans="1:6" ht="14.25" thickBot="1">
      <c r="A225" s="735" t="s">
        <v>527</v>
      </c>
      <c r="B225" s="729" t="s">
        <v>738</v>
      </c>
      <c r="C225" s="901">
        <v>0.15</v>
      </c>
      <c r="D225" s="901">
        <v>0.15</v>
      </c>
      <c r="E225" s="901">
        <v>0.15</v>
      </c>
      <c r="F225" s="902">
        <v>0.15</v>
      </c>
    </row>
    <row r="226" spans="1:6" ht="14.25" thickBot="1">
      <c r="A226" s="735" t="s">
        <v>527</v>
      </c>
      <c r="B226" s="729" t="s">
        <v>396</v>
      </c>
      <c r="C226" s="901">
        <v>0.15</v>
      </c>
      <c r="D226" s="901">
        <v>0.15</v>
      </c>
      <c r="E226" s="901">
        <v>0.15</v>
      </c>
      <c r="F226" s="902">
        <v>0.14799999999999999</v>
      </c>
    </row>
    <row r="227" spans="1:6" ht="14.25" thickBot="1">
      <c r="A227" s="735" t="s">
        <v>527</v>
      </c>
      <c r="B227" s="729" t="s">
        <v>739</v>
      </c>
      <c r="C227" s="901">
        <v>0.15</v>
      </c>
      <c r="D227" s="901">
        <v>0.15</v>
      </c>
      <c r="E227" s="901">
        <v>0.15</v>
      </c>
      <c r="F227" s="902">
        <v>0.15</v>
      </c>
    </row>
    <row r="228" spans="1:6" ht="14.25" thickBot="1">
      <c r="A228" s="735" t="s">
        <v>527</v>
      </c>
      <c r="B228" s="729" t="s">
        <v>411</v>
      </c>
      <c r="C228" s="901">
        <v>0.15</v>
      </c>
      <c r="D228" s="901">
        <v>0.15</v>
      </c>
      <c r="E228" s="901">
        <v>0.15</v>
      </c>
      <c r="F228" s="902">
        <v>0.15</v>
      </c>
    </row>
    <row r="229" spans="1:6" ht="14.25" thickBot="1">
      <c r="A229" s="735" t="s">
        <v>527</v>
      </c>
      <c r="B229" s="729" t="s">
        <v>418</v>
      </c>
      <c r="C229" s="901">
        <v>0.15</v>
      </c>
      <c r="D229" s="901">
        <v>0.15</v>
      </c>
      <c r="E229" s="901">
        <v>0.15</v>
      </c>
      <c r="F229" s="913"/>
    </row>
    <row r="230" spans="1:6" ht="14.25" thickBot="1">
      <c r="A230" s="735" t="s">
        <v>527</v>
      </c>
      <c r="B230" s="729" t="s">
        <v>425</v>
      </c>
      <c r="C230" s="901">
        <v>0.14499999999999999</v>
      </c>
      <c r="D230" s="901">
        <v>0.14499999999999999</v>
      </c>
      <c r="E230" s="901">
        <v>0.14399999999999999</v>
      </c>
      <c r="F230" s="913"/>
    </row>
    <row r="231" spans="1:6" ht="14.25" thickBot="1">
      <c r="A231" s="735" t="s">
        <v>527</v>
      </c>
      <c r="B231" s="729" t="s">
        <v>740</v>
      </c>
      <c r="C231" s="901">
        <v>0.128</v>
      </c>
      <c r="D231" s="901">
        <v>0.125</v>
      </c>
      <c r="E231" s="901">
        <v>0.13200000000000001</v>
      </c>
      <c r="F231" s="913"/>
    </row>
    <row r="232" spans="1:6" ht="14.25" thickBot="1">
      <c r="A232" s="735" t="s">
        <v>527</v>
      </c>
      <c r="B232" s="729" t="s">
        <v>741</v>
      </c>
      <c r="C232" s="901">
        <v>0.14499999999999999</v>
      </c>
      <c r="D232" s="901">
        <v>0.14399999999999999</v>
      </c>
      <c r="E232" s="901">
        <v>0.14599999999999999</v>
      </c>
      <c r="F232" s="902">
        <v>0.13800000000000001</v>
      </c>
    </row>
    <row r="233" spans="1:6" ht="14.25" thickBot="1">
      <c r="A233" s="735" t="s">
        <v>527</v>
      </c>
      <c r="B233" s="729" t="s">
        <v>742</v>
      </c>
      <c r="C233" s="901">
        <v>0.14499999999999999</v>
      </c>
      <c r="D233" s="901">
        <v>0.14299999999999999</v>
      </c>
      <c r="E233" s="901">
        <v>0.14199999999999999</v>
      </c>
      <c r="F233" s="913"/>
    </row>
    <row r="234" spans="1:6" ht="14.25" thickBot="1">
      <c r="A234" s="735" t="s">
        <v>527</v>
      </c>
      <c r="B234" s="729" t="s">
        <v>743</v>
      </c>
      <c r="C234" s="901">
        <v>0.14000000000000001</v>
      </c>
      <c r="D234" s="901">
        <v>0.14000000000000001</v>
      </c>
      <c r="E234" s="901">
        <v>0.14399999999999999</v>
      </c>
      <c r="F234" s="913"/>
    </row>
    <row r="235" spans="1:6" ht="14.25" thickBot="1">
      <c r="A235" s="735" t="s">
        <v>527</v>
      </c>
      <c r="B235" s="729" t="s">
        <v>744</v>
      </c>
      <c r="C235" s="901">
        <v>0.14099999999999999</v>
      </c>
      <c r="D235" s="901">
        <v>0.14199999999999999</v>
      </c>
      <c r="E235" s="901">
        <v>0.14499999999999999</v>
      </c>
      <c r="F235" s="902">
        <v>0.15</v>
      </c>
    </row>
    <row r="236" spans="1:6" ht="14.25" thickBot="1">
      <c r="A236" s="735" t="s">
        <v>527</v>
      </c>
      <c r="B236" s="729" t="s">
        <v>460</v>
      </c>
      <c r="C236" s="914"/>
      <c r="D236" s="914"/>
      <c r="E236" s="914"/>
      <c r="F236" s="902">
        <v>0.14299999999999999</v>
      </c>
    </row>
    <row r="237" spans="1:6" ht="24.75" thickBot="1">
      <c r="A237" s="735" t="s">
        <v>527</v>
      </c>
      <c r="B237" s="729" t="s">
        <v>745</v>
      </c>
      <c r="C237" s="914"/>
      <c r="D237" s="914"/>
      <c r="E237" s="914"/>
      <c r="F237" s="902">
        <v>0.05</v>
      </c>
    </row>
    <row r="238" spans="1:6" ht="24.75" thickBot="1">
      <c r="A238" s="735" t="s">
        <v>527</v>
      </c>
      <c r="B238" s="729" t="s">
        <v>746</v>
      </c>
      <c r="C238" s="914"/>
      <c r="D238" s="914"/>
      <c r="E238" s="914"/>
      <c r="F238" s="902">
        <v>0.05</v>
      </c>
    </row>
    <row r="239" spans="1:6" ht="24.75" thickBot="1">
      <c r="A239" s="735" t="s">
        <v>527</v>
      </c>
      <c r="B239" s="729" t="s">
        <v>747</v>
      </c>
      <c r="C239" s="914"/>
      <c r="D239" s="914"/>
      <c r="E239" s="914"/>
      <c r="F239" s="902">
        <v>0.05</v>
      </c>
    </row>
    <row r="240" spans="1:6" ht="24.75" thickBot="1">
      <c r="A240" s="735" t="s">
        <v>527</v>
      </c>
      <c r="B240" s="729" t="s">
        <v>748</v>
      </c>
      <c r="C240" s="914"/>
      <c r="D240" s="914"/>
      <c r="E240" s="914"/>
      <c r="F240" s="902">
        <v>0.05</v>
      </c>
    </row>
    <row r="241" spans="1:6" ht="24.75" thickBot="1">
      <c r="A241" s="735" t="s">
        <v>527</v>
      </c>
      <c r="B241" s="729" t="s">
        <v>749</v>
      </c>
      <c r="C241" s="914"/>
      <c r="D241" s="914"/>
      <c r="E241" s="914"/>
      <c r="F241" s="902">
        <v>0.05</v>
      </c>
    </row>
    <row r="242" spans="1:6" ht="24.75" thickBot="1">
      <c r="A242" s="735" t="s">
        <v>527</v>
      </c>
      <c r="B242" s="729" t="s">
        <v>750</v>
      </c>
      <c r="C242" s="914"/>
      <c r="D242" s="914"/>
      <c r="E242" s="914"/>
      <c r="F242" s="902">
        <v>0.05</v>
      </c>
    </row>
    <row r="243" spans="1:6" ht="24.75" thickBot="1">
      <c r="A243" s="735" t="s">
        <v>527</v>
      </c>
      <c r="B243" s="729" t="s">
        <v>751</v>
      </c>
      <c r="C243" s="914"/>
      <c r="D243" s="914"/>
      <c r="E243" s="914"/>
      <c r="F243" s="902">
        <v>0.05</v>
      </c>
    </row>
    <row r="244" spans="1:6" ht="24.75" thickBot="1">
      <c r="A244" s="745" t="s">
        <v>527</v>
      </c>
      <c r="B244" s="741" t="s">
        <v>752</v>
      </c>
      <c r="C244" s="911"/>
      <c r="D244" s="911"/>
      <c r="E244" s="911"/>
      <c r="F244" s="904">
        <v>0.05</v>
      </c>
    </row>
    <row r="245" spans="1:6" ht="14.25" thickBot="1">
      <c r="A245" s="735" t="s">
        <v>529</v>
      </c>
      <c r="B245" s="736" t="s">
        <v>753</v>
      </c>
      <c r="C245" s="899">
        <v>0.15</v>
      </c>
      <c r="D245" s="899">
        <v>0.15</v>
      </c>
      <c r="E245" s="899">
        <v>0.15</v>
      </c>
      <c r="F245" s="900">
        <v>0.14299999999999999</v>
      </c>
    </row>
    <row r="246" spans="1:6" ht="14.25" thickBot="1">
      <c r="A246" s="735" t="s">
        <v>529</v>
      </c>
      <c r="B246" s="729" t="s">
        <v>194</v>
      </c>
      <c r="C246" s="901">
        <v>0.15</v>
      </c>
      <c r="D246" s="901">
        <v>0.15</v>
      </c>
      <c r="E246" s="901">
        <v>0.15</v>
      </c>
      <c r="F246" s="902">
        <v>0.114</v>
      </c>
    </row>
    <row r="247" spans="1:6" ht="14.25" thickBot="1">
      <c r="A247" s="735" t="s">
        <v>529</v>
      </c>
      <c r="B247" s="729" t="s">
        <v>754</v>
      </c>
      <c r="C247" s="901">
        <v>0.15</v>
      </c>
      <c r="D247" s="901">
        <v>0.15</v>
      </c>
      <c r="E247" s="901">
        <v>0.15</v>
      </c>
      <c r="F247" s="902">
        <v>0.15</v>
      </c>
    </row>
    <row r="248" spans="1:6" ht="14.25" thickBot="1">
      <c r="A248" s="735" t="s">
        <v>529</v>
      </c>
      <c r="B248" s="729" t="s">
        <v>755</v>
      </c>
      <c r="C248" s="901">
        <v>0.15</v>
      </c>
      <c r="D248" s="901">
        <v>0.15</v>
      </c>
      <c r="E248" s="901">
        <v>0.15</v>
      </c>
      <c r="F248" s="902">
        <v>0.14000000000000001</v>
      </c>
    </row>
    <row r="249" spans="1:6" ht="14.25" thickBot="1">
      <c r="A249" s="735" t="s">
        <v>529</v>
      </c>
      <c r="B249" s="729" t="s">
        <v>756</v>
      </c>
      <c r="C249" s="901">
        <v>0.15</v>
      </c>
      <c r="D249" s="901">
        <v>0.14899999999999999</v>
      </c>
      <c r="E249" s="901">
        <v>0.15</v>
      </c>
      <c r="F249" s="902">
        <v>0.1</v>
      </c>
    </row>
    <row r="250" spans="1:6" ht="14.25" thickBot="1">
      <c r="A250" s="735" t="s">
        <v>529</v>
      </c>
      <c r="B250" s="729" t="s">
        <v>757</v>
      </c>
      <c r="C250" s="901">
        <v>0.15</v>
      </c>
      <c r="D250" s="901">
        <v>0.15</v>
      </c>
      <c r="E250" s="901">
        <v>0.15</v>
      </c>
      <c r="F250" s="902">
        <v>0.14399999999999999</v>
      </c>
    </row>
    <row r="251" spans="1:6" ht="14.25" thickBot="1">
      <c r="A251" s="735" t="s">
        <v>529</v>
      </c>
      <c r="B251" s="729" t="s">
        <v>254</v>
      </c>
      <c r="C251" s="901">
        <v>0.15</v>
      </c>
      <c r="D251" s="901">
        <v>0.15</v>
      </c>
      <c r="E251" s="901">
        <v>0.15</v>
      </c>
      <c r="F251" s="902">
        <v>0.14299999999999999</v>
      </c>
    </row>
    <row r="252" spans="1:6" ht="14.25" thickBot="1">
      <c r="A252" s="735" t="s">
        <v>529</v>
      </c>
      <c r="B252" s="729" t="s">
        <v>265</v>
      </c>
      <c r="C252" s="901">
        <v>0.15</v>
      </c>
      <c r="D252" s="901">
        <v>0.15</v>
      </c>
      <c r="E252" s="901">
        <v>0.15</v>
      </c>
      <c r="F252" s="902">
        <v>0.1</v>
      </c>
    </row>
    <row r="253" spans="1:6" ht="14.25" thickBot="1">
      <c r="A253" s="735" t="s">
        <v>529</v>
      </c>
      <c r="B253" s="729" t="s">
        <v>277</v>
      </c>
      <c r="C253" s="901">
        <v>0.15</v>
      </c>
      <c r="D253" s="901">
        <v>0.15</v>
      </c>
      <c r="E253" s="901">
        <v>0.15</v>
      </c>
      <c r="F253" s="902">
        <v>0.1</v>
      </c>
    </row>
    <row r="254" spans="1:6" ht="14.25" thickBot="1">
      <c r="A254" s="735" t="s">
        <v>529</v>
      </c>
      <c r="B254" s="729" t="s">
        <v>287</v>
      </c>
      <c r="C254" s="914"/>
      <c r="D254" s="914"/>
      <c r="E254" s="914"/>
      <c r="F254" s="902">
        <v>0.15</v>
      </c>
    </row>
    <row r="255" spans="1:6" ht="14.25" thickBot="1">
      <c r="A255" s="735" t="s">
        <v>529</v>
      </c>
      <c r="B255" s="729" t="s">
        <v>297</v>
      </c>
      <c r="C255" s="914"/>
      <c r="D255" s="914"/>
      <c r="E255" s="914"/>
      <c r="F255" s="902">
        <v>0.14299999999999999</v>
      </c>
    </row>
    <row r="256" spans="1:6" ht="14.25" thickBot="1">
      <c r="A256" s="735" t="s">
        <v>529</v>
      </c>
      <c r="B256" s="729" t="s">
        <v>758</v>
      </c>
      <c r="C256" s="901">
        <v>0.14599999999999999</v>
      </c>
      <c r="D256" s="901">
        <v>0.14699999999999999</v>
      </c>
      <c r="E256" s="901">
        <v>0.15</v>
      </c>
      <c r="F256" s="902">
        <v>0.13200000000000001</v>
      </c>
    </row>
    <row r="257" spans="1:6" ht="14.25" thickBot="1">
      <c r="A257" s="735" t="s">
        <v>529</v>
      </c>
      <c r="B257" s="729" t="s">
        <v>317</v>
      </c>
      <c r="C257" s="901">
        <v>0.15</v>
      </c>
      <c r="D257" s="901">
        <v>0.15</v>
      </c>
      <c r="E257" s="901">
        <v>0.15</v>
      </c>
      <c r="F257" s="902">
        <v>0.13900000000000001</v>
      </c>
    </row>
    <row r="258" spans="1:6" ht="14.25" thickBot="1">
      <c r="A258" s="735" t="s">
        <v>529</v>
      </c>
      <c r="B258" s="729" t="s">
        <v>328</v>
      </c>
      <c r="C258" s="901">
        <v>0.15</v>
      </c>
      <c r="D258" s="901">
        <v>0.15</v>
      </c>
      <c r="E258" s="901">
        <v>0.15</v>
      </c>
      <c r="F258" s="902">
        <v>0.13</v>
      </c>
    </row>
    <row r="259" spans="1:6" ht="14.25" thickBot="1">
      <c r="A259" s="735" t="s">
        <v>529</v>
      </c>
      <c r="B259" s="729" t="s">
        <v>759</v>
      </c>
      <c r="C259" s="901">
        <v>0.14799999999999999</v>
      </c>
      <c r="D259" s="901">
        <v>0.14899999999999999</v>
      </c>
      <c r="E259" s="901">
        <v>0.15</v>
      </c>
      <c r="F259" s="902">
        <v>0.13700000000000001</v>
      </c>
    </row>
    <row r="260" spans="1:6" ht="14.25" thickBot="1">
      <c r="A260" s="735" t="s">
        <v>529</v>
      </c>
      <c r="B260" s="729" t="s">
        <v>349</v>
      </c>
      <c r="C260" s="901">
        <v>0.15</v>
      </c>
      <c r="D260" s="901">
        <v>0.15</v>
      </c>
      <c r="E260" s="901">
        <v>0.15</v>
      </c>
      <c r="F260" s="902">
        <v>0.14199999999999999</v>
      </c>
    </row>
    <row r="261" spans="1:6" ht="14.25" thickBot="1">
      <c r="A261" s="735" t="s">
        <v>529</v>
      </c>
      <c r="B261" s="729" t="s">
        <v>359</v>
      </c>
      <c r="C261" s="901">
        <v>0.15</v>
      </c>
      <c r="D261" s="901">
        <v>0.15</v>
      </c>
      <c r="E261" s="901">
        <v>0.14899999999999999</v>
      </c>
      <c r="F261" s="902">
        <v>0.14799999999999999</v>
      </c>
    </row>
    <row r="262" spans="1:6" ht="14.25" thickBot="1">
      <c r="A262" s="735" t="s">
        <v>529</v>
      </c>
      <c r="B262" s="729" t="s">
        <v>369</v>
      </c>
      <c r="C262" s="901">
        <v>0.15</v>
      </c>
      <c r="D262" s="901">
        <v>0.15</v>
      </c>
      <c r="E262" s="901">
        <v>0.15</v>
      </c>
      <c r="F262" s="913"/>
    </row>
    <row r="263" spans="1:6" ht="14.25" thickBot="1">
      <c r="A263" s="735" t="s">
        <v>529</v>
      </c>
      <c r="B263" s="729" t="s">
        <v>760</v>
      </c>
      <c r="C263" s="901">
        <v>0.14899999999999999</v>
      </c>
      <c r="D263" s="901">
        <v>0.14899999999999999</v>
      </c>
      <c r="E263" s="901">
        <v>0.15</v>
      </c>
      <c r="F263" s="902">
        <v>0.13</v>
      </c>
    </row>
    <row r="264" spans="1:6" ht="14.25" thickBot="1">
      <c r="A264" s="735" t="s">
        <v>529</v>
      </c>
      <c r="B264" s="729" t="s">
        <v>388</v>
      </c>
      <c r="C264" s="901">
        <v>0.14799999999999999</v>
      </c>
      <c r="D264" s="901">
        <v>0.14699999999999999</v>
      </c>
      <c r="E264" s="901">
        <v>0.15</v>
      </c>
      <c r="F264" s="902">
        <v>7.8E-2</v>
      </c>
    </row>
    <row r="265" spans="1:6" ht="14.25" thickBot="1">
      <c r="A265" s="735" t="s">
        <v>529</v>
      </c>
      <c r="B265" s="729" t="s">
        <v>397</v>
      </c>
      <c r="C265" s="901">
        <v>0.15</v>
      </c>
      <c r="D265" s="901">
        <v>0.15</v>
      </c>
      <c r="E265" s="901">
        <v>0.15</v>
      </c>
      <c r="F265" s="902">
        <v>7.3999999999999996E-2</v>
      </c>
    </row>
    <row r="266" spans="1:6" ht="14.25" thickBot="1">
      <c r="A266" s="735" t="s">
        <v>529</v>
      </c>
      <c r="B266" s="729" t="s">
        <v>405</v>
      </c>
      <c r="C266" s="901">
        <v>0.14699999999999999</v>
      </c>
      <c r="D266" s="901">
        <v>0.14699999999999999</v>
      </c>
      <c r="E266" s="901">
        <v>0.15</v>
      </c>
      <c r="F266" s="902">
        <v>0.14299999999999999</v>
      </c>
    </row>
    <row r="267" spans="1:6" ht="14.25" thickBot="1">
      <c r="A267" s="735" t="s">
        <v>529</v>
      </c>
      <c r="B267" s="729" t="s">
        <v>412</v>
      </c>
      <c r="C267" s="901">
        <v>0.14199999999999999</v>
      </c>
      <c r="D267" s="901">
        <v>0.14299999999999999</v>
      </c>
      <c r="E267" s="901">
        <v>0.15</v>
      </c>
      <c r="F267" s="913"/>
    </row>
    <row r="268" spans="1:6" ht="14.25" thickBot="1">
      <c r="A268" s="735" t="s">
        <v>529</v>
      </c>
      <c r="B268" s="729" t="s">
        <v>761</v>
      </c>
      <c r="C268" s="901">
        <v>0.15</v>
      </c>
      <c r="D268" s="901">
        <v>0.15</v>
      </c>
      <c r="E268" s="901">
        <v>0.15</v>
      </c>
      <c r="F268" s="902">
        <v>0.13</v>
      </c>
    </row>
    <row r="269" spans="1:6" ht="14.25" thickBot="1">
      <c r="A269" s="735" t="s">
        <v>529</v>
      </c>
      <c r="B269" s="729" t="s">
        <v>426</v>
      </c>
      <c r="C269" s="901">
        <v>0.15</v>
      </c>
      <c r="D269" s="901">
        <v>0.15</v>
      </c>
      <c r="E269" s="901">
        <v>0.15</v>
      </c>
      <c r="F269" s="902">
        <v>0.14299999999999999</v>
      </c>
    </row>
    <row r="270" spans="1:6" ht="14.25" thickBot="1">
      <c r="A270" s="735" t="s">
        <v>529</v>
      </c>
      <c r="B270" s="729" t="s">
        <v>433</v>
      </c>
      <c r="C270" s="901">
        <v>0.14499999999999999</v>
      </c>
      <c r="D270" s="901">
        <v>0.14499999999999999</v>
      </c>
      <c r="E270" s="901">
        <v>0.15</v>
      </c>
      <c r="F270" s="902">
        <v>0.14699999999999999</v>
      </c>
    </row>
    <row r="271" spans="1:6" ht="14.25" thickBot="1">
      <c r="A271" s="735" t="s">
        <v>529</v>
      </c>
      <c r="B271" s="729" t="s">
        <v>440</v>
      </c>
      <c r="C271" s="901">
        <v>0.15</v>
      </c>
      <c r="D271" s="901">
        <v>0.15</v>
      </c>
      <c r="E271" s="901">
        <v>0.15</v>
      </c>
      <c r="F271" s="902">
        <v>0.13800000000000001</v>
      </c>
    </row>
    <row r="272" spans="1:6" ht="14.25" thickBot="1">
      <c r="A272" s="735" t="s">
        <v>529</v>
      </c>
      <c r="B272" s="729" t="s">
        <v>447</v>
      </c>
      <c r="C272" s="914"/>
      <c r="D272" s="914"/>
      <c r="E272" s="914"/>
      <c r="F272" s="902">
        <v>0.14000000000000001</v>
      </c>
    </row>
    <row r="273" spans="1:6" ht="14.25" thickBot="1">
      <c r="A273" s="735" t="s">
        <v>529</v>
      </c>
      <c r="B273" s="729" t="s">
        <v>762</v>
      </c>
      <c r="C273" s="901">
        <v>0.14199999999999999</v>
      </c>
      <c r="D273" s="901">
        <v>0.14299999999999999</v>
      </c>
      <c r="E273" s="901">
        <v>0.15</v>
      </c>
      <c r="F273" s="902">
        <v>0.1</v>
      </c>
    </row>
    <row r="274" spans="1:6" ht="14.25" thickBot="1">
      <c r="A274" s="735" t="s">
        <v>529</v>
      </c>
      <c r="B274" s="729" t="s">
        <v>763</v>
      </c>
      <c r="C274" s="901">
        <v>0.14799999999999999</v>
      </c>
      <c r="D274" s="901">
        <v>0.14799999999999999</v>
      </c>
      <c r="E274" s="901">
        <v>0.15</v>
      </c>
      <c r="F274" s="902">
        <v>6.7000000000000004E-2</v>
      </c>
    </row>
    <row r="275" spans="1:6" ht="14.25" thickBot="1">
      <c r="A275" s="735" t="s">
        <v>529</v>
      </c>
      <c r="B275" s="729" t="s">
        <v>764</v>
      </c>
      <c r="C275" s="901">
        <v>0.15</v>
      </c>
      <c r="D275" s="901">
        <v>0.15</v>
      </c>
      <c r="E275" s="901">
        <v>0.15</v>
      </c>
      <c r="F275" s="902">
        <v>0.15</v>
      </c>
    </row>
    <row r="276" spans="1:6" ht="14.25" thickBot="1">
      <c r="A276" s="735" t="s">
        <v>529</v>
      </c>
      <c r="B276" s="729" t="s">
        <v>765</v>
      </c>
      <c r="C276" s="901">
        <v>0.14499999999999999</v>
      </c>
      <c r="D276" s="901">
        <v>0.14299999999999999</v>
      </c>
      <c r="E276" s="901">
        <v>0.15</v>
      </c>
      <c r="F276" s="902">
        <v>5.8999999999999997E-2</v>
      </c>
    </row>
    <row r="277" spans="1:6" ht="14.25" thickBot="1">
      <c r="A277" s="735" t="s">
        <v>529</v>
      </c>
      <c r="B277" s="729" t="s">
        <v>766</v>
      </c>
      <c r="C277" s="901">
        <v>0.15</v>
      </c>
      <c r="D277" s="901">
        <v>0.15</v>
      </c>
      <c r="E277" s="901">
        <v>0.15</v>
      </c>
      <c r="F277" s="902">
        <v>0.121</v>
      </c>
    </row>
    <row r="278" spans="1:6" ht="14.25" thickBot="1">
      <c r="A278" s="735" t="s">
        <v>529</v>
      </c>
      <c r="B278" s="729" t="s">
        <v>767</v>
      </c>
      <c r="C278" s="901">
        <v>0.15</v>
      </c>
      <c r="D278" s="901">
        <v>0.15</v>
      </c>
      <c r="E278" s="901">
        <v>0.15</v>
      </c>
      <c r="F278" s="902">
        <v>0.13800000000000001</v>
      </c>
    </row>
    <row r="279" spans="1:6" ht="24.75" thickBot="1">
      <c r="A279" s="735" t="s">
        <v>529</v>
      </c>
      <c r="B279" s="729" t="s">
        <v>768</v>
      </c>
      <c r="C279" s="914"/>
      <c r="D279" s="914"/>
      <c r="E279" s="914"/>
      <c r="F279" s="902">
        <v>0.05</v>
      </c>
    </row>
    <row r="280" spans="1:6" ht="24.75" thickBot="1">
      <c r="A280" s="735" t="s">
        <v>529</v>
      </c>
      <c r="B280" s="729" t="s">
        <v>769</v>
      </c>
      <c r="C280" s="914"/>
      <c r="D280" s="914"/>
      <c r="E280" s="914"/>
      <c r="F280" s="902">
        <v>0.05</v>
      </c>
    </row>
    <row r="281" spans="1:6" ht="24.75" thickBot="1">
      <c r="A281" s="735" t="s">
        <v>529</v>
      </c>
      <c r="B281" s="729" t="s">
        <v>770</v>
      </c>
      <c r="C281" s="914"/>
      <c r="D281" s="914"/>
      <c r="E281" s="914"/>
      <c r="F281" s="902">
        <v>0.05</v>
      </c>
    </row>
    <row r="282" spans="1:6" ht="24.75" thickBot="1">
      <c r="A282" s="735" t="s">
        <v>529</v>
      </c>
      <c r="B282" s="729" t="s">
        <v>771</v>
      </c>
      <c r="C282" s="914"/>
      <c r="D282" s="914"/>
      <c r="E282" s="914"/>
      <c r="F282" s="902">
        <v>0.05</v>
      </c>
    </row>
    <row r="283" spans="1:6" ht="24.75" thickBot="1">
      <c r="A283" s="735" t="s">
        <v>529</v>
      </c>
      <c r="B283" s="729" t="s">
        <v>772</v>
      </c>
      <c r="C283" s="914"/>
      <c r="D283" s="914"/>
      <c r="E283" s="914"/>
      <c r="F283" s="902">
        <v>0.05</v>
      </c>
    </row>
    <row r="284" spans="1:6" ht="24.75" thickBot="1">
      <c r="A284" s="735" t="s">
        <v>529</v>
      </c>
      <c r="B284" s="729" t="s">
        <v>773</v>
      </c>
      <c r="C284" s="914"/>
      <c r="D284" s="914"/>
      <c r="E284" s="914"/>
      <c r="F284" s="902">
        <v>0.05</v>
      </c>
    </row>
    <row r="285" spans="1:6" ht="24.75" thickBot="1">
      <c r="A285" s="735" t="s">
        <v>529</v>
      </c>
      <c r="B285" s="729" t="s">
        <v>774</v>
      </c>
      <c r="C285" s="914"/>
      <c r="D285" s="914"/>
      <c r="E285" s="914"/>
      <c r="F285" s="902">
        <v>0.05</v>
      </c>
    </row>
    <row r="286" spans="1:6" ht="24.75" thickBot="1">
      <c r="A286" s="735" t="s">
        <v>529</v>
      </c>
      <c r="B286" s="729" t="s">
        <v>775</v>
      </c>
      <c r="C286" s="914"/>
      <c r="D286" s="914"/>
      <c r="E286" s="914"/>
      <c r="F286" s="902">
        <v>0.05</v>
      </c>
    </row>
    <row r="287" spans="1:6" ht="24.75" thickBot="1">
      <c r="A287" s="735" t="s">
        <v>529</v>
      </c>
      <c r="B287" s="729" t="s">
        <v>776</v>
      </c>
      <c r="C287" s="914"/>
      <c r="D287" s="914"/>
      <c r="E287" s="914"/>
      <c r="F287" s="902">
        <v>0.05</v>
      </c>
    </row>
    <row r="288" spans="1:6" ht="24.75" thickBot="1">
      <c r="A288" s="735" t="s">
        <v>529</v>
      </c>
      <c r="B288" s="729" t="s">
        <v>777</v>
      </c>
      <c r="C288" s="914"/>
      <c r="D288" s="914"/>
      <c r="E288" s="914"/>
      <c r="F288" s="902">
        <v>0.05</v>
      </c>
    </row>
    <row r="289" spans="1:6" ht="24.75" thickBot="1">
      <c r="A289" s="745" t="s">
        <v>529</v>
      </c>
      <c r="B289" s="741" t="s">
        <v>778</v>
      </c>
      <c r="C289" s="911"/>
      <c r="D289" s="911"/>
      <c r="E289" s="911"/>
      <c r="F289" s="904">
        <v>0.05</v>
      </c>
    </row>
    <row r="290" spans="1:6" ht="14.25" thickBot="1">
      <c r="A290" s="735" t="s">
        <v>533</v>
      </c>
      <c r="B290" s="736" t="s">
        <v>779</v>
      </c>
      <c r="C290" s="899">
        <v>0.15</v>
      </c>
      <c r="D290" s="899">
        <v>0.15</v>
      </c>
      <c r="E290" s="899">
        <v>0.15</v>
      </c>
      <c r="F290" s="916"/>
    </row>
    <row r="291" spans="1:6" ht="14.25" thickBot="1">
      <c r="A291" s="735" t="s">
        <v>533</v>
      </c>
      <c r="B291" s="729" t="s">
        <v>195</v>
      </c>
      <c r="C291" s="901">
        <v>0.15</v>
      </c>
      <c r="D291" s="901">
        <v>0.15</v>
      </c>
      <c r="E291" s="901">
        <v>0.15</v>
      </c>
      <c r="F291" s="913"/>
    </row>
    <row r="292" spans="1:6" ht="14.25" thickBot="1">
      <c r="A292" s="735" t="s">
        <v>533</v>
      </c>
      <c r="B292" s="729" t="s">
        <v>780</v>
      </c>
      <c r="C292" s="901">
        <v>0.15</v>
      </c>
      <c r="D292" s="901">
        <v>0.15</v>
      </c>
      <c r="E292" s="901">
        <v>0.15</v>
      </c>
      <c r="F292" s="902">
        <v>0.14699999999999999</v>
      </c>
    </row>
    <row r="293" spans="1:6" ht="14.25" thickBot="1">
      <c r="A293" s="735" t="s">
        <v>533</v>
      </c>
      <c r="B293" s="729" t="s">
        <v>781</v>
      </c>
      <c r="C293" s="914"/>
      <c r="D293" s="914"/>
      <c r="E293" s="914"/>
      <c r="F293" s="902">
        <v>0.1</v>
      </c>
    </row>
    <row r="294" spans="1:6" ht="14.25" thickBot="1">
      <c r="A294" s="735" t="s">
        <v>533</v>
      </c>
      <c r="B294" s="729" t="s">
        <v>782</v>
      </c>
      <c r="C294" s="901">
        <v>0.15</v>
      </c>
      <c r="D294" s="901">
        <v>0.15</v>
      </c>
      <c r="E294" s="901">
        <v>0.15</v>
      </c>
      <c r="F294" s="902">
        <v>0.15</v>
      </c>
    </row>
    <row r="295" spans="1:6" ht="14.25" thickBot="1">
      <c r="A295" s="735" t="s">
        <v>533</v>
      </c>
      <c r="B295" s="729" t="s">
        <v>233</v>
      </c>
      <c r="C295" s="901">
        <v>0.15</v>
      </c>
      <c r="D295" s="901">
        <v>0.15</v>
      </c>
      <c r="E295" s="901">
        <v>0.15</v>
      </c>
      <c r="F295" s="902">
        <v>0.15</v>
      </c>
    </row>
    <row r="296" spans="1:6" ht="14.25" thickBot="1">
      <c r="A296" s="735" t="s">
        <v>533</v>
      </c>
      <c r="B296" s="729" t="s">
        <v>783</v>
      </c>
      <c r="C296" s="901">
        <v>0.15</v>
      </c>
      <c r="D296" s="901">
        <v>0.15</v>
      </c>
      <c r="E296" s="901">
        <v>0.15</v>
      </c>
      <c r="F296" s="902">
        <v>0.15</v>
      </c>
    </row>
    <row r="297" spans="1:6" ht="14.25" thickBot="1">
      <c r="A297" s="735" t="s">
        <v>533</v>
      </c>
      <c r="B297" s="729" t="s">
        <v>784</v>
      </c>
      <c r="C297" s="901">
        <v>0.14799999999999999</v>
      </c>
      <c r="D297" s="901">
        <v>0.14899999999999999</v>
      </c>
      <c r="E297" s="901">
        <v>0.15</v>
      </c>
      <c r="F297" s="902">
        <v>0.13700000000000001</v>
      </c>
    </row>
    <row r="298" spans="1:6" ht="14.25" thickBot="1">
      <c r="A298" s="735" t="s">
        <v>533</v>
      </c>
      <c r="B298" s="729" t="s">
        <v>266</v>
      </c>
      <c r="C298" s="901">
        <v>0.13400000000000001</v>
      </c>
      <c r="D298" s="901">
        <v>0.13400000000000001</v>
      </c>
      <c r="E298" s="901">
        <v>0.14499999999999999</v>
      </c>
      <c r="F298" s="902">
        <v>0.14799999999999999</v>
      </c>
    </row>
    <row r="299" spans="1:6" ht="14.25" thickBot="1">
      <c r="A299" s="735" t="s">
        <v>533</v>
      </c>
      <c r="B299" s="729" t="s">
        <v>278</v>
      </c>
      <c r="C299" s="901">
        <v>0.15</v>
      </c>
      <c r="D299" s="901">
        <v>0.15</v>
      </c>
      <c r="E299" s="901">
        <v>0.15</v>
      </c>
      <c r="F299" s="913"/>
    </row>
    <row r="300" spans="1:6" ht="14.25" thickBot="1">
      <c r="A300" s="735" t="s">
        <v>533</v>
      </c>
      <c r="B300" s="729" t="s">
        <v>785</v>
      </c>
      <c r="C300" s="901">
        <v>0.15</v>
      </c>
      <c r="D300" s="901">
        <v>0.15</v>
      </c>
      <c r="E300" s="901">
        <v>0.15</v>
      </c>
      <c r="F300" s="902">
        <v>0.15</v>
      </c>
    </row>
    <row r="301" spans="1:6" ht="14.25" thickBot="1">
      <c r="A301" s="735" t="s">
        <v>533</v>
      </c>
      <c r="B301" s="729" t="s">
        <v>298</v>
      </c>
      <c r="C301" s="901">
        <v>0.15</v>
      </c>
      <c r="D301" s="901">
        <v>0.15</v>
      </c>
      <c r="E301" s="901">
        <v>0.15</v>
      </c>
      <c r="F301" s="913"/>
    </row>
    <row r="302" spans="1:6" ht="14.25" thickBot="1">
      <c r="A302" s="735" t="s">
        <v>533</v>
      </c>
      <c r="B302" s="729" t="s">
        <v>786</v>
      </c>
      <c r="C302" s="901">
        <v>0.15</v>
      </c>
      <c r="D302" s="901">
        <v>0.15</v>
      </c>
      <c r="E302" s="901">
        <v>0.15</v>
      </c>
      <c r="F302" s="902">
        <v>0.15</v>
      </c>
    </row>
    <row r="303" spans="1:6" ht="14.25" thickBot="1">
      <c r="A303" s="735" t="s">
        <v>533</v>
      </c>
      <c r="B303" s="729" t="s">
        <v>318</v>
      </c>
      <c r="C303" s="901">
        <v>0.15</v>
      </c>
      <c r="D303" s="901">
        <v>0.15</v>
      </c>
      <c r="E303" s="901">
        <v>0.15</v>
      </c>
      <c r="F303" s="902">
        <v>0.15</v>
      </c>
    </row>
    <row r="304" spans="1:6" ht="14.25" thickBot="1">
      <c r="A304" s="735" t="s">
        <v>533</v>
      </c>
      <c r="B304" s="729" t="s">
        <v>329</v>
      </c>
      <c r="C304" s="901">
        <v>0.15</v>
      </c>
      <c r="D304" s="901">
        <v>0.15</v>
      </c>
      <c r="E304" s="901">
        <v>0.15</v>
      </c>
      <c r="F304" s="913"/>
    </row>
    <row r="305" spans="1:6" ht="14.25" thickBot="1">
      <c r="A305" s="735" t="s">
        <v>533</v>
      </c>
      <c r="B305" s="729" t="s">
        <v>787</v>
      </c>
      <c r="C305" s="901">
        <v>0.15</v>
      </c>
      <c r="D305" s="901">
        <v>0.15</v>
      </c>
      <c r="E305" s="901">
        <v>0.15</v>
      </c>
      <c r="F305" s="902">
        <v>0.14000000000000001</v>
      </c>
    </row>
    <row r="306" spans="1:6" ht="14.25" thickBot="1">
      <c r="A306" s="735" t="s">
        <v>533</v>
      </c>
      <c r="B306" s="729" t="s">
        <v>350</v>
      </c>
      <c r="C306" s="901">
        <v>0.15</v>
      </c>
      <c r="D306" s="901">
        <v>0.15</v>
      </c>
      <c r="E306" s="901">
        <v>0.15</v>
      </c>
      <c r="F306" s="913"/>
    </row>
    <row r="307" spans="1:6" ht="14.25" thickBot="1">
      <c r="A307" s="735" t="s">
        <v>533</v>
      </c>
      <c r="B307" s="729" t="s">
        <v>788</v>
      </c>
      <c r="C307" s="901">
        <v>0.15</v>
      </c>
      <c r="D307" s="901">
        <v>0.15</v>
      </c>
      <c r="E307" s="901">
        <v>0.15</v>
      </c>
      <c r="F307" s="902">
        <v>0.14299999999999999</v>
      </c>
    </row>
    <row r="308" spans="1:6" ht="14.25" thickBot="1">
      <c r="A308" s="735" t="s">
        <v>533</v>
      </c>
      <c r="B308" s="729" t="s">
        <v>370</v>
      </c>
      <c r="C308" s="901">
        <v>0.15</v>
      </c>
      <c r="D308" s="901">
        <v>0.15</v>
      </c>
      <c r="E308" s="901">
        <v>0.15</v>
      </c>
      <c r="F308" s="902">
        <v>0.15</v>
      </c>
    </row>
    <row r="309" spans="1:6" ht="14.25" thickBot="1">
      <c r="A309" s="735" t="s">
        <v>533</v>
      </c>
      <c r="B309" s="729" t="s">
        <v>380</v>
      </c>
      <c r="C309" s="901">
        <v>0.15</v>
      </c>
      <c r="D309" s="901">
        <v>0.15</v>
      </c>
      <c r="E309" s="901">
        <v>0.15</v>
      </c>
      <c r="F309" s="913"/>
    </row>
    <row r="310" spans="1:6" ht="14.25" thickBot="1">
      <c r="A310" s="735" t="s">
        <v>533</v>
      </c>
      <c r="B310" s="729" t="s">
        <v>789</v>
      </c>
      <c r="C310" s="901">
        <v>0.15</v>
      </c>
      <c r="D310" s="901">
        <v>0.15</v>
      </c>
      <c r="E310" s="901">
        <v>0.15</v>
      </c>
      <c r="F310" s="902">
        <v>0.13700000000000001</v>
      </c>
    </row>
    <row r="311" spans="1:6" ht="14.25" thickBot="1">
      <c r="A311" s="735" t="s">
        <v>533</v>
      </c>
      <c r="B311" s="729" t="s">
        <v>790</v>
      </c>
      <c r="C311" s="901">
        <v>0.15</v>
      </c>
      <c r="D311" s="901">
        <v>0.15</v>
      </c>
      <c r="E311" s="901">
        <v>0.15</v>
      </c>
      <c r="F311" s="902">
        <v>0.15</v>
      </c>
    </row>
    <row r="312" spans="1:6" ht="14.25" thickBot="1">
      <c r="A312" s="735" t="s">
        <v>533</v>
      </c>
      <c r="B312" s="729" t="s">
        <v>406</v>
      </c>
      <c r="C312" s="901">
        <v>0.15</v>
      </c>
      <c r="D312" s="901">
        <v>0.15</v>
      </c>
      <c r="E312" s="901">
        <v>0.15</v>
      </c>
      <c r="F312" s="902">
        <v>0.1</v>
      </c>
    </row>
    <row r="313" spans="1:6" ht="14.25" thickBot="1">
      <c r="A313" s="735" t="s">
        <v>533</v>
      </c>
      <c r="B313" s="729" t="s">
        <v>791</v>
      </c>
      <c r="C313" s="901">
        <v>0.15</v>
      </c>
      <c r="D313" s="901">
        <v>0.15</v>
      </c>
      <c r="E313" s="901">
        <v>0.15</v>
      </c>
      <c r="F313" s="902">
        <v>0.15</v>
      </c>
    </row>
    <row r="314" spans="1:6" ht="24.75" thickBot="1">
      <c r="A314" s="735" t="s">
        <v>533</v>
      </c>
      <c r="B314" s="729" t="s">
        <v>792</v>
      </c>
      <c r="C314" s="914"/>
      <c r="D314" s="914"/>
      <c r="E314" s="914"/>
      <c r="F314" s="902">
        <v>0.05</v>
      </c>
    </row>
    <row r="315" spans="1:6" ht="24.75" thickBot="1">
      <c r="A315" s="735" t="s">
        <v>533</v>
      </c>
      <c r="B315" s="729" t="s">
        <v>793</v>
      </c>
      <c r="C315" s="914"/>
      <c r="D315" s="914"/>
      <c r="E315" s="914"/>
      <c r="F315" s="902">
        <v>0.05</v>
      </c>
    </row>
    <row r="316" spans="1:6" ht="24.75" thickBot="1">
      <c r="A316" s="745" t="s">
        <v>533</v>
      </c>
      <c r="B316" s="741" t="s">
        <v>794</v>
      </c>
      <c r="C316" s="911"/>
      <c r="D316" s="911"/>
      <c r="E316" s="911"/>
      <c r="F316" s="904">
        <v>0.05</v>
      </c>
    </row>
    <row r="317" spans="1:6" ht="14.25" thickBot="1">
      <c r="A317" s="735" t="s">
        <v>795</v>
      </c>
      <c r="B317" s="736" t="s">
        <v>796</v>
      </c>
      <c r="C317" s="899">
        <v>0.15</v>
      </c>
      <c r="D317" s="899">
        <v>0.15</v>
      </c>
      <c r="E317" s="899">
        <v>0.15</v>
      </c>
      <c r="F317" s="900">
        <v>0.15</v>
      </c>
    </row>
    <row r="318" spans="1:6" ht="14.25" thickBot="1">
      <c r="A318" s="735" t="s">
        <v>795</v>
      </c>
      <c r="B318" s="729" t="s">
        <v>797</v>
      </c>
      <c r="C318" s="901">
        <v>0.107</v>
      </c>
      <c r="D318" s="901">
        <v>0.11</v>
      </c>
      <c r="E318" s="901">
        <v>0.112</v>
      </c>
      <c r="F318" s="913"/>
    </row>
    <row r="319" spans="1:6" ht="14.25" thickBot="1">
      <c r="A319" s="735" t="s">
        <v>795</v>
      </c>
      <c r="B319" s="729" t="s">
        <v>798</v>
      </c>
      <c r="C319" s="901">
        <v>0.15</v>
      </c>
      <c r="D319" s="901">
        <v>0.15</v>
      </c>
      <c r="E319" s="901">
        <v>0.15</v>
      </c>
      <c r="F319" s="902">
        <v>0.15</v>
      </c>
    </row>
    <row r="320" spans="1:6" ht="14.25" thickBot="1">
      <c r="A320" s="735" t="s">
        <v>795</v>
      </c>
      <c r="B320" s="729" t="s">
        <v>222</v>
      </c>
      <c r="C320" s="901">
        <v>0.15</v>
      </c>
      <c r="D320" s="901">
        <v>0.15</v>
      </c>
      <c r="E320" s="901">
        <v>0.15</v>
      </c>
      <c r="F320" s="913"/>
    </row>
    <row r="321" spans="1:6" ht="14.25" thickBot="1">
      <c r="A321" s="735" t="s">
        <v>795</v>
      </c>
      <c r="B321" s="729" t="s">
        <v>799</v>
      </c>
      <c r="C321" s="901">
        <v>0.15</v>
      </c>
      <c r="D321" s="901">
        <v>0.15</v>
      </c>
      <c r="E321" s="901">
        <v>0.15</v>
      </c>
      <c r="F321" s="913"/>
    </row>
    <row r="322" spans="1:6" ht="14.25" thickBot="1">
      <c r="A322" s="735" t="s">
        <v>795</v>
      </c>
      <c r="B322" s="729" t="s">
        <v>800</v>
      </c>
      <c r="C322" s="901">
        <v>0.15</v>
      </c>
      <c r="D322" s="901">
        <v>0.15</v>
      </c>
      <c r="E322" s="901">
        <v>0.15</v>
      </c>
      <c r="F322" s="902">
        <v>0.15</v>
      </c>
    </row>
    <row r="323" spans="1:6" ht="14.25" thickBot="1">
      <c r="A323" s="735" t="s">
        <v>795</v>
      </c>
      <c r="B323" s="729" t="s">
        <v>801</v>
      </c>
      <c r="C323" s="901">
        <v>0.15</v>
      </c>
      <c r="D323" s="901">
        <v>0.15</v>
      </c>
      <c r="E323" s="901">
        <v>0.15</v>
      </c>
      <c r="F323" s="913"/>
    </row>
    <row r="324" spans="1:6" ht="14.25" thickBot="1">
      <c r="A324" s="735" t="s">
        <v>795</v>
      </c>
      <c r="B324" s="729" t="s">
        <v>802</v>
      </c>
      <c r="C324" s="901">
        <v>0.15</v>
      </c>
      <c r="D324" s="901">
        <v>0.15</v>
      </c>
      <c r="E324" s="901">
        <v>0.15</v>
      </c>
      <c r="F324" s="913"/>
    </row>
    <row r="325" spans="1:6" ht="14.25" thickBot="1">
      <c r="A325" s="735" t="s">
        <v>795</v>
      </c>
      <c r="B325" s="729" t="s">
        <v>803</v>
      </c>
      <c r="C325" s="901">
        <v>0.15</v>
      </c>
      <c r="D325" s="901">
        <v>0.15</v>
      </c>
      <c r="E325" s="901">
        <v>0.15</v>
      </c>
      <c r="F325" s="902">
        <v>0.14699999999999999</v>
      </c>
    </row>
    <row r="326" spans="1:6" ht="14.25" thickBot="1">
      <c r="A326" s="735" t="s">
        <v>795</v>
      </c>
      <c r="B326" s="729" t="s">
        <v>289</v>
      </c>
      <c r="C326" s="901">
        <v>0.15</v>
      </c>
      <c r="D326" s="901">
        <v>0.15</v>
      </c>
      <c r="E326" s="901">
        <v>0.15</v>
      </c>
      <c r="F326" s="913"/>
    </row>
    <row r="327" spans="1:6" ht="14.25" thickBot="1">
      <c r="A327" s="735" t="s">
        <v>795</v>
      </c>
      <c r="B327" s="729" t="s">
        <v>804</v>
      </c>
      <c r="C327" s="901">
        <v>0.15</v>
      </c>
      <c r="D327" s="901">
        <v>0.15</v>
      </c>
      <c r="E327" s="901">
        <v>0.15</v>
      </c>
      <c r="F327" s="902">
        <v>0.15</v>
      </c>
    </row>
    <row r="328" spans="1:6" ht="14.25" thickBot="1">
      <c r="A328" s="735" t="s">
        <v>795</v>
      </c>
      <c r="B328" s="729" t="s">
        <v>309</v>
      </c>
      <c r="C328" s="901">
        <v>0.15</v>
      </c>
      <c r="D328" s="901">
        <v>0.15</v>
      </c>
      <c r="E328" s="901">
        <v>0.15</v>
      </c>
      <c r="F328" s="902">
        <v>0.14099999999999999</v>
      </c>
    </row>
    <row r="329" spans="1:6" ht="14.25" thickBot="1">
      <c r="A329" s="735" t="s">
        <v>795</v>
      </c>
      <c r="B329" s="729" t="s">
        <v>319</v>
      </c>
      <c r="C329" s="901">
        <v>0.15</v>
      </c>
      <c r="D329" s="901">
        <v>0.15</v>
      </c>
      <c r="E329" s="901">
        <v>0.15</v>
      </c>
      <c r="F329" s="902">
        <v>0.15</v>
      </c>
    </row>
    <row r="330" spans="1:6" ht="14.25" thickBot="1">
      <c r="A330" s="735" t="s">
        <v>795</v>
      </c>
      <c r="B330" s="729" t="s">
        <v>330</v>
      </c>
      <c r="C330" s="901">
        <v>0.15</v>
      </c>
      <c r="D330" s="901">
        <v>0.15</v>
      </c>
      <c r="E330" s="901">
        <v>0.15</v>
      </c>
      <c r="F330" s="913"/>
    </row>
    <row r="331" spans="1:6" ht="14.25" thickBot="1">
      <c r="A331" s="735" t="s">
        <v>795</v>
      </c>
      <c r="B331" s="729" t="s">
        <v>805</v>
      </c>
      <c r="C331" s="901">
        <v>0.15</v>
      </c>
      <c r="D331" s="901">
        <v>0.15</v>
      </c>
      <c r="E331" s="901">
        <v>0.15</v>
      </c>
      <c r="F331" s="902">
        <v>0.15</v>
      </c>
    </row>
    <row r="332" spans="1:6" ht="14.25" thickBot="1">
      <c r="A332" s="735" t="s">
        <v>795</v>
      </c>
      <c r="B332" s="729" t="s">
        <v>351</v>
      </c>
      <c r="C332" s="901">
        <v>0.15</v>
      </c>
      <c r="D332" s="901">
        <v>0.15</v>
      </c>
      <c r="E332" s="901">
        <v>0.15</v>
      </c>
      <c r="F332" s="902">
        <v>0.15</v>
      </c>
    </row>
    <row r="333" spans="1:6" ht="14.25" thickBot="1">
      <c r="A333" s="735" t="s">
        <v>795</v>
      </c>
      <c r="B333" s="729" t="s">
        <v>806</v>
      </c>
      <c r="C333" s="901">
        <v>0.15</v>
      </c>
      <c r="D333" s="901">
        <v>0.15</v>
      </c>
      <c r="E333" s="901">
        <v>0.15</v>
      </c>
      <c r="F333" s="902">
        <v>0.14099999999999999</v>
      </c>
    </row>
    <row r="334" spans="1:6" ht="14.25" thickBot="1">
      <c r="A334" s="735" t="s">
        <v>795</v>
      </c>
      <c r="B334" s="729" t="s">
        <v>371</v>
      </c>
      <c r="C334" s="901">
        <v>0.15</v>
      </c>
      <c r="D334" s="901">
        <v>0.15</v>
      </c>
      <c r="E334" s="901">
        <v>0.15</v>
      </c>
      <c r="F334" s="902">
        <v>0.15</v>
      </c>
    </row>
    <row r="335" spans="1:6" ht="14.25" thickBot="1">
      <c r="A335" s="735" t="s">
        <v>795</v>
      </c>
      <c r="B335" s="729" t="s">
        <v>381</v>
      </c>
      <c r="C335" s="901">
        <v>0.15</v>
      </c>
      <c r="D335" s="901">
        <v>0.15</v>
      </c>
      <c r="E335" s="901">
        <v>0.15</v>
      </c>
      <c r="F335" s="913"/>
    </row>
    <row r="336" spans="1:6" ht="14.25" thickBot="1">
      <c r="A336" s="735" t="s">
        <v>795</v>
      </c>
      <c r="B336" s="729" t="s">
        <v>807</v>
      </c>
      <c r="C336" s="901">
        <v>0.15</v>
      </c>
      <c r="D336" s="901">
        <v>0.15</v>
      </c>
      <c r="E336" s="901">
        <v>0.15</v>
      </c>
      <c r="F336" s="902">
        <v>0.11799999999999999</v>
      </c>
    </row>
    <row r="337" spans="1:6" ht="14.25" thickBot="1">
      <c r="A337" s="745" t="s">
        <v>795</v>
      </c>
      <c r="B337" s="741" t="s">
        <v>399</v>
      </c>
      <c r="C337" s="911"/>
      <c r="D337" s="911"/>
      <c r="E337" s="911"/>
      <c r="F337" s="904">
        <v>0.14299999999999999</v>
      </c>
    </row>
    <row r="338" spans="1:6" ht="14.25" thickBot="1">
      <c r="A338" s="735" t="s">
        <v>808</v>
      </c>
      <c r="B338" s="736" t="s">
        <v>809</v>
      </c>
      <c r="C338" s="899">
        <v>0.15</v>
      </c>
      <c r="D338" s="899">
        <v>0.15</v>
      </c>
      <c r="E338" s="899">
        <v>0.15</v>
      </c>
      <c r="F338" s="916"/>
    </row>
    <row r="339" spans="1:6" ht="14.25" thickBot="1">
      <c r="A339" s="735" t="s">
        <v>808</v>
      </c>
      <c r="B339" s="729" t="s">
        <v>810</v>
      </c>
      <c r="C339" s="901">
        <v>0.15</v>
      </c>
      <c r="D339" s="901">
        <v>0.15</v>
      </c>
      <c r="E339" s="901">
        <v>0.15</v>
      </c>
      <c r="F339" s="913"/>
    </row>
    <row r="340" spans="1:6" ht="14.25" thickBot="1">
      <c r="A340" s="735" t="s">
        <v>808</v>
      </c>
      <c r="B340" s="729" t="s">
        <v>811</v>
      </c>
      <c r="C340" s="901">
        <v>0.15</v>
      </c>
      <c r="D340" s="901">
        <v>0.15</v>
      </c>
      <c r="E340" s="901">
        <v>0.15</v>
      </c>
      <c r="F340" s="913"/>
    </row>
    <row r="341" spans="1:6" ht="14.25" thickBot="1">
      <c r="A341" s="735" t="s">
        <v>808</v>
      </c>
      <c r="B341" s="729" t="s">
        <v>812</v>
      </c>
      <c r="C341" s="901">
        <v>0.15</v>
      </c>
      <c r="D341" s="901">
        <v>0.15</v>
      </c>
      <c r="E341" s="901">
        <v>0.15</v>
      </c>
      <c r="F341" s="902">
        <v>0.15</v>
      </c>
    </row>
    <row r="342" spans="1:6" ht="14.25" thickBot="1">
      <c r="A342" s="735" t="s">
        <v>808</v>
      </c>
      <c r="B342" s="729" t="s">
        <v>813</v>
      </c>
      <c r="C342" s="901">
        <v>0.15</v>
      </c>
      <c r="D342" s="901">
        <v>0.15</v>
      </c>
      <c r="E342" s="901">
        <v>0.15</v>
      </c>
      <c r="F342" s="902">
        <v>0.15</v>
      </c>
    </row>
    <row r="343" spans="1:6" ht="14.25" thickBot="1">
      <c r="A343" s="735" t="s">
        <v>808</v>
      </c>
      <c r="B343" s="729" t="s">
        <v>814</v>
      </c>
      <c r="C343" s="901">
        <v>0.15</v>
      </c>
      <c r="D343" s="901">
        <v>0.15</v>
      </c>
      <c r="E343" s="901">
        <v>0.15</v>
      </c>
      <c r="F343" s="902">
        <v>0.15</v>
      </c>
    </row>
    <row r="344" spans="1:6" ht="14.2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74" customWidth="1"/>
    <col min="2" max="2" width="13.25" style="1280" customWidth="1"/>
    <col min="3" max="3" width="15.625" style="1280" customWidth="1"/>
    <col min="4" max="4" width="9.375" style="1280" bestFit="1" customWidth="1"/>
    <col min="5" max="5" width="13.5" style="1280" customWidth="1"/>
    <col min="6" max="6" width="9" style="1280"/>
    <col min="7" max="7" width="9.375" style="1280" bestFit="1" customWidth="1"/>
    <col min="8" max="8" width="12.25" style="1280" customWidth="1"/>
    <col min="9" max="9" width="9" style="1280"/>
    <col min="10" max="10" width="9.375" style="1280" bestFit="1" customWidth="1"/>
    <col min="11" max="11" width="4" style="1274" customWidth="1"/>
    <col min="12" max="12" width="5.125" style="1280" customWidth="1"/>
    <col min="13" max="13" width="13.75" style="1280" customWidth="1"/>
    <col min="14" max="256" width="9" style="1280"/>
    <col min="257" max="257" width="4.875" style="1271" customWidth="1"/>
    <col min="258" max="258" width="13.25" style="1271" customWidth="1"/>
    <col min="259" max="259" width="15.625" style="1271" customWidth="1"/>
    <col min="260" max="260" width="9.375" style="1271" bestFit="1" customWidth="1"/>
    <col min="261" max="261" width="13.5" style="1271" customWidth="1"/>
    <col min="262" max="262" width="9" style="1271"/>
    <col min="263" max="263" width="9.375" style="1271" bestFit="1" customWidth="1"/>
    <col min="264" max="265" width="9" style="1271"/>
    <col min="266" max="266" width="9.375" style="1271" bestFit="1" customWidth="1"/>
    <col min="267" max="267" width="4" style="1271" customWidth="1"/>
    <col min="268" max="268" width="5.125" style="1271" customWidth="1"/>
    <col min="269" max="269" width="13.75" style="1271" customWidth="1"/>
    <col min="270" max="512" width="9" style="1271"/>
    <col min="513" max="513" width="4.875" style="1271" customWidth="1"/>
    <col min="514" max="514" width="13.25" style="1271" customWidth="1"/>
    <col min="515" max="515" width="15.625" style="1271" customWidth="1"/>
    <col min="516" max="516" width="9.375" style="1271" bestFit="1" customWidth="1"/>
    <col min="517" max="517" width="13.5" style="1271" customWidth="1"/>
    <col min="518" max="518" width="9" style="1271"/>
    <col min="519" max="519" width="9.375" style="1271" bestFit="1" customWidth="1"/>
    <col min="520" max="521" width="9" style="1271"/>
    <col min="522" max="522" width="9.375" style="1271" bestFit="1" customWidth="1"/>
    <col min="523" max="523" width="4" style="1271" customWidth="1"/>
    <col min="524" max="524" width="5.125" style="1271" customWidth="1"/>
    <col min="525" max="525" width="13.75" style="1271" customWidth="1"/>
    <col min="526" max="768" width="9" style="1271"/>
    <col min="769" max="769" width="4.875" style="1271" customWidth="1"/>
    <col min="770" max="770" width="13.25" style="1271" customWidth="1"/>
    <col min="771" max="771" width="15.625" style="1271" customWidth="1"/>
    <col min="772" max="772" width="9.375" style="1271" bestFit="1" customWidth="1"/>
    <col min="773" max="773" width="13.5" style="1271" customWidth="1"/>
    <col min="774" max="774" width="9" style="1271"/>
    <col min="775" max="775" width="9.375" style="1271" bestFit="1" customWidth="1"/>
    <col min="776" max="777" width="9" style="1271"/>
    <col min="778" max="778" width="9.375" style="1271" bestFit="1" customWidth="1"/>
    <col min="779" max="779" width="4" style="1271" customWidth="1"/>
    <col min="780" max="780" width="5.125" style="1271" customWidth="1"/>
    <col min="781" max="781" width="13.75" style="1271" customWidth="1"/>
    <col min="782" max="1024" width="9" style="1271"/>
    <col min="1025" max="1025" width="4.875" style="1271" customWidth="1"/>
    <col min="1026" max="1026" width="13.25" style="1271" customWidth="1"/>
    <col min="1027" max="1027" width="15.625" style="1271" customWidth="1"/>
    <col min="1028" max="1028" width="9.375" style="1271" bestFit="1" customWidth="1"/>
    <col min="1029" max="1029" width="13.5" style="1271" customWidth="1"/>
    <col min="1030" max="1030" width="9" style="1271"/>
    <col min="1031" max="1031" width="9.375" style="1271" bestFit="1" customWidth="1"/>
    <col min="1032" max="1033" width="9" style="1271"/>
    <col min="1034" max="1034" width="9.375" style="1271" bestFit="1" customWidth="1"/>
    <col min="1035" max="1035" width="4" style="1271" customWidth="1"/>
    <col min="1036" max="1036" width="5.125" style="1271" customWidth="1"/>
    <col min="1037" max="1037" width="13.75" style="1271" customWidth="1"/>
    <col min="1038" max="1280" width="9" style="1271"/>
    <col min="1281" max="1281" width="4.875" style="1271" customWidth="1"/>
    <col min="1282" max="1282" width="13.25" style="1271" customWidth="1"/>
    <col min="1283" max="1283" width="15.625" style="1271" customWidth="1"/>
    <col min="1284" max="1284" width="9.375" style="1271" bestFit="1" customWidth="1"/>
    <col min="1285" max="1285" width="13.5" style="1271" customWidth="1"/>
    <col min="1286" max="1286" width="9" style="1271"/>
    <col min="1287" max="1287" width="9.375" style="1271" bestFit="1" customWidth="1"/>
    <col min="1288" max="1289" width="9" style="1271"/>
    <col min="1290" max="1290" width="9.375" style="1271" bestFit="1" customWidth="1"/>
    <col min="1291" max="1291" width="4" style="1271" customWidth="1"/>
    <col min="1292" max="1292" width="5.125" style="1271" customWidth="1"/>
    <col min="1293" max="1293" width="13.75" style="1271" customWidth="1"/>
    <col min="1294" max="1536" width="9" style="1271"/>
    <col min="1537" max="1537" width="4.875" style="1271" customWidth="1"/>
    <col min="1538" max="1538" width="13.25" style="1271" customWidth="1"/>
    <col min="1539" max="1539" width="15.625" style="1271" customWidth="1"/>
    <col min="1540" max="1540" width="9.375" style="1271" bestFit="1" customWidth="1"/>
    <col min="1541" max="1541" width="13.5" style="1271" customWidth="1"/>
    <col min="1542" max="1542" width="9" style="1271"/>
    <col min="1543" max="1543" width="9.375" style="1271" bestFit="1" customWidth="1"/>
    <col min="1544" max="1545" width="9" style="1271"/>
    <col min="1546" max="1546" width="9.375" style="1271" bestFit="1" customWidth="1"/>
    <col min="1547" max="1547" width="4" style="1271" customWidth="1"/>
    <col min="1548" max="1548" width="5.125" style="1271" customWidth="1"/>
    <col min="1549" max="1549" width="13.75" style="1271" customWidth="1"/>
    <col min="1550" max="1792" width="9" style="1271"/>
    <col min="1793" max="1793" width="4.875" style="1271" customWidth="1"/>
    <col min="1794" max="1794" width="13.25" style="1271" customWidth="1"/>
    <col min="1795" max="1795" width="15.625" style="1271" customWidth="1"/>
    <col min="1796" max="1796" width="9.375" style="1271" bestFit="1" customWidth="1"/>
    <col min="1797" max="1797" width="13.5" style="1271" customWidth="1"/>
    <col min="1798" max="1798" width="9" style="1271"/>
    <col min="1799" max="1799" width="9.375" style="1271" bestFit="1" customWidth="1"/>
    <col min="1800" max="1801" width="9" style="1271"/>
    <col min="1802" max="1802" width="9.375" style="1271" bestFit="1" customWidth="1"/>
    <col min="1803" max="1803" width="4" style="1271" customWidth="1"/>
    <col min="1804" max="1804" width="5.125" style="1271" customWidth="1"/>
    <col min="1805" max="1805" width="13.75" style="1271" customWidth="1"/>
    <col min="1806" max="2048" width="9" style="1271"/>
    <col min="2049" max="2049" width="4.875" style="1271" customWidth="1"/>
    <col min="2050" max="2050" width="13.25" style="1271" customWidth="1"/>
    <col min="2051" max="2051" width="15.625" style="1271" customWidth="1"/>
    <col min="2052" max="2052" width="9.375" style="1271" bestFit="1" customWidth="1"/>
    <col min="2053" max="2053" width="13.5" style="1271" customWidth="1"/>
    <col min="2054" max="2054" width="9" style="1271"/>
    <col min="2055" max="2055" width="9.375" style="1271" bestFit="1" customWidth="1"/>
    <col min="2056" max="2057" width="9" style="1271"/>
    <col min="2058" max="2058" width="9.375" style="1271" bestFit="1" customWidth="1"/>
    <col min="2059" max="2059" width="4" style="1271" customWidth="1"/>
    <col min="2060" max="2060" width="5.125" style="1271" customWidth="1"/>
    <col min="2061" max="2061" width="13.75" style="1271" customWidth="1"/>
    <col min="2062" max="2304" width="9" style="1271"/>
    <col min="2305" max="2305" width="4.875" style="1271" customWidth="1"/>
    <col min="2306" max="2306" width="13.25" style="1271" customWidth="1"/>
    <col min="2307" max="2307" width="15.625" style="1271" customWidth="1"/>
    <col min="2308" max="2308" width="9.375" style="1271" bestFit="1" customWidth="1"/>
    <col min="2309" max="2309" width="13.5" style="1271" customWidth="1"/>
    <col min="2310" max="2310" width="9" style="1271"/>
    <col min="2311" max="2311" width="9.375" style="1271" bestFit="1" customWidth="1"/>
    <col min="2312" max="2313" width="9" style="1271"/>
    <col min="2314" max="2314" width="9.375" style="1271" bestFit="1" customWidth="1"/>
    <col min="2315" max="2315" width="4" style="1271" customWidth="1"/>
    <col min="2316" max="2316" width="5.125" style="1271" customWidth="1"/>
    <col min="2317" max="2317" width="13.75" style="1271" customWidth="1"/>
    <col min="2318" max="2560" width="9" style="1271"/>
    <col min="2561" max="2561" width="4.875" style="1271" customWidth="1"/>
    <col min="2562" max="2562" width="13.25" style="1271" customWidth="1"/>
    <col min="2563" max="2563" width="15.625" style="1271" customWidth="1"/>
    <col min="2564" max="2564" width="9.375" style="1271" bestFit="1" customWidth="1"/>
    <col min="2565" max="2565" width="13.5" style="1271" customWidth="1"/>
    <col min="2566" max="2566" width="9" style="1271"/>
    <col min="2567" max="2567" width="9.375" style="1271" bestFit="1" customWidth="1"/>
    <col min="2568" max="2569" width="9" style="1271"/>
    <col min="2570" max="2570" width="9.375" style="1271" bestFit="1" customWidth="1"/>
    <col min="2571" max="2571" width="4" style="1271" customWidth="1"/>
    <col min="2572" max="2572" width="5.125" style="1271" customWidth="1"/>
    <col min="2573" max="2573" width="13.75" style="1271" customWidth="1"/>
    <col min="2574" max="2816" width="9" style="1271"/>
    <col min="2817" max="2817" width="4.875" style="1271" customWidth="1"/>
    <col min="2818" max="2818" width="13.25" style="1271" customWidth="1"/>
    <col min="2819" max="2819" width="15.625" style="1271" customWidth="1"/>
    <col min="2820" max="2820" width="9.375" style="1271" bestFit="1" customWidth="1"/>
    <col min="2821" max="2821" width="13.5" style="1271" customWidth="1"/>
    <col min="2822" max="2822" width="9" style="1271"/>
    <col min="2823" max="2823" width="9.375" style="1271" bestFit="1" customWidth="1"/>
    <col min="2824" max="2825" width="9" style="1271"/>
    <col min="2826" max="2826" width="9.375" style="1271" bestFit="1" customWidth="1"/>
    <col min="2827" max="2827" width="4" style="1271" customWidth="1"/>
    <col min="2828" max="2828" width="5.125" style="1271" customWidth="1"/>
    <col min="2829" max="2829" width="13.75" style="1271" customWidth="1"/>
    <col min="2830" max="3072" width="9" style="1271"/>
    <col min="3073" max="3073" width="4.875" style="1271" customWidth="1"/>
    <col min="3074" max="3074" width="13.25" style="1271" customWidth="1"/>
    <col min="3075" max="3075" width="15.625" style="1271" customWidth="1"/>
    <col min="3076" max="3076" width="9.375" style="1271" bestFit="1" customWidth="1"/>
    <col min="3077" max="3077" width="13.5" style="1271" customWidth="1"/>
    <col min="3078" max="3078" width="9" style="1271"/>
    <col min="3079" max="3079" width="9.375" style="1271" bestFit="1" customWidth="1"/>
    <col min="3080" max="3081" width="9" style="1271"/>
    <col min="3082" max="3082" width="9.375" style="1271" bestFit="1" customWidth="1"/>
    <col min="3083" max="3083" width="4" style="1271" customWidth="1"/>
    <col min="3084" max="3084" width="5.125" style="1271" customWidth="1"/>
    <col min="3085" max="3085" width="13.75" style="1271" customWidth="1"/>
    <col min="3086" max="3328" width="9" style="1271"/>
    <col min="3329" max="3329" width="4.875" style="1271" customWidth="1"/>
    <col min="3330" max="3330" width="13.25" style="1271" customWidth="1"/>
    <col min="3331" max="3331" width="15.625" style="1271" customWidth="1"/>
    <col min="3332" max="3332" width="9.375" style="1271" bestFit="1" customWidth="1"/>
    <col min="3333" max="3333" width="13.5" style="1271" customWidth="1"/>
    <col min="3334" max="3334" width="9" style="1271"/>
    <col min="3335" max="3335" width="9.375" style="1271" bestFit="1" customWidth="1"/>
    <col min="3336" max="3337" width="9" style="1271"/>
    <col min="3338" max="3338" width="9.375" style="1271" bestFit="1" customWidth="1"/>
    <col min="3339" max="3339" width="4" style="1271" customWidth="1"/>
    <col min="3340" max="3340" width="5.125" style="1271" customWidth="1"/>
    <col min="3341" max="3341" width="13.75" style="1271" customWidth="1"/>
    <col min="3342" max="3584" width="9" style="1271"/>
    <col min="3585" max="3585" width="4.875" style="1271" customWidth="1"/>
    <col min="3586" max="3586" width="13.25" style="1271" customWidth="1"/>
    <col min="3587" max="3587" width="15.625" style="1271" customWidth="1"/>
    <col min="3588" max="3588" width="9.375" style="1271" bestFit="1" customWidth="1"/>
    <col min="3589" max="3589" width="13.5" style="1271" customWidth="1"/>
    <col min="3590" max="3590" width="9" style="1271"/>
    <col min="3591" max="3591" width="9.375" style="1271" bestFit="1" customWidth="1"/>
    <col min="3592" max="3593" width="9" style="1271"/>
    <col min="3594" max="3594" width="9.375" style="1271" bestFit="1" customWidth="1"/>
    <col min="3595" max="3595" width="4" style="1271" customWidth="1"/>
    <col min="3596" max="3596" width="5.125" style="1271" customWidth="1"/>
    <col min="3597" max="3597" width="13.75" style="1271" customWidth="1"/>
    <col min="3598" max="3840" width="9" style="1271"/>
    <col min="3841" max="3841" width="4.875" style="1271" customWidth="1"/>
    <col min="3842" max="3842" width="13.25" style="1271" customWidth="1"/>
    <col min="3843" max="3843" width="15.625" style="1271" customWidth="1"/>
    <col min="3844" max="3844" width="9.375" style="1271" bestFit="1" customWidth="1"/>
    <col min="3845" max="3845" width="13.5" style="1271" customWidth="1"/>
    <col min="3846" max="3846" width="9" style="1271"/>
    <col min="3847" max="3847" width="9.375" style="1271" bestFit="1" customWidth="1"/>
    <col min="3848" max="3849" width="9" style="1271"/>
    <col min="3850" max="3850" width="9.375" style="1271" bestFit="1" customWidth="1"/>
    <col min="3851" max="3851" width="4" style="1271" customWidth="1"/>
    <col min="3852" max="3852" width="5.125" style="1271" customWidth="1"/>
    <col min="3853" max="3853" width="13.75" style="1271" customWidth="1"/>
    <col min="3854" max="4096" width="9" style="1271"/>
    <col min="4097" max="4097" width="4.875" style="1271" customWidth="1"/>
    <col min="4098" max="4098" width="13.25" style="1271" customWidth="1"/>
    <col min="4099" max="4099" width="15.625" style="1271" customWidth="1"/>
    <col min="4100" max="4100" width="9.375" style="1271" bestFit="1" customWidth="1"/>
    <col min="4101" max="4101" width="13.5" style="1271" customWidth="1"/>
    <col min="4102" max="4102" width="9" style="1271"/>
    <col min="4103" max="4103" width="9.375" style="1271" bestFit="1" customWidth="1"/>
    <col min="4104" max="4105" width="9" style="1271"/>
    <col min="4106" max="4106" width="9.375" style="1271" bestFit="1" customWidth="1"/>
    <col min="4107" max="4107" width="4" style="1271" customWidth="1"/>
    <col min="4108" max="4108" width="5.125" style="1271" customWidth="1"/>
    <col min="4109" max="4109" width="13.75" style="1271" customWidth="1"/>
    <col min="4110" max="4352" width="9" style="1271"/>
    <col min="4353" max="4353" width="4.875" style="1271" customWidth="1"/>
    <col min="4354" max="4354" width="13.25" style="1271" customWidth="1"/>
    <col min="4355" max="4355" width="15.625" style="1271" customWidth="1"/>
    <col min="4356" max="4356" width="9.375" style="1271" bestFit="1" customWidth="1"/>
    <col min="4357" max="4357" width="13.5" style="1271" customWidth="1"/>
    <col min="4358" max="4358" width="9" style="1271"/>
    <col min="4359" max="4359" width="9.375" style="1271" bestFit="1" customWidth="1"/>
    <col min="4360" max="4361" width="9" style="1271"/>
    <col min="4362" max="4362" width="9.375" style="1271" bestFit="1" customWidth="1"/>
    <col min="4363" max="4363" width="4" style="1271" customWidth="1"/>
    <col min="4364" max="4364" width="5.125" style="1271" customWidth="1"/>
    <col min="4365" max="4365" width="13.75" style="1271" customWidth="1"/>
    <col min="4366" max="4608" width="9" style="1271"/>
    <col min="4609" max="4609" width="4.875" style="1271" customWidth="1"/>
    <col min="4610" max="4610" width="13.25" style="1271" customWidth="1"/>
    <col min="4611" max="4611" width="15.625" style="1271" customWidth="1"/>
    <col min="4612" max="4612" width="9.375" style="1271" bestFit="1" customWidth="1"/>
    <col min="4613" max="4613" width="13.5" style="1271" customWidth="1"/>
    <col min="4614" max="4614" width="9" style="1271"/>
    <col min="4615" max="4615" width="9.375" style="1271" bestFit="1" customWidth="1"/>
    <col min="4616" max="4617" width="9" style="1271"/>
    <col min="4618" max="4618" width="9.375" style="1271" bestFit="1" customWidth="1"/>
    <col min="4619" max="4619" width="4" style="1271" customWidth="1"/>
    <col min="4620" max="4620" width="5.125" style="1271" customWidth="1"/>
    <col min="4621" max="4621" width="13.75" style="1271" customWidth="1"/>
    <col min="4622" max="4864" width="9" style="1271"/>
    <col min="4865" max="4865" width="4.875" style="1271" customWidth="1"/>
    <col min="4866" max="4866" width="13.25" style="1271" customWidth="1"/>
    <col min="4867" max="4867" width="15.625" style="1271" customWidth="1"/>
    <col min="4868" max="4868" width="9.375" style="1271" bestFit="1" customWidth="1"/>
    <col min="4869" max="4869" width="13.5" style="1271" customWidth="1"/>
    <col min="4870" max="4870" width="9" style="1271"/>
    <col min="4871" max="4871" width="9.375" style="1271" bestFit="1" customWidth="1"/>
    <col min="4872" max="4873" width="9" style="1271"/>
    <col min="4874" max="4874" width="9.375" style="1271" bestFit="1" customWidth="1"/>
    <col min="4875" max="4875" width="4" style="1271" customWidth="1"/>
    <col min="4876" max="4876" width="5.125" style="1271" customWidth="1"/>
    <col min="4877" max="4877" width="13.75" style="1271" customWidth="1"/>
    <col min="4878" max="5120" width="9" style="1271"/>
    <col min="5121" max="5121" width="4.875" style="1271" customWidth="1"/>
    <col min="5122" max="5122" width="13.25" style="1271" customWidth="1"/>
    <col min="5123" max="5123" width="15.625" style="1271" customWidth="1"/>
    <col min="5124" max="5124" width="9.375" style="1271" bestFit="1" customWidth="1"/>
    <col min="5125" max="5125" width="13.5" style="1271" customWidth="1"/>
    <col min="5126" max="5126" width="9" style="1271"/>
    <col min="5127" max="5127" width="9.375" style="1271" bestFit="1" customWidth="1"/>
    <col min="5128" max="5129" width="9" style="1271"/>
    <col min="5130" max="5130" width="9.375" style="1271" bestFit="1" customWidth="1"/>
    <col min="5131" max="5131" width="4" style="1271" customWidth="1"/>
    <col min="5132" max="5132" width="5.125" style="1271" customWidth="1"/>
    <col min="5133" max="5133" width="13.75" style="1271" customWidth="1"/>
    <col min="5134" max="5376" width="9" style="1271"/>
    <col min="5377" max="5377" width="4.875" style="1271" customWidth="1"/>
    <col min="5378" max="5378" width="13.25" style="1271" customWidth="1"/>
    <col min="5379" max="5379" width="15.625" style="1271" customWidth="1"/>
    <col min="5380" max="5380" width="9.375" style="1271" bestFit="1" customWidth="1"/>
    <col min="5381" max="5381" width="13.5" style="1271" customWidth="1"/>
    <col min="5382" max="5382" width="9" style="1271"/>
    <col min="5383" max="5383" width="9.375" style="1271" bestFit="1" customWidth="1"/>
    <col min="5384" max="5385" width="9" style="1271"/>
    <col min="5386" max="5386" width="9.375" style="1271" bestFit="1" customWidth="1"/>
    <col min="5387" max="5387" width="4" style="1271" customWidth="1"/>
    <col min="5388" max="5388" width="5.125" style="1271" customWidth="1"/>
    <col min="5389" max="5389" width="13.75" style="1271" customWidth="1"/>
    <col min="5390" max="5632" width="9" style="1271"/>
    <col min="5633" max="5633" width="4.875" style="1271" customWidth="1"/>
    <col min="5634" max="5634" width="13.25" style="1271" customWidth="1"/>
    <col min="5635" max="5635" width="15.625" style="1271" customWidth="1"/>
    <col min="5636" max="5636" width="9.375" style="1271" bestFit="1" customWidth="1"/>
    <col min="5637" max="5637" width="13.5" style="1271" customWidth="1"/>
    <col min="5638" max="5638" width="9" style="1271"/>
    <col min="5639" max="5639" width="9.375" style="1271" bestFit="1" customWidth="1"/>
    <col min="5640" max="5641" width="9" style="1271"/>
    <col min="5642" max="5642" width="9.375" style="1271" bestFit="1" customWidth="1"/>
    <col min="5643" max="5643" width="4" style="1271" customWidth="1"/>
    <col min="5644" max="5644" width="5.125" style="1271" customWidth="1"/>
    <col min="5645" max="5645" width="13.75" style="1271" customWidth="1"/>
    <col min="5646" max="5888" width="9" style="1271"/>
    <col min="5889" max="5889" width="4.875" style="1271" customWidth="1"/>
    <col min="5890" max="5890" width="13.25" style="1271" customWidth="1"/>
    <col min="5891" max="5891" width="15.625" style="1271" customWidth="1"/>
    <col min="5892" max="5892" width="9.375" style="1271" bestFit="1" customWidth="1"/>
    <col min="5893" max="5893" width="13.5" style="1271" customWidth="1"/>
    <col min="5894" max="5894" width="9" style="1271"/>
    <col min="5895" max="5895" width="9.375" style="1271" bestFit="1" customWidth="1"/>
    <col min="5896" max="5897" width="9" style="1271"/>
    <col min="5898" max="5898" width="9.375" style="1271" bestFit="1" customWidth="1"/>
    <col min="5899" max="5899" width="4" style="1271" customWidth="1"/>
    <col min="5900" max="5900" width="5.125" style="1271" customWidth="1"/>
    <col min="5901" max="5901" width="13.75" style="1271" customWidth="1"/>
    <col min="5902" max="6144" width="9" style="1271"/>
    <col min="6145" max="6145" width="4.875" style="1271" customWidth="1"/>
    <col min="6146" max="6146" width="13.25" style="1271" customWidth="1"/>
    <col min="6147" max="6147" width="15.625" style="1271" customWidth="1"/>
    <col min="6148" max="6148" width="9.375" style="1271" bestFit="1" customWidth="1"/>
    <col min="6149" max="6149" width="13.5" style="1271" customWidth="1"/>
    <col min="6150" max="6150" width="9" style="1271"/>
    <col min="6151" max="6151" width="9.375" style="1271" bestFit="1" customWidth="1"/>
    <col min="6152" max="6153" width="9" style="1271"/>
    <col min="6154" max="6154" width="9.375" style="1271" bestFit="1" customWidth="1"/>
    <col min="6155" max="6155" width="4" style="1271" customWidth="1"/>
    <col min="6156" max="6156" width="5.125" style="1271" customWidth="1"/>
    <col min="6157" max="6157" width="13.75" style="1271" customWidth="1"/>
    <col min="6158" max="6400" width="9" style="1271"/>
    <col min="6401" max="6401" width="4.875" style="1271" customWidth="1"/>
    <col min="6402" max="6402" width="13.25" style="1271" customWidth="1"/>
    <col min="6403" max="6403" width="15.625" style="1271" customWidth="1"/>
    <col min="6404" max="6404" width="9.375" style="1271" bestFit="1" customWidth="1"/>
    <col min="6405" max="6405" width="13.5" style="1271" customWidth="1"/>
    <col min="6406" max="6406" width="9" style="1271"/>
    <col min="6407" max="6407" width="9.375" style="1271" bestFit="1" customWidth="1"/>
    <col min="6408" max="6409" width="9" style="1271"/>
    <col min="6410" max="6410" width="9.375" style="1271" bestFit="1" customWidth="1"/>
    <col min="6411" max="6411" width="4" style="1271" customWidth="1"/>
    <col min="6412" max="6412" width="5.125" style="1271" customWidth="1"/>
    <col min="6413" max="6413" width="13.75" style="1271" customWidth="1"/>
    <col min="6414" max="6656" width="9" style="1271"/>
    <col min="6657" max="6657" width="4.875" style="1271" customWidth="1"/>
    <col min="6658" max="6658" width="13.25" style="1271" customWidth="1"/>
    <col min="6659" max="6659" width="15.625" style="1271" customWidth="1"/>
    <col min="6660" max="6660" width="9.375" style="1271" bestFit="1" customWidth="1"/>
    <col min="6661" max="6661" width="13.5" style="1271" customWidth="1"/>
    <col min="6662" max="6662" width="9" style="1271"/>
    <col min="6663" max="6663" width="9.375" style="1271" bestFit="1" customWidth="1"/>
    <col min="6664" max="6665" width="9" style="1271"/>
    <col min="6666" max="6666" width="9.375" style="1271" bestFit="1" customWidth="1"/>
    <col min="6667" max="6667" width="4" style="1271" customWidth="1"/>
    <col min="6668" max="6668" width="5.125" style="1271" customWidth="1"/>
    <col min="6669" max="6669" width="13.75" style="1271" customWidth="1"/>
    <col min="6670" max="6912" width="9" style="1271"/>
    <col min="6913" max="6913" width="4.875" style="1271" customWidth="1"/>
    <col min="6914" max="6914" width="13.25" style="1271" customWidth="1"/>
    <col min="6915" max="6915" width="15.625" style="1271" customWidth="1"/>
    <col min="6916" max="6916" width="9.375" style="1271" bestFit="1" customWidth="1"/>
    <col min="6917" max="6917" width="13.5" style="1271" customWidth="1"/>
    <col min="6918" max="6918" width="9" style="1271"/>
    <col min="6919" max="6919" width="9.375" style="1271" bestFit="1" customWidth="1"/>
    <col min="6920" max="6921" width="9" style="1271"/>
    <col min="6922" max="6922" width="9.375" style="1271" bestFit="1" customWidth="1"/>
    <col min="6923" max="6923" width="4" style="1271" customWidth="1"/>
    <col min="6924" max="6924" width="5.125" style="1271" customWidth="1"/>
    <col min="6925" max="6925" width="13.75" style="1271" customWidth="1"/>
    <col min="6926" max="7168" width="9" style="1271"/>
    <col min="7169" max="7169" width="4.875" style="1271" customWidth="1"/>
    <col min="7170" max="7170" width="13.25" style="1271" customWidth="1"/>
    <col min="7171" max="7171" width="15.625" style="1271" customWidth="1"/>
    <col min="7172" max="7172" width="9.375" style="1271" bestFit="1" customWidth="1"/>
    <col min="7173" max="7173" width="13.5" style="1271" customWidth="1"/>
    <col min="7174" max="7174" width="9" style="1271"/>
    <col min="7175" max="7175" width="9.375" style="1271" bestFit="1" customWidth="1"/>
    <col min="7176" max="7177" width="9" style="1271"/>
    <col min="7178" max="7178" width="9.375" style="1271" bestFit="1" customWidth="1"/>
    <col min="7179" max="7179" width="4" style="1271" customWidth="1"/>
    <col min="7180" max="7180" width="5.125" style="1271" customWidth="1"/>
    <col min="7181" max="7181" width="13.75" style="1271" customWidth="1"/>
    <col min="7182" max="7424" width="9" style="1271"/>
    <col min="7425" max="7425" width="4.875" style="1271" customWidth="1"/>
    <col min="7426" max="7426" width="13.25" style="1271" customWidth="1"/>
    <col min="7427" max="7427" width="15.625" style="1271" customWidth="1"/>
    <col min="7428" max="7428" width="9.375" style="1271" bestFit="1" customWidth="1"/>
    <col min="7429" max="7429" width="13.5" style="1271" customWidth="1"/>
    <col min="7430" max="7430" width="9" style="1271"/>
    <col min="7431" max="7431" width="9.375" style="1271" bestFit="1" customWidth="1"/>
    <col min="7432" max="7433" width="9" style="1271"/>
    <col min="7434" max="7434" width="9.375" style="1271" bestFit="1" customWidth="1"/>
    <col min="7435" max="7435" width="4" style="1271" customWidth="1"/>
    <col min="7436" max="7436" width="5.125" style="1271" customWidth="1"/>
    <col min="7437" max="7437" width="13.75" style="1271" customWidth="1"/>
    <col min="7438" max="7680" width="9" style="1271"/>
    <col min="7681" max="7681" width="4.875" style="1271" customWidth="1"/>
    <col min="7682" max="7682" width="13.25" style="1271" customWidth="1"/>
    <col min="7683" max="7683" width="15.625" style="1271" customWidth="1"/>
    <col min="7684" max="7684" width="9.375" style="1271" bestFit="1" customWidth="1"/>
    <col min="7685" max="7685" width="13.5" style="1271" customWidth="1"/>
    <col min="7686" max="7686" width="9" style="1271"/>
    <col min="7687" max="7687" width="9.375" style="1271" bestFit="1" customWidth="1"/>
    <col min="7688" max="7689" width="9" style="1271"/>
    <col min="7690" max="7690" width="9.375" style="1271" bestFit="1" customWidth="1"/>
    <col min="7691" max="7691" width="4" style="1271" customWidth="1"/>
    <col min="7692" max="7692" width="5.125" style="1271" customWidth="1"/>
    <col min="7693" max="7693" width="13.75" style="1271" customWidth="1"/>
    <col min="7694" max="7936" width="9" style="1271"/>
    <col min="7937" max="7937" width="4.875" style="1271" customWidth="1"/>
    <col min="7938" max="7938" width="13.25" style="1271" customWidth="1"/>
    <col min="7939" max="7939" width="15.625" style="1271" customWidth="1"/>
    <col min="7940" max="7940" width="9.375" style="1271" bestFit="1" customWidth="1"/>
    <col min="7941" max="7941" width="13.5" style="1271" customWidth="1"/>
    <col min="7942" max="7942" width="9" style="1271"/>
    <col min="7943" max="7943" width="9.375" style="1271" bestFit="1" customWidth="1"/>
    <col min="7944" max="7945" width="9" style="1271"/>
    <col min="7946" max="7946" width="9.375" style="1271" bestFit="1" customWidth="1"/>
    <col min="7947" max="7947" width="4" style="1271" customWidth="1"/>
    <col min="7948" max="7948" width="5.125" style="1271" customWidth="1"/>
    <col min="7949" max="7949" width="13.75" style="1271" customWidth="1"/>
    <col min="7950" max="8192" width="9" style="1271"/>
    <col min="8193" max="8193" width="4.875" style="1271" customWidth="1"/>
    <col min="8194" max="8194" width="13.25" style="1271" customWidth="1"/>
    <col min="8195" max="8195" width="15.625" style="1271" customWidth="1"/>
    <col min="8196" max="8196" width="9.375" style="1271" bestFit="1" customWidth="1"/>
    <col min="8197" max="8197" width="13.5" style="1271" customWidth="1"/>
    <col min="8198" max="8198" width="9" style="1271"/>
    <col min="8199" max="8199" width="9.375" style="1271" bestFit="1" customWidth="1"/>
    <col min="8200" max="8201" width="9" style="1271"/>
    <col min="8202" max="8202" width="9.375" style="1271" bestFit="1" customWidth="1"/>
    <col min="8203" max="8203" width="4" style="1271" customWidth="1"/>
    <col min="8204" max="8204" width="5.125" style="1271" customWidth="1"/>
    <col min="8205" max="8205" width="13.75" style="1271" customWidth="1"/>
    <col min="8206" max="8448" width="9" style="1271"/>
    <col min="8449" max="8449" width="4.875" style="1271" customWidth="1"/>
    <col min="8450" max="8450" width="13.25" style="1271" customWidth="1"/>
    <col min="8451" max="8451" width="15.625" style="1271" customWidth="1"/>
    <col min="8452" max="8452" width="9.375" style="1271" bestFit="1" customWidth="1"/>
    <col min="8453" max="8453" width="13.5" style="1271" customWidth="1"/>
    <col min="8454" max="8454" width="9" style="1271"/>
    <col min="8455" max="8455" width="9.375" style="1271" bestFit="1" customWidth="1"/>
    <col min="8456" max="8457" width="9" style="1271"/>
    <col min="8458" max="8458" width="9.375" style="1271" bestFit="1" customWidth="1"/>
    <col min="8459" max="8459" width="4" style="1271" customWidth="1"/>
    <col min="8460" max="8460" width="5.125" style="1271" customWidth="1"/>
    <col min="8461" max="8461" width="13.75" style="1271" customWidth="1"/>
    <col min="8462" max="8704" width="9" style="1271"/>
    <col min="8705" max="8705" width="4.875" style="1271" customWidth="1"/>
    <col min="8706" max="8706" width="13.25" style="1271" customWidth="1"/>
    <col min="8707" max="8707" width="15.625" style="1271" customWidth="1"/>
    <col min="8708" max="8708" width="9.375" style="1271" bestFit="1" customWidth="1"/>
    <col min="8709" max="8709" width="13.5" style="1271" customWidth="1"/>
    <col min="8710" max="8710" width="9" style="1271"/>
    <col min="8711" max="8711" width="9.375" style="1271" bestFit="1" customWidth="1"/>
    <col min="8712" max="8713" width="9" style="1271"/>
    <col min="8714" max="8714" width="9.375" style="1271" bestFit="1" customWidth="1"/>
    <col min="8715" max="8715" width="4" style="1271" customWidth="1"/>
    <col min="8716" max="8716" width="5.125" style="1271" customWidth="1"/>
    <col min="8717" max="8717" width="13.75" style="1271" customWidth="1"/>
    <col min="8718" max="8960" width="9" style="1271"/>
    <col min="8961" max="8961" width="4.875" style="1271" customWidth="1"/>
    <col min="8962" max="8962" width="13.25" style="1271" customWidth="1"/>
    <col min="8963" max="8963" width="15.625" style="1271" customWidth="1"/>
    <col min="8964" max="8964" width="9.375" style="1271" bestFit="1" customWidth="1"/>
    <col min="8965" max="8965" width="13.5" style="1271" customWidth="1"/>
    <col min="8966" max="8966" width="9" style="1271"/>
    <col min="8967" max="8967" width="9.375" style="1271" bestFit="1" customWidth="1"/>
    <col min="8968" max="8969" width="9" style="1271"/>
    <col min="8970" max="8970" width="9.375" style="1271" bestFit="1" customWidth="1"/>
    <col min="8971" max="8971" width="4" style="1271" customWidth="1"/>
    <col min="8972" max="8972" width="5.125" style="1271" customWidth="1"/>
    <col min="8973" max="8973" width="13.75" style="1271" customWidth="1"/>
    <col min="8974" max="9216" width="9" style="1271"/>
    <col min="9217" max="9217" width="4.875" style="1271" customWidth="1"/>
    <col min="9218" max="9218" width="13.25" style="1271" customWidth="1"/>
    <col min="9219" max="9219" width="15.625" style="1271" customWidth="1"/>
    <col min="9220" max="9220" width="9.375" style="1271" bestFit="1" customWidth="1"/>
    <col min="9221" max="9221" width="13.5" style="1271" customWidth="1"/>
    <col min="9222" max="9222" width="9" style="1271"/>
    <col min="9223" max="9223" width="9.375" style="1271" bestFit="1" customWidth="1"/>
    <col min="9224" max="9225" width="9" style="1271"/>
    <col min="9226" max="9226" width="9.375" style="1271" bestFit="1" customWidth="1"/>
    <col min="9227" max="9227" width="4" style="1271" customWidth="1"/>
    <col min="9228" max="9228" width="5.125" style="1271" customWidth="1"/>
    <col min="9229" max="9229" width="13.75" style="1271" customWidth="1"/>
    <col min="9230" max="9472" width="9" style="1271"/>
    <col min="9473" max="9473" width="4.875" style="1271" customWidth="1"/>
    <col min="9474" max="9474" width="13.25" style="1271" customWidth="1"/>
    <col min="9475" max="9475" width="15.625" style="1271" customWidth="1"/>
    <col min="9476" max="9476" width="9.375" style="1271" bestFit="1" customWidth="1"/>
    <col min="9477" max="9477" width="13.5" style="1271" customWidth="1"/>
    <col min="9478" max="9478" width="9" style="1271"/>
    <col min="9479" max="9479" width="9.375" style="1271" bestFit="1" customWidth="1"/>
    <col min="9480" max="9481" width="9" style="1271"/>
    <col min="9482" max="9482" width="9.375" style="1271" bestFit="1" customWidth="1"/>
    <col min="9483" max="9483" width="4" style="1271" customWidth="1"/>
    <col min="9484" max="9484" width="5.125" style="1271" customWidth="1"/>
    <col min="9485" max="9485" width="13.75" style="1271" customWidth="1"/>
    <col min="9486" max="9728" width="9" style="1271"/>
    <col min="9729" max="9729" width="4.875" style="1271" customWidth="1"/>
    <col min="9730" max="9730" width="13.25" style="1271" customWidth="1"/>
    <col min="9731" max="9731" width="15.625" style="1271" customWidth="1"/>
    <col min="9732" max="9732" width="9.375" style="1271" bestFit="1" customWidth="1"/>
    <col min="9733" max="9733" width="13.5" style="1271" customWidth="1"/>
    <col min="9734" max="9734" width="9" style="1271"/>
    <col min="9735" max="9735" width="9.375" style="1271" bestFit="1" customWidth="1"/>
    <col min="9736" max="9737" width="9" style="1271"/>
    <col min="9738" max="9738" width="9.375" style="1271" bestFit="1" customWidth="1"/>
    <col min="9739" max="9739" width="4" style="1271" customWidth="1"/>
    <col min="9740" max="9740" width="5.125" style="1271" customWidth="1"/>
    <col min="9741" max="9741" width="13.75" style="1271" customWidth="1"/>
    <col min="9742" max="9984" width="9" style="1271"/>
    <col min="9985" max="9985" width="4.875" style="1271" customWidth="1"/>
    <col min="9986" max="9986" width="13.25" style="1271" customWidth="1"/>
    <col min="9987" max="9987" width="15.625" style="1271" customWidth="1"/>
    <col min="9988" max="9988" width="9.375" style="1271" bestFit="1" customWidth="1"/>
    <col min="9989" max="9989" width="13.5" style="1271" customWidth="1"/>
    <col min="9990" max="9990" width="9" style="1271"/>
    <col min="9991" max="9991" width="9.375" style="1271" bestFit="1" customWidth="1"/>
    <col min="9992" max="9993" width="9" style="1271"/>
    <col min="9994" max="9994" width="9.375" style="1271" bestFit="1" customWidth="1"/>
    <col min="9995" max="9995" width="4" style="1271" customWidth="1"/>
    <col min="9996" max="9996" width="5.125" style="1271" customWidth="1"/>
    <col min="9997" max="9997" width="13.75" style="1271" customWidth="1"/>
    <col min="9998" max="10240" width="9" style="1271"/>
    <col min="10241" max="10241" width="4.875" style="1271" customWidth="1"/>
    <col min="10242" max="10242" width="13.25" style="1271" customWidth="1"/>
    <col min="10243" max="10243" width="15.625" style="1271" customWidth="1"/>
    <col min="10244" max="10244" width="9.375" style="1271" bestFit="1" customWidth="1"/>
    <col min="10245" max="10245" width="13.5" style="1271" customWidth="1"/>
    <col min="10246" max="10246" width="9" style="1271"/>
    <col min="10247" max="10247" width="9.375" style="1271" bestFit="1" customWidth="1"/>
    <col min="10248" max="10249" width="9" style="1271"/>
    <col min="10250" max="10250" width="9.375" style="1271" bestFit="1" customWidth="1"/>
    <col min="10251" max="10251" width="4" style="1271" customWidth="1"/>
    <col min="10252" max="10252" width="5.125" style="1271" customWidth="1"/>
    <col min="10253" max="10253" width="13.75" style="1271" customWidth="1"/>
    <col min="10254" max="10496" width="9" style="1271"/>
    <col min="10497" max="10497" width="4.875" style="1271" customWidth="1"/>
    <col min="10498" max="10498" width="13.25" style="1271" customWidth="1"/>
    <col min="10499" max="10499" width="15.625" style="1271" customWidth="1"/>
    <col min="10500" max="10500" width="9.375" style="1271" bestFit="1" customWidth="1"/>
    <col min="10501" max="10501" width="13.5" style="1271" customWidth="1"/>
    <col min="10502" max="10502" width="9" style="1271"/>
    <col min="10503" max="10503" width="9.375" style="1271" bestFit="1" customWidth="1"/>
    <col min="10504" max="10505" width="9" style="1271"/>
    <col min="10506" max="10506" width="9.375" style="1271" bestFit="1" customWidth="1"/>
    <col min="10507" max="10507" width="4" style="1271" customWidth="1"/>
    <col min="10508" max="10508" width="5.125" style="1271" customWidth="1"/>
    <col min="10509" max="10509" width="13.75" style="1271" customWidth="1"/>
    <col min="10510" max="10752" width="9" style="1271"/>
    <col min="10753" max="10753" width="4.875" style="1271" customWidth="1"/>
    <col min="10754" max="10754" width="13.25" style="1271" customWidth="1"/>
    <col min="10755" max="10755" width="15.625" style="1271" customWidth="1"/>
    <col min="10756" max="10756" width="9.375" style="1271" bestFit="1" customWidth="1"/>
    <col min="10757" max="10757" width="13.5" style="1271" customWidth="1"/>
    <col min="10758" max="10758" width="9" style="1271"/>
    <col min="10759" max="10759" width="9.375" style="1271" bestFit="1" customWidth="1"/>
    <col min="10760" max="10761" width="9" style="1271"/>
    <col min="10762" max="10762" width="9.375" style="1271" bestFit="1" customWidth="1"/>
    <col min="10763" max="10763" width="4" style="1271" customWidth="1"/>
    <col min="10764" max="10764" width="5.125" style="1271" customWidth="1"/>
    <col min="10765" max="10765" width="13.75" style="1271" customWidth="1"/>
    <col min="10766" max="11008" width="9" style="1271"/>
    <col min="11009" max="11009" width="4.875" style="1271" customWidth="1"/>
    <col min="11010" max="11010" width="13.25" style="1271" customWidth="1"/>
    <col min="11011" max="11011" width="15.625" style="1271" customWidth="1"/>
    <col min="11012" max="11012" width="9.375" style="1271" bestFit="1" customWidth="1"/>
    <col min="11013" max="11013" width="13.5" style="1271" customWidth="1"/>
    <col min="11014" max="11014" width="9" style="1271"/>
    <col min="11015" max="11015" width="9.375" style="1271" bestFit="1" customWidth="1"/>
    <col min="11016" max="11017" width="9" style="1271"/>
    <col min="11018" max="11018" width="9.375" style="1271" bestFit="1" customWidth="1"/>
    <col min="11019" max="11019" width="4" style="1271" customWidth="1"/>
    <col min="11020" max="11020" width="5.125" style="1271" customWidth="1"/>
    <col min="11021" max="11021" width="13.75" style="1271" customWidth="1"/>
    <col min="11022" max="11264" width="9" style="1271"/>
    <col min="11265" max="11265" width="4.875" style="1271" customWidth="1"/>
    <col min="11266" max="11266" width="13.25" style="1271" customWidth="1"/>
    <col min="11267" max="11267" width="15.625" style="1271" customWidth="1"/>
    <col min="11268" max="11268" width="9.375" style="1271" bestFit="1" customWidth="1"/>
    <col min="11269" max="11269" width="13.5" style="1271" customWidth="1"/>
    <col min="11270" max="11270" width="9" style="1271"/>
    <col min="11271" max="11271" width="9.375" style="1271" bestFit="1" customWidth="1"/>
    <col min="11272" max="11273" width="9" style="1271"/>
    <col min="11274" max="11274" width="9.375" style="1271" bestFit="1" customWidth="1"/>
    <col min="11275" max="11275" width="4" style="1271" customWidth="1"/>
    <col min="11276" max="11276" width="5.125" style="1271" customWidth="1"/>
    <col min="11277" max="11277" width="13.75" style="1271" customWidth="1"/>
    <col min="11278" max="11520" width="9" style="1271"/>
    <col min="11521" max="11521" width="4.875" style="1271" customWidth="1"/>
    <col min="11522" max="11522" width="13.25" style="1271" customWidth="1"/>
    <col min="11523" max="11523" width="15.625" style="1271" customWidth="1"/>
    <col min="11524" max="11524" width="9.375" style="1271" bestFit="1" customWidth="1"/>
    <col min="11525" max="11525" width="13.5" style="1271" customWidth="1"/>
    <col min="11526" max="11526" width="9" style="1271"/>
    <col min="11527" max="11527" width="9.375" style="1271" bestFit="1" customWidth="1"/>
    <col min="11528" max="11529" width="9" style="1271"/>
    <col min="11530" max="11530" width="9.375" style="1271" bestFit="1" customWidth="1"/>
    <col min="11531" max="11531" width="4" style="1271" customWidth="1"/>
    <col min="11532" max="11532" width="5.125" style="1271" customWidth="1"/>
    <col min="11533" max="11533" width="13.75" style="1271" customWidth="1"/>
    <col min="11534" max="11776" width="9" style="1271"/>
    <col min="11777" max="11777" width="4.875" style="1271" customWidth="1"/>
    <col min="11778" max="11778" width="13.25" style="1271" customWidth="1"/>
    <col min="11779" max="11779" width="15.625" style="1271" customWidth="1"/>
    <col min="11780" max="11780" width="9.375" style="1271" bestFit="1" customWidth="1"/>
    <col min="11781" max="11781" width="13.5" style="1271" customWidth="1"/>
    <col min="11782" max="11782" width="9" style="1271"/>
    <col min="11783" max="11783" width="9.375" style="1271" bestFit="1" customWidth="1"/>
    <col min="11784" max="11785" width="9" style="1271"/>
    <col min="11786" max="11786" width="9.375" style="1271" bestFit="1" customWidth="1"/>
    <col min="11787" max="11787" width="4" style="1271" customWidth="1"/>
    <col min="11788" max="11788" width="5.125" style="1271" customWidth="1"/>
    <col min="11789" max="11789" width="13.75" style="1271" customWidth="1"/>
    <col min="11790" max="12032" width="9" style="1271"/>
    <col min="12033" max="12033" width="4.875" style="1271" customWidth="1"/>
    <col min="12034" max="12034" width="13.25" style="1271" customWidth="1"/>
    <col min="12035" max="12035" width="15.625" style="1271" customWidth="1"/>
    <col min="12036" max="12036" width="9.375" style="1271" bestFit="1" customWidth="1"/>
    <col min="12037" max="12037" width="13.5" style="1271" customWidth="1"/>
    <col min="12038" max="12038" width="9" style="1271"/>
    <col min="12039" max="12039" width="9.375" style="1271" bestFit="1" customWidth="1"/>
    <col min="12040" max="12041" width="9" style="1271"/>
    <col min="12042" max="12042" width="9.375" style="1271" bestFit="1" customWidth="1"/>
    <col min="12043" max="12043" width="4" style="1271" customWidth="1"/>
    <col min="12044" max="12044" width="5.125" style="1271" customWidth="1"/>
    <col min="12045" max="12045" width="13.75" style="1271" customWidth="1"/>
    <col min="12046" max="12288" width="9" style="1271"/>
    <col min="12289" max="12289" width="4.875" style="1271" customWidth="1"/>
    <col min="12290" max="12290" width="13.25" style="1271" customWidth="1"/>
    <col min="12291" max="12291" width="15.625" style="1271" customWidth="1"/>
    <col min="12292" max="12292" width="9.375" style="1271" bestFit="1" customWidth="1"/>
    <col min="12293" max="12293" width="13.5" style="1271" customWidth="1"/>
    <col min="12294" max="12294" width="9" style="1271"/>
    <col min="12295" max="12295" width="9.375" style="1271" bestFit="1" customWidth="1"/>
    <col min="12296" max="12297" width="9" style="1271"/>
    <col min="12298" max="12298" width="9.375" style="1271" bestFit="1" customWidth="1"/>
    <col min="12299" max="12299" width="4" style="1271" customWidth="1"/>
    <col min="12300" max="12300" width="5.125" style="1271" customWidth="1"/>
    <col min="12301" max="12301" width="13.75" style="1271" customWidth="1"/>
    <col min="12302" max="12544" width="9" style="1271"/>
    <col min="12545" max="12545" width="4.875" style="1271" customWidth="1"/>
    <col min="12546" max="12546" width="13.25" style="1271" customWidth="1"/>
    <col min="12547" max="12547" width="15.625" style="1271" customWidth="1"/>
    <col min="12548" max="12548" width="9.375" style="1271" bestFit="1" customWidth="1"/>
    <col min="12549" max="12549" width="13.5" style="1271" customWidth="1"/>
    <col min="12550" max="12550" width="9" style="1271"/>
    <col min="12551" max="12551" width="9.375" style="1271" bestFit="1" customWidth="1"/>
    <col min="12552" max="12553" width="9" style="1271"/>
    <col min="12554" max="12554" width="9.375" style="1271" bestFit="1" customWidth="1"/>
    <col min="12555" max="12555" width="4" style="1271" customWidth="1"/>
    <col min="12556" max="12556" width="5.125" style="1271" customWidth="1"/>
    <col min="12557" max="12557" width="13.75" style="1271" customWidth="1"/>
    <col min="12558" max="12800" width="9" style="1271"/>
    <col min="12801" max="12801" width="4.875" style="1271" customWidth="1"/>
    <col min="12802" max="12802" width="13.25" style="1271" customWidth="1"/>
    <col min="12803" max="12803" width="15.625" style="1271" customWidth="1"/>
    <col min="12804" max="12804" width="9.375" style="1271" bestFit="1" customWidth="1"/>
    <col min="12805" max="12805" width="13.5" style="1271" customWidth="1"/>
    <col min="12806" max="12806" width="9" style="1271"/>
    <col min="12807" max="12807" width="9.375" style="1271" bestFit="1" customWidth="1"/>
    <col min="12808" max="12809" width="9" style="1271"/>
    <col min="12810" max="12810" width="9.375" style="1271" bestFit="1" customWidth="1"/>
    <col min="12811" max="12811" width="4" style="1271" customWidth="1"/>
    <col min="12812" max="12812" width="5.125" style="1271" customWidth="1"/>
    <col min="12813" max="12813" width="13.75" style="1271" customWidth="1"/>
    <col min="12814" max="13056" width="9" style="1271"/>
    <col min="13057" max="13057" width="4.875" style="1271" customWidth="1"/>
    <col min="13058" max="13058" width="13.25" style="1271" customWidth="1"/>
    <col min="13059" max="13059" width="15.625" style="1271" customWidth="1"/>
    <col min="13060" max="13060" width="9.375" style="1271" bestFit="1" customWidth="1"/>
    <col min="13061" max="13061" width="13.5" style="1271" customWidth="1"/>
    <col min="13062" max="13062" width="9" style="1271"/>
    <col min="13063" max="13063" width="9.375" style="1271" bestFit="1" customWidth="1"/>
    <col min="13064" max="13065" width="9" style="1271"/>
    <col min="13066" max="13066" width="9.375" style="1271" bestFit="1" customWidth="1"/>
    <col min="13067" max="13067" width="4" style="1271" customWidth="1"/>
    <col min="13068" max="13068" width="5.125" style="1271" customWidth="1"/>
    <col min="13069" max="13069" width="13.75" style="1271" customWidth="1"/>
    <col min="13070" max="13312" width="9" style="1271"/>
    <col min="13313" max="13313" width="4.875" style="1271" customWidth="1"/>
    <col min="13314" max="13314" width="13.25" style="1271" customWidth="1"/>
    <col min="13315" max="13315" width="15.625" style="1271" customWidth="1"/>
    <col min="13316" max="13316" width="9.375" style="1271" bestFit="1" customWidth="1"/>
    <col min="13317" max="13317" width="13.5" style="1271" customWidth="1"/>
    <col min="13318" max="13318" width="9" style="1271"/>
    <col min="13319" max="13319" width="9.375" style="1271" bestFit="1" customWidth="1"/>
    <col min="13320" max="13321" width="9" style="1271"/>
    <col min="13322" max="13322" width="9.375" style="1271" bestFit="1" customWidth="1"/>
    <col min="13323" max="13323" width="4" style="1271" customWidth="1"/>
    <col min="13324" max="13324" width="5.125" style="1271" customWidth="1"/>
    <col min="13325" max="13325" width="13.75" style="1271" customWidth="1"/>
    <col min="13326" max="13568" width="9" style="1271"/>
    <col min="13569" max="13569" width="4.875" style="1271" customWidth="1"/>
    <col min="13570" max="13570" width="13.25" style="1271" customWidth="1"/>
    <col min="13571" max="13571" width="15.625" style="1271" customWidth="1"/>
    <col min="13572" max="13572" width="9.375" style="1271" bestFit="1" customWidth="1"/>
    <col min="13573" max="13573" width="13.5" style="1271" customWidth="1"/>
    <col min="13574" max="13574" width="9" style="1271"/>
    <col min="13575" max="13575" width="9.375" style="1271" bestFit="1" customWidth="1"/>
    <col min="13576" max="13577" width="9" style="1271"/>
    <col min="13578" max="13578" width="9.375" style="1271" bestFit="1" customWidth="1"/>
    <col min="13579" max="13579" width="4" style="1271" customWidth="1"/>
    <col min="13580" max="13580" width="5.125" style="1271" customWidth="1"/>
    <col min="13581" max="13581" width="13.75" style="1271" customWidth="1"/>
    <col min="13582" max="13824" width="9" style="1271"/>
    <col min="13825" max="13825" width="4.875" style="1271" customWidth="1"/>
    <col min="13826" max="13826" width="13.25" style="1271" customWidth="1"/>
    <col min="13827" max="13827" width="15.625" style="1271" customWidth="1"/>
    <col min="13828" max="13828" width="9.375" style="1271" bestFit="1" customWidth="1"/>
    <col min="13829" max="13829" width="13.5" style="1271" customWidth="1"/>
    <col min="13830" max="13830" width="9" style="1271"/>
    <col min="13831" max="13831" width="9.375" style="1271" bestFit="1" customWidth="1"/>
    <col min="13832" max="13833" width="9" style="1271"/>
    <col min="13834" max="13834" width="9.375" style="1271" bestFit="1" customWidth="1"/>
    <col min="13835" max="13835" width="4" style="1271" customWidth="1"/>
    <col min="13836" max="13836" width="5.125" style="1271" customWidth="1"/>
    <col min="13837" max="13837" width="13.75" style="1271" customWidth="1"/>
    <col min="13838" max="14080" width="9" style="1271"/>
    <col min="14081" max="14081" width="4.875" style="1271" customWidth="1"/>
    <col min="14082" max="14082" width="13.25" style="1271" customWidth="1"/>
    <col min="14083" max="14083" width="15.625" style="1271" customWidth="1"/>
    <col min="14084" max="14084" width="9.375" style="1271" bestFit="1" customWidth="1"/>
    <col min="14085" max="14085" width="13.5" style="1271" customWidth="1"/>
    <col min="14086" max="14086" width="9" style="1271"/>
    <col min="14087" max="14087" width="9.375" style="1271" bestFit="1" customWidth="1"/>
    <col min="14088" max="14089" width="9" style="1271"/>
    <col min="14090" max="14090" width="9.375" style="1271" bestFit="1" customWidth="1"/>
    <col min="14091" max="14091" width="4" style="1271" customWidth="1"/>
    <col min="14092" max="14092" width="5.125" style="1271" customWidth="1"/>
    <col min="14093" max="14093" width="13.75" style="1271" customWidth="1"/>
    <col min="14094" max="14336" width="9" style="1271"/>
    <col min="14337" max="14337" width="4.875" style="1271" customWidth="1"/>
    <col min="14338" max="14338" width="13.25" style="1271" customWidth="1"/>
    <col min="14339" max="14339" width="15.625" style="1271" customWidth="1"/>
    <col min="14340" max="14340" width="9.375" style="1271" bestFit="1" customWidth="1"/>
    <col min="14341" max="14341" width="13.5" style="1271" customWidth="1"/>
    <col min="14342" max="14342" width="9" style="1271"/>
    <col min="14343" max="14343" width="9.375" style="1271" bestFit="1" customWidth="1"/>
    <col min="14344" max="14345" width="9" style="1271"/>
    <col min="14346" max="14346" width="9.375" style="1271" bestFit="1" customWidth="1"/>
    <col min="14347" max="14347" width="4" style="1271" customWidth="1"/>
    <col min="14348" max="14348" width="5.125" style="1271" customWidth="1"/>
    <col min="14349" max="14349" width="13.75" style="1271" customWidth="1"/>
    <col min="14350" max="14592" width="9" style="1271"/>
    <col min="14593" max="14593" width="4.875" style="1271" customWidth="1"/>
    <col min="14594" max="14594" width="13.25" style="1271" customWidth="1"/>
    <col min="14595" max="14595" width="15.625" style="1271" customWidth="1"/>
    <col min="14596" max="14596" width="9.375" style="1271" bestFit="1" customWidth="1"/>
    <col min="14597" max="14597" width="13.5" style="1271" customWidth="1"/>
    <col min="14598" max="14598" width="9" style="1271"/>
    <col min="14599" max="14599" width="9.375" style="1271" bestFit="1" customWidth="1"/>
    <col min="14600" max="14601" width="9" style="1271"/>
    <col min="14602" max="14602" width="9.375" style="1271" bestFit="1" customWidth="1"/>
    <col min="14603" max="14603" width="4" style="1271" customWidth="1"/>
    <col min="14604" max="14604" width="5.125" style="1271" customWidth="1"/>
    <col min="14605" max="14605" width="13.75" style="1271" customWidth="1"/>
    <col min="14606" max="14848" width="9" style="1271"/>
    <col min="14849" max="14849" width="4.875" style="1271" customWidth="1"/>
    <col min="14850" max="14850" width="13.25" style="1271" customWidth="1"/>
    <col min="14851" max="14851" width="15.625" style="1271" customWidth="1"/>
    <col min="14852" max="14852" width="9.375" style="1271" bestFit="1" customWidth="1"/>
    <col min="14853" max="14853" width="13.5" style="1271" customWidth="1"/>
    <col min="14854" max="14854" width="9" style="1271"/>
    <col min="14855" max="14855" width="9.375" style="1271" bestFit="1" customWidth="1"/>
    <col min="14856" max="14857" width="9" style="1271"/>
    <col min="14858" max="14858" width="9.375" style="1271" bestFit="1" customWidth="1"/>
    <col min="14859" max="14859" width="4" style="1271" customWidth="1"/>
    <col min="14860" max="14860" width="5.125" style="1271" customWidth="1"/>
    <col min="14861" max="14861" width="13.75" style="1271" customWidth="1"/>
    <col min="14862" max="15104" width="9" style="1271"/>
    <col min="15105" max="15105" width="4.875" style="1271" customWidth="1"/>
    <col min="15106" max="15106" width="13.25" style="1271" customWidth="1"/>
    <col min="15107" max="15107" width="15.625" style="1271" customWidth="1"/>
    <col min="15108" max="15108" width="9.375" style="1271" bestFit="1" customWidth="1"/>
    <col min="15109" max="15109" width="13.5" style="1271" customWidth="1"/>
    <col min="15110" max="15110" width="9" style="1271"/>
    <col min="15111" max="15111" width="9.375" style="1271" bestFit="1" customWidth="1"/>
    <col min="15112" max="15113" width="9" style="1271"/>
    <col min="15114" max="15114" width="9.375" style="1271" bestFit="1" customWidth="1"/>
    <col min="15115" max="15115" width="4" style="1271" customWidth="1"/>
    <col min="15116" max="15116" width="5.125" style="1271" customWidth="1"/>
    <col min="15117" max="15117" width="13.75" style="1271" customWidth="1"/>
    <col min="15118" max="15360" width="9" style="1271"/>
    <col min="15361" max="15361" width="4.875" style="1271" customWidth="1"/>
    <col min="15362" max="15362" width="13.25" style="1271" customWidth="1"/>
    <col min="15363" max="15363" width="15.625" style="1271" customWidth="1"/>
    <col min="15364" max="15364" width="9.375" style="1271" bestFit="1" customWidth="1"/>
    <col min="15365" max="15365" width="13.5" style="1271" customWidth="1"/>
    <col min="15366" max="15366" width="9" style="1271"/>
    <col min="15367" max="15367" width="9.375" style="1271" bestFit="1" customWidth="1"/>
    <col min="15368" max="15369" width="9" style="1271"/>
    <col min="15370" max="15370" width="9.375" style="1271" bestFit="1" customWidth="1"/>
    <col min="15371" max="15371" width="4" style="1271" customWidth="1"/>
    <col min="15372" max="15372" width="5.125" style="1271" customWidth="1"/>
    <col min="15373" max="15373" width="13.75" style="1271" customWidth="1"/>
    <col min="15374" max="15616" width="9" style="1271"/>
    <col min="15617" max="15617" width="4.875" style="1271" customWidth="1"/>
    <col min="15618" max="15618" width="13.25" style="1271" customWidth="1"/>
    <col min="15619" max="15619" width="15.625" style="1271" customWidth="1"/>
    <col min="15620" max="15620" width="9.375" style="1271" bestFit="1" customWidth="1"/>
    <col min="15621" max="15621" width="13.5" style="1271" customWidth="1"/>
    <col min="15622" max="15622" width="9" style="1271"/>
    <col min="15623" max="15623" width="9.375" style="1271" bestFit="1" customWidth="1"/>
    <col min="15624" max="15625" width="9" style="1271"/>
    <col min="15626" max="15626" width="9.375" style="1271" bestFit="1" customWidth="1"/>
    <col min="15627" max="15627" width="4" style="1271" customWidth="1"/>
    <col min="15628" max="15628" width="5.125" style="1271" customWidth="1"/>
    <col min="15629" max="15629" width="13.75" style="1271" customWidth="1"/>
    <col min="15630" max="15872" width="9" style="1271"/>
    <col min="15873" max="15873" width="4.875" style="1271" customWidth="1"/>
    <col min="15874" max="15874" width="13.25" style="1271" customWidth="1"/>
    <col min="15875" max="15875" width="15.625" style="1271" customWidth="1"/>
    <col min="15876" max="15876" width="9.375" style="1271" bestFit="1" customWidth="1"/>
    <col min="15877" max="15877" width="13.5" style="1271" customWidth="1"/>
    <col min="15878" max="15878" width="9" style="1271"/>
    <col min="15879" max="15879" width="9.375" style="1271" bestFit="1" customWidth="1"/>
    <col min="15880" max="15881" width="9" style="1271"/>
    <col min="15882" max="15882" width="9.375" style="1271" bestFit="1" customWidth="1"/>
    <col min="15883" max="15883" width="4" style="1271" customWidth="1"/>
    <col min="15884" max="15884" width="5.125" style="1271" customWidth="1"/>
    <col min="15885" max="15885" width="13.75" style="1271" customWidth="1"/>
    <col min="15886" max="16128" width="9" style="1271"/>
    <col min="16129" max="16129" width="4.875" style="1271" customWidth="1"/>
    <col min="16130" max="16130" width="13.25" style="1271" customWidth="1"/>
    <col min="16131" max="16131" width="15.625" style="1271" customWidth="1"/>
    <col min="16132" max="16132" width="9.375" style="1271" bestFit="1" customWidth="1"/>
    <col min="16133" max="16133" width="13.5" style="1271" customWidth="1"/>
    <col min="16134" max="16134" width="9" style="1271"/>
    <col min="16135" max="16135" width="9.375" style="1271" bestFit="1" customWidth="1"/>
    <col min="16136" max="16137" width="9" style="1271"/>
    <col min="16138" max="16138" width="9.375" style="1271" bestFit="1" customWidth="1"/>
    <col min="16139" max="16139" width="4" style="1271" customWidth="1"/>
    <col min="16140" max="16140" width="5.125" style="1271" customWidth="1"/>
    <col min="16141" max="16141" width="13.75" style="1271" customWidth="1"/>
    <col min="16142" max="16384" width="9" style="1271"/>
  </cols>
  <sheetData>
    <row r="1" spans="1:257" s="1331" customFormat="1" ht="14.25" thickBot="1">
      <c r="A1" s="1325"/>
      <c r="B1" s="1332" t="s">
        <v>1027</v>
      </c>
      <c r="C1" s="1326">
        <f>项目基本情况!D3</f>
        <v>44890</v>
      </c>
      <c r="D1" s="1332" t="s">
        <v>1028</v>
      </c>
      <c r="E1" s="1327">
        <f>'数据-取费表'!B22</f>
        <v>3</v>
      </c>
      <c r="F1" s="1332" t="s">
        <v>1029</v>
      </c>
      <c r="G1" s="1328">
        <f ca="1">INDIRECT("d"&amp;$K$1)/100</f>
        <v>3.6499999999999998E-2</v>
      </c>
      <c r="H1" s="1332" t="s">
        <v>1059</v>
      </c>
      <c r="I1" s="1328">
        <f ca="1">F4/100</f>
        <v>1.4999999999999999E-2</v>
      </c>
      <c r="J1" s="1333">
        <f>IF(C1&gt;C13,0,MATCH(C1,C$13:C$109,-1))+IF(SUMIF(C13:C109,C1,D13:D109)=0,13,12)</f>
        <v>13</v>
      </c>
      <c r="K1" s="1333">
        <f ca="1">MATCH(E1,C3:C7,1)+IF(SUMIF(C3:C7,E1,D3:D7)=0,2,1)</f>
        <v>5</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 thickTop="1" thickBot="1">
      <c r="A2" s="1272"/>
      <c r="B2" s="1272"/>
      <c r="C2" s="1272"/>
      <c r="D2" s="1272" t="s">
        <v>1030</v>
      </c>
      <c r="E2" s="1272"/>
      <c r="F2" s="1272" t="s">
        <v>1031</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1032</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1033</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1034</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1035</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25" thickBot="1">
      <c r="B7" s="1286" t="s">
        <v>1036</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0.25">
      <c r="A9" s="1294"/>
      <c r="B9" s="1295" t="s">
        <v>1037</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2.5">
      <c r="A10" s="1300"/>
      <c r="B10" s="1301" t="s">
        <v>1038</v>
      </c>
      <c r="C10" s="1300"/>
      <c r="D10" s="1300"/>
      <c r="E10" s="1300"/>
      <c r="F10" s="1300"/>
      <c r="G10" s="1300"/>
      <c r="H10" s="1300"/>
      <c r="I10" s="1274"/>
      <c r="J10" s="1274"/>
      <c r="K10" s="1300"/>
      <c r="L10" s="1301" t="s">
        <v>1039</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1040</v>
      </c>
      <c r="C11" s="1305" t="s">
        <v>1041</v>
      </c>
      <c r="D11" s="1306" t="s">
        <v>1042</v>
      </c>
      <c r="E11" s="1307"/>
      <c r="F11" s="1306" t="s">
        <v>1043</v>
      </c>
      <c r="G11" s="1308"/>
      <c r="H11" s="1307"/>
      <c r="I11" s="1306" t="s">
        <v>1044</v>
      </c>
      <c r="J11" s="1307"/>
      <c r="K11" s="1303"/>
      <c r="L11" s="1304" t="s">
        <v>1040</v>
      </c>
      <c r="M11" s="1305" t="s">
        <v>1041</v>
      </c>
      <c r="N11" s="1304" t="s">
        <v>1045</v>
      </c>
      <c r="O11" s="1306" t="s">
        <v>1046</v>
      </c>
      <c r="P11" s="1308"/>
      <c r="Q11" s="1308"/>
      <c r="R11" s="1308"/>
      <c r="S11" s="1308"/>
      <c r="T11" s="1307"/>
      <c r="U11" s="1306" t="s">
        <v>1047</v>
      </c>
      <c r="V11" s="1308"/>
      <c r="W11" s="1307"/>
      <c r="X11" s="1304" t="s">
        <v>1048</v>
      </c>
      <c r="Y11" s="1304" t="s">
        <v>1049</v>
      </c>
      <c r="Z11" s="1304" t="s">
        <v>1050</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1051</v>
      </c>
      <c r="E12" s="1312" t="s">
        <v>1052</v>
      </c>
      <c r="F12" s="1312" t="s">
        <v>1053</v>
      </c>
      <c r="G12" s="1312" t="s">
        <v>1054</v>
      </c>
      <c r="H12" s="1312" t="s">
        <v>1036</v>
      </c>
      <c r="I12" s="1313" t="s">
        <v>1055</v>
      </c>
      <c r="J12" s="1313" t="s">
        <v>1055</v>
      </c>
      <c r="K12" s="1303"/>
      <c r="L12" s="1310"/>
      <c r="M12" s="1311"/>
      <c r="N12" s="1310"/>
      <c r="O12" s="1313" t="s">
        <v>1056</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14.25">
      <c r="A13" s="1314"/>
      <c r="B13" s="1315" t="s">
        <v>1057</v>
      </c>
      <c r="C13" s="2739">
        <v>44795</v>
      </c>
      <c r="D13" s="1316">
        <v>3.65</v>
      </c>
      <c r="E13" s="1316">
        <f>D13</f>
        <v>3.65</v>
      </c>
      <c r="F13" s="1316">
        <f>D13</f>
        <v>3.65</v>
      </c>
      <c r="G13" s="1316">
        <f>D13</f>
        <v>3.65</v>
      </c>
      <c r="H13" s="1316">
        <v>4.3</v>
      </c>
      <c r="I13" s="1316"/>
      <c r="J13" s="1316"/>
      <c r="K13" s="1314"/>
      <c r="L13" s="1315" t="s">
        <v>1057</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4.25">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4.25">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4.25">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4.25">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5">
      <c r="A18" s="1314"/>
      <c r="B18" s="1320"/>
      <c r="C18" s="1321">
        <v>43881</v>
      </c>
      <c r="D18" s="1320">
        <v>4.05</v>
      </c>
      <c r="E18" s="1320">
        <v>4.05</v>
      </c>
      <c r="F18" s="1320">
        <v>4.05</v>
      </c>
      <c r="G18" s="1320">
        <v>4.05</v>
      </c>
      <c r="H18" s="1320">
        <v>4.75</v>
      </c>
      <c r="I18" s="1320"/>
      <c r="J18" s="1320"/>
      <c r="L18" s="2743"/>
      <c r="M18" s="2742">
        <v>41965</v>
      </c>
      <c r="N18" s="2743">
        <v>0.35</v>
      </c>
      <c r="O18" s="2743">
        <v>2.35</v>
      </c>
      <c r="P18" s="2743">
        <v>2.5499999999999998</v>
      </c>
      <c r="Q18" s="2743">
        <v>2.75</v>
      </c>
      <c r="R18" s="2743">
        <v>3.35</v>
      </c>
      <c r="S18" s="2743">
        <v>4</v>
      </c>
      <c r="T18" s="2743">
        <v>4.75</v>
      </c>
      <c r="U18" s="2744">
        <v>2.35</v>
      </c>
      <c r="V18" s="2744">
        <v>2.5499999999999998</v>
      </c>
      <c r="W18" s="2744">
        <v>2.75</v>
      </c>
      <c r="X18" s="2743"/>
      <c r="Y18" s="2744">
        <v>0.8</v>
      </c>
      <c r="Z18" s="2744">
        <v>1.35</v>
      </c>
    </row>
    <row r="19" spans="1:256" s="2745" customFormat="1" ht="14.25">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4.25">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4.25">
      <c r="A21" s="1314"/>
      <c r="B21" s="1315" t="s">
        <v>2808</v>
      </c>
      <c r="C21" s="1322">
        <v>43697</v>
      </c>
      <c r="D21" s="2738">
        <v>4.25</v>
      </c>
      <c r="E21" s="2738">
        <v>4.25</v>
      </c>
      <c r="F21" s="2738">
        <v>4.25</v>
      </c>
      <c r="G21" s="2738">
        <v>4.25</v>
      </c>
      <c r="H21" s="2738">
        <v>4.8499999999999996</v>
      </c>
      <c r="I21" s="2738"/>
      <c r="J21" s="2738"/>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4.25">
      <c r="A22" s="2740"/>
      <c r="B22" s="2741"/>
      <c r="C22" s="2742">
        <v>42301</v>
      </c>
      <c r="D22" s="2743">
        <v>4.3499999999999996</v>
      </c>
      <c r="E22" s="2743">
        <v>4.3499999999999996</v>
      </c>
      <c r="F22" s="2743">
        <v>4.75</v>
      </c>
      <c r="G22" s="2743">
        <v>4.75</v>
      </c>
      <c r="H22" s="2743">
        <v>4.9000000000000004</v>
      </c>
      <c r="I22" s="2743"/>
      <c r="J22" s="2743"/>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1058</v>
      </c>
      <c r="Y42" s="1320" t="s">
        <v>1058</v>
      </c>
      <c r="Z42" s="1320" t="s">
        <v>1058</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1058</v>
      </c>
      <c r="Y43" s="1320" t="s">
        <v>1058</v>
      </c>
      <c r="Z43" s="1320" t="s">
        <v>1058</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1058</v>
      </c>
      <c r="Y44" s="1320" t="s">
        <v>1058</v>
      </c>
      <c r="Z44" s="1320" t="s">
        <v>1058</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1058</v>
      </c>
      <c r="Y45" s="1320" t="s">
        <v>1058</v>
      </c>
      <c r="Z45" s="1320" t="s">
        <v>1058</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1058</v>
      </c>
      <c r="Y46" s="1320" t="s">
        <v>1058</v>
      </c>
      <c r="Z46" s="1320" t="s">
        <v>1058</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1058</v>
      </c>
      <c r="Y47" s="1320" t="s">
        <v>1058</v>
      </c>
      <c r="Z47" s="1320" t="s">
        <v>1058</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1058</v>
      </c>
      <c r="Y48" s="1320" t="s">
        <v>1058</v>
      </c>
      <c r="Z48" s="1320" t="s">
        <v>1058</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1058</v>
      </c>
      <c r="Y49" s="1320" t="s">
        <v>1058</v>
      </c>
      <c r="Z49" s="1320" t="s">
        <v>1058</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1058</v>
      </c>
      <c r="Y50" s="1320" t="s">
        <v>1058</v>
      </c>
      <c r="Z50" s="1320" t="s">
        <v>1058</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1058</v>
      </c>
      <c r="V51" s="1320" t="s">
        <v>1058</v>
      </c>
      <c r="W51" s="1320" t="s">
        <v>1058</v>
      </c>
      <c r="X51" s="1320" t="s">
        <v>1058</v>
      </c>
      <c r="Y51" s="1320" t="s">
        <v>1058</v>
      </c>
      <c r="Z51" s="1320" t="s">
        <v>1058</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1058</v>
      </c>
      <c r="J64" s="1320" t="s">
        <v>1058</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76" t="s">
        <v>1097</v>
      </c>
      <c r="E1" s="1370" t="s">
        <v>1101</v>
      </c>
      <c r="F1" s="1371" t="s">
        <v>1105</v>
      </c>
    </row>
    <row r="2" spans="1:13" ht="20.25">
      <c r="A2" s="1377" t="s">
        <v>1098</v>
      </c>
    </row>
    <row r="3" spans="1:13" ht="16.5">
      <c r="A3" s="1378" t="s">
        <v>1099</v>
      </c>
    </row>
    <row r="4" spans="1:13" ht="14.25">
      <c r="A4" s="1368" t="s">
        <v>1100</v>
      </c>
      <c r="B4" s="1373" t="s">
        <v>1102</v>
      </c>
      <c r="C4" s="1374"/>
      <c r="D4" s="1375"/>
      <c r="E4" s="1373" t="s">
        <v>27</v>
      </c>
      <c r="F4" s="1374"/>
      <c r="G4" s="1375"/>
      <c r="H4" s="1373" t="s">
        <v>1103</v>
      </c>
      <c r="I4" s="1374"/>
      <c r="J4" s="1375"/>
      <c r="K4" s="1373" t="s">
        <v>6</v>
      </c>
      <c r="L4" s="1374"/>
      <c r="M4" s="1375"/>
    </row>
    <row r="5" spans="1:13" ht="14.25">
      <c r="A5" s="1369" t="s">
        <v>1104</v>
      </c>
      <c r="B5" s="1368" t="s">
        <v>1106</v>
      </c>
      <c r="C5" s="1368" t="s">
        <v>1107</v>
      </c>
      <c r="D5" s="1368" t="s">
        <v>1108</v>
      </c>
      <c r="E5" s="1368" t="s">
        <v>1106</v>
      </c>
      <c r="F5" s="1368" t="s">
        <v>1107</v>
      </c>
      <c r="G5" s="1368" t="s">
        <v>1108</v>
      </c>
      <c r="H5" s="1368" t="s">
        <v>1106</v>
      </c>
      <c r="I5" s="1368" t="s">
        <v>1107</v>
      </c>
      <c r="J5" s="1368" t="s">
        <v>1108</v>
      </c>
      <c r="K5" s="1368" t="s">
        <v>1106</v>
      </c>
      <c r="L5" s="1368" t="s">
        <v>1107</v>
      </c>
      <c r="M5" s="1368" t="s">
        <v>1108</v>
      </c>
    </row>
    <row r="6" spans="1:13" ht="14.25">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ht="14.25">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ht="14.25">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ht="14.25">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ht="14.25">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ht="14.25">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ht="14.25">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ht="14.25">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ht="14.25">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ht="14.25">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ht="14.25">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ht="14.25">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1" customWidth="1"/>
    <col min="2" max="3" width="22.375" style="651" customWidth="1"/>
    <col min="4" max="4" width="23" style="651" customWidth="1"/>
    <col min="5" max="16384" width="9" style="651"/>
  </cols>
  <sheetData>
    <row r="1" spans="1:4" ht="18.75">
      <c r="A1" s="3152" t="s">
        <v>1386</v>
      </c>
      <c r="B1" s="3152"/>
      <c r="C1" s="3152"/>
      <c r="D1" s="3152"/>
    </row>
    <row r="2" spans="1:4" ht="18">
      <c r="A2" s="3153" t="s">
        <v>1370</v>
      </c>
      <c r="B2" s="3153"/>
      <c r="C2" s="3153"/>
      <c r="D2" s="3153"/>
    </row>
    <row r="3" spans="1:4" ht="18.75">
      <c r="A3" s="1537" t="s">
        <v>1371</v>
      </c>
      <c r="B3" s="1537" t="s">
        <v>1372</v>
      </c>
      <c r="C3" s="1537" t="s">
        <v>1373</v>
      </c>
      <c r="D3" s="1537" t="s">
        <v>1374</v>
      </c>
    </row>
    <row r="4" spans="1:4" ht="56.25" customHeight="1">
      <c r="A4" s="1538" t="str">
        <f>项目基本情况!B4</f>
        <v>王鹏</v>
      </c>
      <c r="B4" s="1539">
        <f ca="1">项目基本情况!C4</f>
        <v>1120050019</v>
      </c>
      <c r="C4" s="1540"/>
      <c r="D4" s="1541" t="s">
        <v>1375</v>
      </c>
    </row>
    <row r="5" spans="1:4" ht="56.25" customHeight="1">
      <c r="A5" s="1538" t="str">
        <f>项目基本情况!D4</f>
        <v>郑燚</v>
      </c>
      <c r="B5" s="1539">
        <f ca="1">项目基本情况!E4</f>
        <v>0</v>
      </c>
      <c r="C5" s="1542"/>
      <c r="D5" s="1541" t="s">
        <v>1375</v>
      </c>
    </row>
    <row r="6" spans="1:4" ht="18">
      <c r="A6" s="3153" t="s">
        <v>1376</v>
      </c>
      <c r="B6" s="3153"/>
      <c r="C6" s="3153"/>
      <c r="D6" s="3153"/>
    </row>
    <row r="7" spans="1:4" ht="18.75">
      <c r="A7" s="1537" t="s">
        <v>1371</v>
      </c>
      <c r="B7" s="1539" t="s">
        <v>1377</v>
      </c>
      <c r="C7" s="1537" t="s">
        <v>1373</v>
      </c>
      <c r="D7" s="1537" t="s">
        <v>1374</v>
      </c>
    </row>
    <row r="8" spans="1:4" ht="56.25" customHeight="1">
      <c r="A8" s="1543" t="s">
        <v>656</v>
      </c>
      <c r="B8" s="1543" t="s">
        <v>1</v>
      </c>
      <c r="C8" s="1540"/>
      <c r="D8" s="1541" t="s">
        <v>1375</v>
      </c>
    </row>
    <row r="10" spans="1:4" ht="18.75">
      <c r="A10" s="1544" t="s">
        <v>1378</v>
      </c>
    </row>
    <row r="11" spans="1:4" ht="30" customHeight="1">
      <c r="A11" s="3154" t="s">
        <v>1379</v>
      </c>
      <c r="B11" s="3155"/>
      <c r="C11" s="3155"/>
      <c r="D11" s="3155"/>
    </row>
    <row r="12" spans="1:4" ht="15.75">
      <c r="A12" s="31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6"/>
      <c r="C12" s="3156"/>
      <c r="D12" s="3156"/>
    </row>
    <row r="13" spans="1:4" ht="30" customHeight="1">
      <c r="A13" s="31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6"/>
      <c r="C13" s="3156"/>
      <c r="D13" s="3156"/>
    </row>
    <row r="14" spans="1:4" ht="15.75" customHeight="1">
      <c r="A14" s="3155" t="str">
        <f>IF(项目基本情况!B8="抵押","4.本次评估估价师所知悉的法定优先受偿款情况说明如下：","——")</f>
        <v>4.本次评估估价师所知悉的法定优先受偿款情况说明如下：</v>
      </c>
      <c r="B14" s="3156"/>
      <c r="C14" s="3156"/>
      <c r="D14" s="3156"/>
    </row>
    <row r="15" spans="1:4" ht="42" customHeight="1">
      <c r="A15" s="315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55"/>
      <c r="C15" s="3155"/>
      <c r="D15" s="3155"/>
    </row>
    <row r="16" spans="1:4" ht="30" customHeight="1">
      <c r="A16" s="3158" t="s">
        <v>1380</v>
      </c>
      <c r="B16" s="3158"/>
      <c r="C16" s="3158"/>
      <c r="D16" s="3158"/>
    </row>
    <row r="17" spans="1:4" ht="144" customHeight="1">
      <c r="A17" s="3158" t="s">
        <v>1381</v>
      </c>
      <c r="B17" s="3158"/>
      <c r="C17" s="3158"/>
      <c r="D17" s="3158"/>
    </row>
    <row r="18" spans="1:4" ht="15.75" customHeight="1">
      <c r="A18" s="3155" t="str">
        <f>IF(项目基本情况!B8="抵押",结果表!K120,"——")</f>
        <v>故，本次评估不存在估价师知悉的法定优先受偿款</v>
      </c>
      <c r="B18" s="3155"/>
      <c r="C18" s="3155"/>
      <c r="D18" s="3155"/>
    </row>
    <row r="19" spans="1:4" ht="46.5" customHeight="1">
      <c r="A19" s="31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5"/>
      <c r="C19" s="3155"/>
      <c r="D19" s="3155"/>
    </row>
    <row r="20" spans="1:4" ht="57.75" customHeight="1">
      <c r="A20" s="31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5"/>
      <c r="C20" s="3155"/>
      <c r="D20" s="3155"/>
    </row>
    <row r="21" spans="1:4" ht="57.75" customHeight="1">
      <c r="A21" s="31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9"/>
      <c r="C21" s="3159"/>
      <c r="D21" s="3159"/>
    </row>
    <row r="22" spans="1:4" ht="18.75" customHeight="1">
      <c r="A22" s="3160" t="s">
        <v>1382</v>
      </c>
      <c r="B22" s="3160"/>
      <c r="C22" s="3160"/>
      <c r="D22" s="3160"/>
    </row>
    <row r="23" spans="1:4">
      <c r="A23" s="1545"/>
      <c r="B23" s="467"/>
      <c r="C23" s="467"/>
      <c r="D23" s="467"/>
    </row>
    <row r="24" spans="1:4">
      <c r="A24" s="1545"/>
      <c r="B24" s="467"/>
      <c r="C24" s="467"/>
      <c r="D24" s="467"/>
    </row>
    <row r="25" spans="1:4" ht="18.75">
      <c r="A25" s="1546" t="s">
        <v>1383</v>
      </c>
    </row>
    <row r="26" spans="1:4" ht="18">
      <c r="A26" s="1517"/>
    </row>
    <row r="27" spans="1:4" ht="18.75">
      <c r="A27" s="1517" t="s">
        <v>1384</v>
      </c>
    </row>
    <row r="30" spans="1:4" ht="18.75">
      <c r="D30" s="1546" t="s">
        <v>1385</v>
      </c>
    </row>
    <row r="31" spans="1:4" ht="13.5" customHeight="1">
      <c r="C31" s="3157">
        <v>42551</v>
      </c>
      <c r="D31" s="31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509" customWidth="1"/>
    <col min="3" max="10" width="12.5" style="1509" customWidth="1"/>
    <col min="11" max="16384" width="9" style="1509"/>
  </cols>
  <sheetData>
    <row r="1" spans="1:1" ht="18.75">
      <c r="A1" s="1536" t="s">
        <v>657</v>
      </c>
    </row>
    <row r="2" spans="1:1" ht="18.75">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52" customWidth="1"/>
    <col min="2" max="16384" width="14.5" style="1535"/>
  </cols>
  <sheetData>
    <row r="1" spans="1:7" s="1549" customFormat="1" ht="18.75">
      <c r="A1" s="1548" t="s">
        <v>1387</v>
      </c>
    </row>
    <row r="3" spans="1:7">
      <c r="A3" s="1550" t="s">
        <v>82</v>
      </c>
      <c r="B3" s="1535" t="s">
        <v>1388</v>
      </c>
      <c r="G3" s="1551"/>
    </row>
    <row r="4" spans="1:7">
      <c r="G4" s="1551"/>
    </row>
    <row r="5" spans="1:7">
      <c r="A5" s="1553" t="s">
        <v>73</v>
      </c>
      <c r="B5" s="1535" t="s">
        <v>1389</v>
      </c>
      <c r="G5" s="1551"/>
    </row>
    <row r="6" spans="1:7">
      <c r="G6" s="1551"/>
    </row>
    <row r="7" spans="1:7">
      <c r="A7" s="1554" t="s">
        <v>135</v>
      </c>
      <c r="B7" s="1535" t="s">
        <v>1390</v>
      </c>
      <c r="G7" s="1551"/>
    </row>
    <row r="8" spans="1:7">
      <c r="G8" s="1551"/>
    </row>
    <row r="9" spans="1:7">
      <c r="A9" s="1555" t="s">
        <v>74</v>
      </c>
      <c r="B9" s="1535" t="s">
        <v>1391</v>
      </c>
    </row>
    <row r="11" spans="1:7">
      <c r="A11" s="1556" t="s">
        <v>75</v>
      </c>
      <c r="B11" s="1557" t="s">
        <v>72</v>
      </c>
    </row>
    <row r="13" spans="1:7">
      <c r="A13" s="1558" t="s">
        <v>1392</v>
      </c>
    </row>
    <row r="15" spans="1:7" ht="13.5">
      <c r="A15" s="3166" t="s">
        <v>1393</v>
      </c>
      <c r="B15" s="3161" t="s">
        <v>136</v>
      </c>
      <c r="C15" s="3162"/>
    </row>
    <row r="16" spans="1:7" ht="13.5">
      <c r="A16" s="3167"/>
      <c r="B16" s="3161" t="s">
        <v>69</v>
      </c>
      <c r="C16" s="3162"/>
    </row>
    <row r="17" spans="1:3" ht="13.5">
      <c r="A17" s="3167"/>
      <c r="B17" s="3164" t="s">
        <v>1394</v>
      </c>
      <c r="C17" s="1559" t="s">
        <v>1393</v>
      </c>
    </row>
    <row r="18" spans="1:3" ht="13.5">
      <c r="A18" s="3167"/>
      <c r="B18" s="3164"/>
      <c r="C18" s="1559" t="s">
        <v>1395</v>
      </c>
    </row>
    <row r="19" spans="1:3" ht="13.5">
      <c r="A19" s="3167"/>
      <c r="B19" s="3164"/>
      <c r="C19" s="1559" t="s">
        <v>1396</v>
      </c>
    </row>
    <row r="20" spans="1:3" ht="13.5">
      <c r="A20" s="3168"/>
      <c r="B20" s="3163" t="s">
        <v>1397</v>
      </c>
      <c r="C20" s="3162"/>
    </row>
    <row r="21" spans="1:3" ht="13.5">
      <c r="A21" s="1560" t="s">
        <v>1398</v>
      </c>
      <c r="B21" s="1561"/>
      <c r="C21" s="1562"/>
    </row>
    <row r="22" spans="1:3" ht="13.5">
      <c r="A22" s="3165" t="s">
        <v>1399</v>
      </c>
      <c r="B22" s="3163" t="s">
        <v>1400</v>
      </c>
      <c r="C22" s="3162"/>
    </row>
    <row r="23" spans="1:3" ht="13.5">
      <c r="A23" s="3165"/>
      <c r="B23" s="3163" t="s">
        <v>1401</v>
      </c>
      <c r="C23" s="3162"/>
    </row>
    <row r="24" spans="1:3" ht="13.5">
      <c r="A24" s="3165"/>
      <c r="B24" s="3163" t="s">
        <v>1402</v>
      </c>
      <c r="C24" s="3162"/>
    </row>
    <row r="25" spans="1:3" ht="13.5">
      <c r="A25" s="3165"/>
      <c r="B25" s="3164" t="s">
        <v>1403</v>
      </c>
      <c r="C25" s="1559" t="s">
        <v>1404</v>
      </c>
    </row>
    <row r="26" spans="1:3" ht="13.5">
      <c r="A26" s="3165"/>
      <c r="B26" s="3164"/>
      <c r="C26" s="1559" t="s">
        <v>1405</v>
      </c>
    </row>
    <row r="27" spans="1:3" ht="13.5">
      <c r="A27" s="3165"/>
      <c r="B27" s="3164"/>
      <c r="C27" s="1559" t="s">
        <v>1406</v>
      </c>
    </row>
    <row r="28" spans="1:3" ht="13.5">
      <c r="A28" s="3165"/>
      <c r="B28" s="3164"/>
      <c r="C28" s="1559" t="s">
        <v>1407</v>
      </c>
    </row>
    <row r="29" spans="1:3" ht="13.5">
      <c r="A29" s="3165"/>
      <c r="B29" s="3164"/>
      <c r="C29" s="1559" t="s">
        <v>1408</v>
      </c>
    </row>
    <row r="30" spans="1:3" ht="13.5">
      <c r="A30" s="3165"/>
      <c r="B30" s="3164"/>
      <c r="C30" s="1559" t="s">
        <v>1409</v>
      </c>
    </row>
    <row r="31" spans="1:3" ht="13.5">
      <c r="A31" s="3165"/>
      <c r="B31" s="3164"/>
      <c r="C31" s="1559" t="s">
        <v>1410</v>
      </c>
    </row>
    <row r="32" spans="1:3" ht="13.5">
      <c r="A32" s="3165"/>
      <c r="B32" s="3164"/>
      <c r="C32" s="1559" t="s">
        <v>1411</v>
      </c>
    </row>
    <row r="33" spans="1:3" ht="13.5">
      <c r="A33" s="3165"/>
      <c r="B33" s="3164"/>
      <c r="C33" s="1559" t="s">
        <v>1412</v>
      </c>
    </row>
    <row r="34" spans="1:3">
      <c r="A34" s="1563" t="s">
        <v>76</v>
      </c>
    </row>
    <row r="37" spans="1:3">
      <c r="A37" s="1563" t="s">
        <v>1413</v>
      </c>
    </row>
    <row r="38" spans="1:3" ht="13.5">
      <c r="A38" s="1564" t="s">
        <v>77</v>
      </c>
    </row>
    <row r="39" spans="1:3" ht="13.5">
      <c r="A39" s="1564" t="s">
        <v>78</v>
      </c>
    </row>
    <row r="40" spans="1:3" ht="13.5">
      <c r="A40" s="1564" t="s">
        <v>79</v>
      </c>
    </row>
    <row r="41" spans="1:3" ht="13.5">
      <c r="A41" s="1565" t="s">
        <v>80</v>
      </c>
    </row>
    <row r="42" spans="1:3" ht="13.5">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317" customWidth="1"/>
    <col min="2" max="2" width="38.625" style="2317" customWidth="1"/>
    <col min="3" max="3" width="26" style="2317" customWidth="1"/>
    <col min="4" max="4" width="35" style="2317" hidden="1" customWidth="1"/>
    <col min="5" max="5" width="30.125" style="2317" customWidth="1"/>
    <col min="6" max="6" width="35.5" style="2317" customWidth="1"/>
    <col min="7" max="7" width="31" style="2317" customWidth="1"/>
    <col min="8" max="8" width="37.5" style="2317" hidden="1" customWidth="1"/>
    <col min="9" max="16384" width="22.625" style="2317"/>
  </cols>
  <sheetData>
    <row r="1" spans="1:8" ht="24" customHeight="1">
      <c r="A1" s="2316"/>
      <c r="B1" s="2316"/>
      <c r="C1" s="2316"/>
      <c r="D1" s="2316"/>
      <c r="E1" s="2316"/>
      <c r="F1" s="2316"/>
      <c r="G1" s="2316"/>
      <c r="H1" s="2316"/>
    </row>
    <row r="2" spans="1:8" ht="24" customHeight="1">
      <c r="A2" s="2318" t="s">
        <v>2635</v>
      </c>
      <c r="B2" s="2319">
        <f ca="1">TODAY()</f>
        <v>44924</v>
      </c>
      <c r="C2" s="2320" t="s">
        <v>2636</v>
      </c>
      <c r="D2" s="2320"/>
      <c r="E2" s="2320"/>
      <c r="F2" s="2316"/>
      <c r="G2" s="2316"/>
      <c r="H2" s="2316"/>
    </row>
    <row r="3" spans="1:8" ht="24" customHeight="1">
      <c r="A3" s="2321" t="s">
        <v>2637</v>
      </c>
      <c r="B3" s="1334" t="s">
        <v>2638</v>
      </c>
      <c r="C3" s="1334" t="s">
        <v>2639</v>
      </c>
      <c r="D3" s="2322" t="s">
        <v>2640</v>
      </c>
      <c r="E3" s="2323" t="s">
        <v>2641</v>
      </c>
      <c r="F3" s="1334" t="s">
        <v>2642</v>
      </c>
      <c r="G3" s="1334" t="s">
        <v>2639</v>
      </c>
      <c r="H3" s="2322" t="s">
        <v>2643</v>
      </c>
    </row>
    <row r="4" spans="1:8" ht="24" customHeight="1">
      <c r="A4" s="1334" t="s">
        <v>2644</v>
      </c>
      <c r="B4" s="1334" t="str">
        <f ca="1">IF(C4&lt;B2,"已过期",1119970066)</f>
        <v>已过期</v>
      </c>
      <c r="C4" s="2324">
        <v>44876</v>
      </c>
      <c r="D4" s="2325" t="str">
        <f ca="1">A4&amp;"（注册号："&amp;B4&amp;"）"</f>
        <v>梁津（注册号：已过期）</v>
      </c>
      <c r="E4" s="2326" t="s">
        <v>2644</v>
      </c>
      <c r="F4" s="1334">
        <f ca="1">IF(G4&lt;B2,"已过期",96010014)</f>
        <v>96010014</v>
      </c>
      <c r="G4" s="2327">
        <v>47118</v>
      </c>
      <c r="H4" s="2328" t="str">
        <f ca="1">E4&amp;"（注册号："&amp;F4&amp;"）"</f>
        <v>梁津（注册号：96010014）</v>
      </c>
    </row>
    <row r="5" spans="1:8" ht="24" customHeight="1">
      <c r="A5" s="1334" t="s">
        <v>2645</v>
      </c>
      <c r="B5" s="1334" t="str">
        <f ca="1">IF(C5&lt;B2,"已过期",1119970111)</f>
        <v>已过期</v>
      </c>
      <c r="C5" s="2324">
        <v>44876</v>
      </c>
      <c r="D5" s="2325" t="str">
        <f t="shared" ref="D5:D15" ca="1" si="0">A5&amp;"（注册号："&amp;B5&amp;"）"</f>
        <v>叶凌（注册号：已过期）</v>
      </c>
      <c r="E5" s="2326" t="s">
        <v>2645</v>
      </c>
      <c r="F5" s="1334">
        <f ca="1">IF(G5&lt;B2,"已过期",94010078)</f>
        <v>94010078</v>
      </c>
      <c r="G5" s="2327">
        <v>46387</v>
      </c>
      <c r="H5" s="2328" t="str">
        <f t="shared" ref="H5:H16" ca="1" si="1">E5&amp;"（注册号："&amp;F5&amp;"）"</f>
        <v>叶凌（注册号：94010078）</v>
      </c>
    </row>
    <row r="6" spans="1:8" ht="24" customHeight="1">
      <c r="A6" s="1334" t="s">
        <v>2646</v>
      </c>
      <c r="B6" s="1334">
        <f ca="1">IF(C6&lt;B2,"已过期",1120050019)</f>
        <v>1120050019</v>
      </c>
      <c r="C6" s="2324">
        <v>45410</v>
      </c>
      <c r="D6" s="2325" t="str">
        <f t="shared" ca="1" si="0"/>
        <v>王鹏（注册号：1120050019）</v>
      </c>
      <c r="E6" s="2326" t="s">
        <v>2646</v>
      </c>
      <c r="F6" s="1334">
        <f ca="1">IF(G6&lt;B2,"已过期",2002110030)</f>
        <v>2002110030</v>
      </c>
      <c r="G6" s="2327">
        <v>46387</v>
      </c>
      <c r="H6" s="2328" t="str">
        <f t="shared" ca="1" si="1"/>
        <v>王鹏（注册号：2002110030）</v>
      </c>
    </row>
    <row r="7" spans="1:8" ht="24" customHeight="1">
      <c r="A7" s="1334" t="s">
        <v>2647</v>
      </c>
      <c r="B7" s="1334" t="str">
        <f ca="1">IF(C7&lt;B2,"已过期",1120000080)</f>
        <v>已过期</v>
      </c>
      <c r="C7" s="2324">
        <v>44876</v>
      </c>
      <c r="D7" s="2325" t="str">
        <f t="shared" ca="1" si="0"/>
        <v>欧红伟（注册号：已过期）</v>
      </c>
      <c r="E7" s="2326" t="s">
        <v>2647</v>
      </c>
      <c r="F7" s="1334">
        <f ca="1">IF(G7&lt;B2,"已过期",2000110082)</f>
        <v>2000110082</v>
      </c>
      <c r="G7" s="2327">
        <v>46387</v>
      </c>
      <c r="H7" s="2328" t="str">
        <f t="shared" ca="1" si="1"/>
        <v>欧红伟（注册号：2000110082）</v>
      </c>
    </row>
    <row r="8" spans="1:8" ht="24" customHeight="1">
      <c r="A8" s="1334" t="s">
        <v>2648</v>
      </c>
      <c r="B8" s="1334" t="str">
        <f ca="1">IF(C8&lt;B2,"已过期",1419970001)</f>
        <v>已过期</v>
      </c>
      <c r="C8" s="2324">
        <v>44899</v>
      </c>
      <c r="D8" s="2325" t="str">
        <f t="shared" ca="1" si="0"/>
        <v>吴薇（注册号：已过期）</v>
      </c>
      <c r="E8" s="2326" t="s">
        <v>2648</v>
      </c>
      <c r="F8" s="1334">
        <f ca="1">IF(G8&lt;B2,"已过期",2002110125)</f>
        <v>2002110125</v>
      </c>
      <c r="G8" s="2327">
        <v>47118</v>
      </c>
      <c r="H8" s="2328" t="str">
        <f t="shared" ca="1" si="1"/>
        <v>吴薇（注册号：2002110125）</v>
      </c>
    </row>
    <row r="9" spans="1:8" ht="24" customHeight="1">
      <c r="A9" s="1334" t="s">
        <v>2649</v>
      </c>
      <c r="B9" s="1334">
        <f ca="1">IF(C9&lt;B2,"已过期",1120060040)</f>
        <v>1120060040</v>
      </c>
      <c r="C9" s="2329">
        <v>45592</v>
      </c>
      <c r="D9" s="2325" t="str">
        <f t="shared" ca="1" si="0"/>
        <v>陈颖（注册号：1120060040）</v>
      </c>
      <c r="E9" s="2326" t="s">
        <v>2649</v>
      </c>
      <c r="F9" s="1334">
        <f ca="1">IF(G9&lt;B2,"已过期",2004110096)</f>
        <v>2004110096</v>
      </c>
      <c r="G9" s="2327">
        <v>47118</v>
      </c>
      <c r="H9" s="2328" t="str">
        <f t="shared" ca="1" si="1"/>
        <v>陈颖（注册号：2004110096）</v>
      </c>
    </row>
    <row r="10" spans="1:8" ht="24" customHeight="1">
      <c r="A10" s="1334" t="s">
        <v>2650</v>
      </c>
      <c r="B10" s="1334" t="str">
        <f ca="1">IF(C10&lt;B2,"已过期",1120100036)</f>
        <v>已过期</v>
      </c>
      <c r="C10" s="2329">
        <v>44675</v>
      </c>
      <c r="D10" s="2325" t="str">
        <f t="shared" ca="1" si="0"/>
        <v>崔锴（注册号：已过期）</v>
      </c>
      <c r="E10" s="2326" t="s">
        <v>2650</v>
      </c>
      <c r="F10" s="1334">
        <f ca="1">IF(G10&lt;B2,"已过期",2010110070)</f>
        <v>2010110070</v>
      </c>
      <c r="G10" s="2327">
        <v>47907</v>
      </c>
      <c r="H10" s="2328" t="str">
        <f t="shared" ca="1" si="1"/>
        <v>崔锴（注册号：2010110070）</v>
      </c>
    </row>
    <row r="11" spans="1:8" ht="24" customHeight="1">
      <c r="A11" s="1334" t="s">
        <v>2651</v>
      </c>
      <c r="B11" s="1334" t="str">
        <f ca="1">IF(C11&lt;B2,"已过期",1120070131)</f>
        <v>已过期</v>
      </c>
      <c r="C11" s="2324">
        <v>44849</v>
      </c>
      <c r="D11" s="2325" t="str">
        <f t="shared" ca="1" si="0"/>
        <v>郑燚（注册号：已过期）</v>
      </c>
      <c r="E11" s="2326" t="s">
        <v>2651</v>
      </c>
      <c r="F11" s="1334">
        <f ca="1">IF(G11&lt;B2,"已过期",2014110011)</f>
        <v>2014110011</v>
      </c>
      <c r="G11" s="2327">
        <v>49302</v>
      </c>
      <c r="H11" s="2328" t="str">
        <f t="shared" ca="1" si="1"/>
        <v>郑燚（注册号：2014110011）</v>
      </c>
    </row>
    <row r="12" spans="1:8" ht="24" customHeight="1">
      <c r="A12" s="1334" t="s">
        <v>2652</v>
      </c>
      <c r="B12" s="1334" t="str">
        <f ca="1">IF(C12&lt;B2,"已过期",1120040230)</f>
        <v>已过期</v>
      </c>
      <c r="C12" s="2329">
        <v>44864</v>
      </c>
      <c r="D12" s="2325" t="str">
        <f t="shared" ca="1" si="0"/>
        <v>苏海（注册号：已过期）</v>
      </c>
      <c r="E12" s="2326" t="s">
        <v>2652</v>
      </c>
      <c r="F12" s="1334">
        <f ca="1">IF(G12&lt;B2,"已过期",98030020)</f>
        <v>98030020</v>
      </c>
      <c r="G12" s="2327">
        <v>47118</v>
      </c>
      <c r="H12" s="2328" t="str">
        <f t="shared" ca="1" si="1"/>
        <v>苏海（注册号：98030020）</v>
      </c>
    </row>
    <row r="13" spans="1:8" ht="24" customHeight="1">
      <c r="A13" s="1334" t="s">
        <v>2653</v>
      </c>
      <c r="B13" s="1334" t="str">
        <f ca="1">IF(C13&lt;B2,"已过期",1120020033)</f>
        <v>已过期</v>
      </c>
      <c r="C13" s="2324">
        <v>44339</v>
      </c>
      <c r="D13" s="2325" t="str">
        <f t="shared" ca="1" si="0"/>
        <v>刘敬东（注册号：已过期）</v>
      </c>
      <c r="E13" s="2326" t="s">
        <v>2653</v>
      </c>
      <c r="F13" s="1334">
        <f ca="1">IF(G13&lt;B2,"已过期",2000110137)</f>
        <v>2000110137</v>
      </c>
      <c r="G13" s="2327">
        <v>46387</v>
      </c>
      <c r="H13" s="2328" t="str">
        <f t="shared" ca="1" si="1"/>
        <v>刘敬东（注册号：2000110137）</v>
      </c>
    </row>
    <row r="14" spans="1:8" ht="24" customHeight="1">
      <c r="A14" s="1334" t="s">
        <v>2654</v>
      </c>
      <c r="B14" s="1334">
        <f ca="1">IF(C14&lt;B2,"已过期",1119980106)</f>
        <v>1119980106</v>
      </c>
      <c r="C14" s="2329">
        <v>44969</v>
      </c>
      <c r="D14" s="2325" t="str">
        <f t="shared" ca="1" si="0"/>
        <v>刘俊财（注册号：1119980106）</v>
      </c>
      <c r="E14" s="2326" t="s">
        <v>2654</v>
      </c>
      <c r="F14" s="1334">
        <f ca="1">IF(G14&lt;B2,"已过期",96010063)</f>
        <v>96010063</v>
      </c>
      <c r="G14" s="2327">
        <v>47483</v>
      </c>
      <c r="H14" s="2328" t="str">
        <f t="shared" ca="1" si="1"/>
        <v>刘俊财（注册号：96010063）</v>
      </c>
    </row>
    <row r="15" spans="1:8" ht="24" customHeight="1">
      <c r="A15" s="1334" t="s">
        <v>2936</v>
      </c>
      <c r="B15" s="1334">
        <v>1120210056</v>
      </c>
      <c r="C15" s="2329">
        <v>45410</v>
      </c>
      <c r="D15" s="2325" t="str">
        <f t="shared" si="0"/>
        <v>宁小鳗（注册号：1120210056）</v>
      </c>
      <c r="E15" s="2326" t="s">
        <v>2655</v>
      </c>
      <c r="F15" s="1334">
        <f ca="1">IF(G15&lt;B2,"已过期",2011110090)</f>
        <v>2011110090</v>
      </c>
      <c r="G15" s="2327">
        <v>48302</v>
      </c>
      <c r="H15" s="2328" t="str">
        <f t="shared" ca="1" si="1"/>
        <v>赵雯（注册号：2011110090）</v>
      </c>
    </row>
    <row r="16" spans="1:8" ht="24" customHeight="1">
      <c r="A16" s="1334"/>
      <c r="B16" s="1334"/>
      <c r="C16" s="1334"/>
      <c r="D16" s="2325" t="str">
        <f>A16&amp;"（注册号："&amp;B16&amp;"）"</f>
        <v>（注册号：）</v>
      </c>
      <c r="E16" s="2326"/>
      <c r="F16" s="1334"/>
      <c r="G16" s="1334"/>
      <c r="H16" s="2330" t="str">
        <f t="shared" si="1"/>
        <v>（注册号：）</v>
      </c>
    </row>
    <row r="17" spans="1:8" ht="24" customHeight="1">
      <c r="A17" s="3169" t="s">
        <v>2656</v>
      </c>
      <c r="B17" s="3169"/>
      <c r="C17" s="3169"/>
      <c r="D17" s="3169"/>
      <c r="E17" s="3169"/>
      <c r="F17" s="3169"/>
      <c r="G17" s="3169"/>
      <c r="H17" s="3169"/>
    </row>
    <row r="18" spans="1:8" ht="24" customHeight="1">
      <c r="A18" s="3170" t="s">
        <v>2657</v>
      </c>
      <c r="B18" s="3170"/>
      <c r="C18" s="3170"/>
      <c r="D18" s="2322"/>
      <c r="E18" s="3171" t="s">
        <v>2658</v>
      </c>
      <c r="F18" s="3170"/>
      <c r="G18" s="3170"/>
    </row>
    <row r="19" spans="1:8" s="2332" customFormat="1" ht="24" customHeight="1">
      <c r="A19" s="2331" t="s">
        <v>2659</v>
      </c>
      <c r="B19" s="1334" t="s">
        <v>2660</v>
      </c>
      <c r="C19" s="1334" t="s">
        <v>2639</v>
      </c>
      <c r="D19" s="2322"/>
      <c r="E19" s="2326" t="s">
        <v>2659</v>
      </c>
      <c r="F19" s="1334" t="s">
        <v>2660</v>
      </c>
      <c r="G19" s="1334" t="s">
        <v>2639</v>
      </c>
    </row>
    <row r="20" spans="1:8" s="2332" customFormat="1" ht="24" customHeight="1">
      <c r="A20" s="2333" t="s">
        <v>2661</v>
      </c>
      <c r="B20" s="2333" t="s">
        <v>2662</v>
      </c>
      <c r="C20" s="2327">
        <v>44820</v>
      </c>
      <c r="D20" s="2334"/>
      <c r="E20" s="2335" t="s">
        <v>2663</v>
      </c>
      <c r="F20" s="2338" t="s">
        <v>2937</v>
      </c>
      <c r="G20" s="2339">
        <v>44926</v>
      </c>
    </row>
    <row r="21" spans="1:8" s="2332" customFormat="1" ht="24" customHeight="1">
      <c r="A21" s="2333"/>
      <c r="B21" s="2333"/>
      <c r="C21" s="2336"/>
      <c r="D21" s="2337"/>
      <c r="E21" s="2335"/>
      <c r="F21" s="2338"/>
      <c r="G21" s="2339"/>
    </row>
    <row r="22" spans="1:8" ht="24" customHeight="1">
      <c r="C22" s="2340"/>
      <c r="D22" s="2340"/>
      <c r="E22" s="2341"/>
      <c r="G22" s="2342"/>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收益法（汇总）</vt:lpstr>
      <vt:lpstr>收益法</vt:lpstr>
      <vt:lpstr>收益法 (元)</vt:lpstr>
      <vt:lpstr>收益法-酒店模型</vt:lpstr>
      <vt:lpstr>收益法-地下车库</vt:lpstr>
      <vt:lpstr>办公租金</vt:lpstr>
      <vt:lpstr>售价</vt:lpstr>
      <vt:lpstr>Sheet9</vt:lpstr>
      <vt:lpstr>Sheet5</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2022-12-29T02:18:39Z</dcterms:modified>
</cp:coreProperties>
</file>